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ocietyofactuaries-my.sharepoint.com/personal/slennox_soa_org/Documents/Documents/SOA GI Track/Exam1/2025 Fall Cycle/Mar 26 Exam/Model Solutions/"/>
    </mc:Choice>
  </mc:AlternateContent>
  <xr:revisionPtr revIDLastSave="0" documentId="8_{DAD8783A-172F-4B6B-9FF9-A8C6B90DCB97}" xr6:coauthVersionLast="47" xr6:coauthVersionMax="47" xr10:uidLastSave="{00000000-0000-0000-0000-000000000000}"/>
  <bookViews>
    <workbookView xWindow="28680" yWindow="-3030" windowWidth="38640" windowHeight="21120" tabRatio="784" xr2:uid="{00000000-000D-0000-FFFF-FFFF00000000}"/>
  </bookViews>
  <sheets>
    <sheet name="Question 1" sheetId="41" r:id="rId1"/>
    <sheet name="Question 2" sheetId="42" r:id="rId2"/>
    <sheet name="Question 3" sheetId="43" r:id="rId3"/>
    <sheet name="Question 4" sheetId="44" r:id="rId4"/>
    <sheet name="Question 5" sheetId="45" r:id="rId5"/>
    <sheet name="Question 6" sheetId="46" r:id="rId6"/>
    <sheet name="Question 7" sheetId="47" r:id="rId7"/>
    <sheet name="Question 8" sheetId="48" r:id="rId8"/>
    <sheet name="Question 9" sheetId="49" r:id="rId9"/>
    <sheet name="Question 10" sheetId="50" r:id="rId10"/>
    <sheet name="Question 11" sheetId="51" r:id="rId11"/>
  </sheets>
  <definedNames>
    <definedName name="_Hlk203128582" localSheetId="5">'Question 6'!$A$3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49" l="1"/>
  <c r="D97" i="47" l="1"/>
  <c r="B138" i="48" l="1"/>
  <c r="A138" i="48"/>
  <c r="C137" i="48"/>
  <c r="B137" i="48"/>
  <c r="A137" i="48"/>
  <c r="D136" i="48"/>
  <c r="C136" i="48"/>
  <c r="B136" i="48"/>
  <c r="A136" i="48"/>
  <c r="D135" i="48"/>
  <c r="D68" i="48"/>
  <c r="E68" i="48" s="1"/>
  <c r="E65" i="45" l="1"/>
  <c r="D99" i="47" l="1"/>
  <c r="D98" i="47"/>
  <c r="D89" i="48" l="1"/>
  <c r="E63" i="51"/>
  <c r="D63" i="51"/>
  <c r="E62" i="51"/>
  <c r="D62" i="51"/>
  <c r="E61" i="51"/>
  <c r="D61" i="51"/>
  <c r="E60" i="51"/>
  <c r="D60" i="51"/>
  <c r="E59" i="51"/>
  <c r="D59" i="51"/>
  <c r="E58" i="51"/>
  <c r="D58" i="51"/>
  <c r="E57" i="51"/>
  <c r="D57" i="51"/>
  <c r="F62" i="51"/>
  <c r="F61" i="51" s="1"/>
  <c r="F60" i="51" s="1"/>
  <c r="F59" i="51" s="1"/>
  <c r="F58" i="51" s="1"/>
  <c r="F57" i="51" s="1"/>
  <c r="B63" i="51"/>
  <c r="B62" i="51"/>
  <c r="B61" i="51"/>
  <c r="B60" i="51"/>
  <c r="B59" i="51"/>
  <c r="B58" i="51"/>
  <c r="B57" i="51"/>
  <c r="C63" i="51"/>
  <c r="C62" i="51"/>
  <c r="C61" i="51"/>
  <c r="C60" i="51"/>
  <c r="C59" i="51"/>
  <c r="C58" i="51"/>
  <c r="C57" i="51"/>
  <c r="H63" i="51" l="1"/>
  <c r="G61" i="51"/>
  <c r="H61" i="51"/>
  <c r="G63" i="51"/>
  <c r="G57" i="51"/>
  <c r="H60" i="51"/>
  <c r="G60" i="51"/>
  <c r="G62" i="51"/>
  <c r="H62" i="51"/>
  <c r="G73" i="51" l="1"/>
  <c r="H59" i="51"/>
  <c r="H73" i="51"/>
  <c r="G58" i="51"/>
  <c r="H57" i="51"/>
  <c r="G59" i="51"/>
  <c r="H58" i="51"/>
  <c r="H71" i="51" l="1"/>
  <c r="H72" i="51"/>
  <c r="G75" i="51" s="1"/>
  <c r="E84" i="51" s="1"/>
  <c r="H70" i="51"/>
  <c r="G71" i="51"/>
  <c r="G70" i="51"/>
  <c r="G72" i="51"/>
  <c r="E85" i="51" l="1"/>
  <c r="D46" i="49"/>
  <c r="D47" i="49" s="1"/>
  <c r="F18" i="49"/>
  <c r="E18" i="49"/>
  <c r="D18" i="49"/>
  <c r="C18" i="49"/>
  <c r="F19" i="49"/>
  <c r="E19" i="49"/>
  <c r="D19" i="49"/>
  <c r="F20" i="49" l="1"/>
  <c r="D20" i="49"/>
  <c r="E20" i="49"/>
  <c r="C29" i="49" l="1"/>
  <c r="D49" i="49" l="1"/>
  <c r="D50" i="49" s="1"/>
  <c r="A159" i="48" l="1"/>
  <c r="A160" i="48" s="1"/>
  <c r="A161" i="48" s="1"/>
  <c r="A162" i="48" s="1"/>
  <c r="A152" i="48"/>
  <c r="A153" i="48" s="1"/>
  <c r="A154" i="48" s="1"/>
  <c r="A155" i="48" s="1"/>
  <c r="A125" i="48"/>
  <c r="A126" i="48" s="1"/>
  <c r="A127" i="48" s="1"/>
  <c r="A128" i="48" s="1"/>
  <c r="A118" i="48"/>
  <c r="A119" i="48" s="1"/>
  <c r="A120" i="48" s="1"/>
  <c r="A121" i="48" s="1"/>
  <c r="A95" i="48"/>
  <c r="A96" i="48" s="1"/>
  <c r="A97" i="48" s="1"/>
  <c r="A98" i="48" s="1"/>
  <c r="A88" i="48"/>
  <c r="A89" i="48" s="1"/>
  <c r="A90" i="48" s="1"/>
  <c r="A91" i="48" s="1"/>
  <c r="A53" i="48"/>
  <c r="A69" i="48" s="1"/>
  <c r="A70" i="48" s="1"/>
  <c r="A71" i="48" s="1"/>
  <c r="A72" i="48" s="1"/>
  <c r="A46" i="48"/>
  <c r="A47" i="48" s="1"/>
  <c r="A48" i="48" s="1"/>
  <c r="A49" i="48" s="1"/>
  <c r="D105" i="48"/>
  <c r="E88" i="48"/>
  <c r="C90" i="48"/>
  <c r="B91" i="48"/>
  <c r="D88" i="48"/>
  <c r="C89" i="48"/>
  <c r="C88" i="48"/>
  <c r="B90" i="48"/>
  <c r="B89" i="48"/>
  <c r="B88" i="48"/>
  <c r="E53" i="48"/>
  <c r="D54" i="48"/>
  <c r="C55" i="48"/>
  <c r="B56" i="48"/>
  <c r="D53" i="48"/>
  <c r="C54" i="48"/>
  <c r="C53" i="48"/>
  <c r="B55" i="48"/>
  <c r="B54" i="48"/>
  <c r="B53" i="48"/>
  <c r="B49" i="48"/>
  <c r="D46" i="48"/>
  <c r="C47" i="48"/>
  <c r="C46" i="48"/>
  <c r="C69" i="48" s="1"/>
  <c r="B48" i="48"/>
  <c r="B47" i="48"/>
  <c r="B70" i="48" s="1"/>
  <c r="B46" i="48"/>
  <c r="D158" i="48"/>
  <c r="E158" i="48" s="1"/>
  <c r="D151" i="48"/>
  <c r="E151" i="48" s="1"/>
  <c r="D124" i="48"/>
  <c r="E124" i="48" s="1"/>
  <c r="D117" i="48"/>
  <c r="E117" i="48" s="1"/>
  <c r="D94" i="48"/>
  <c r="E94" i="48" s="1"/>
  <c r="D87" i="48"/>
  <c r="E87" i="48" s="1"/>
  <c r="D52" i="48"/>
  <c r="E52" i="48" s="1"/>
  <c r="D45" i="48"/>
  <c r="E45" i="48" s="1"/>
  <c r="B69" i="48" l="1"/>
  <c r="C48" i="48"/>
  <c r="C71" i="48" s="1"/>
  <c r="B71" i="48"/>
  <c r="A54" i="48"/>
  <c r="A55" i="48" s="1"/>
  <c r="A56" i="48" s="1"/>
  <c r="E46" i="48"/>
  <c r="E69" i="48" s="1"/>
  <c r="D69" i="48"/>
  <c r="G69" i="48" s="1"/>
  <c r="D47" i="48"/>
  <c r="D70" i="48" s="1"/>
  <c r="C70" i="48"/>
  <c r="G70" i="48" s="1"/>
  <c r="B72" i="48"/>
  <c r="G72" i="48" s="1"/>
  <c r="B119" i="48"/>
  <c r="B126" i="48" s="1"/>
  <c r="B95" i="48"/>
  <c r="B98" i="48"/>
  <c r="B155" i="48" s="1"/>
  <c r="C120" i="48"/>
  <c r="C161" i="48" s="1"/>
  <c r="B121" i="48"/>
  <c r="B162" i="48" s="1"/>
  <c r="B128" i="48"/>
  <c r="C97" i="48"/>
  <c r="C154" i="48" s="1"/>
  <c r="C95" i="48"/>
  <c r="C118" i="48"/>
  <c r="C125" i="48" s="1"/>
  <c r="D119" i="48"/>
  <c r="D118" i="48"/>
  <c r="D125" i="48" s="1"/>
  <c r="C119" i="48"/>
  <c r="C126" i="48" s="1"/>
  <c r="B120" i="48"/>
  <c r="B127" i="48" s="1"/>
  <c r="B118" i="48"/>
  <c r="B125" i="48" s="1"/>
  <c r="A108" i="48"/>
  <c r="A106" i="48"/>
  <c r="A107" i="48"/>
  <c r="D95" i="48"/>
  <c r="C96" i="48"/>
  <c r="B97" i="48"/>
  <c r="D62" i="48"/>
  <c r="E95" i="48"/>
  <c r="E152" i="48" s="1"/>
  <c r="D96" i="48"/>
  <c r="D153" i="48" s="1"/>
  <c r="B96" i="48"/>
  <c r="D61" i="48"/>
  <c r="D60" i="48" l="1"/>
  <c r="E118" i="48"/>
  <c r="E159" i="48" s="1"/>
  <c r="G71" i="48"/>
  <c r="G73" i="48" s="1"/>
  <c r="C153" i="48"/>
  <c r="C152" i="48" s="1"/>
  <c r="C159" i="48" s="1"/>
  <c r="B154" i="48"/>
  <c r="B153" i="48" s="1"/>
  <c r="B152" i="48" s="1"/>
  <c r="D152" i="48"/>
  <c r="D159" i="48" s="1"/>
  <c r="E125" i="48"/>
  <c r="B106" i="48"/>
  <c r="C127" i="48"/>
  <c r="C160" i="48"/>
  <c r="D126" i="48"/>
  <c r="D160" i="48"/>
  <c r="C106" i="48"/>
  <c r="D106" i="48"/>
  <c r="B107" i="48"/>
  <c r="B108" i="48"/>
  <c r="C107" i="48"/>
  <c r="D63" i="48"/>
  <c r="B161" i="48" l="1"/>
  <c r="B159" i="48"/>
  <c r="B160" i="48"/>
  <c r="G98" i="47"/>
  <c r="G97" i="47" s="1"/>
  <c r="G96" i="47" s="1"/>
  <c r="F99" i="47"/>
  <c r="H99" i="47" s="1"/>
  <c r="F98" i="47"/>
  <c r="F97" i="47"/>
  <c r="F96" i="47"/>
  <c r="J97" i="47"/>
  <c r="C99" i="47"/>
  <c r="C98" i="47"/>
  <c r="C97" i="47"/>
  <c r="C96" i="47"/>
  <c r="B99" i="47"/>
  <c r="B98" i="47"/>
  <c r="B97" i="47"/>
  <c r="B96" i="47"/>
  <c r="B77" i="47"/>
  <c r="C66" i="47"/>
  <c r="B56" i="47"/>
  <c r="B57" i="47" s="1"/>
  <c r="J96" i="47"/>
  <c r="E98" i="47" l="1"/>
  <c r="B78" i="47"/>
  <c r="J99" i="47"/>
  <c r="E97" i="47"/>
  <c r="H96" i="47"/>
  <c r="H97" i="47"/>
  <c r="H98" i="47"/>
  <c r="E96" i="47"/>
  <c r="J98" i="47"/>
  <c r="C69" i="47"/>
  <c r="D65" i="46"/>
  <c r="D64" i="46"/>
  <c r="D63" i="46"/>
  <c r="D62" i="46"/>
  <c r="D61" i="46"/>
  <c r="D60" i="46"/>
  <c r="D59" i="46"/>
  <c r="B59" i="46"/>
  <c r="B60" i="46" s="1"/>
  <c r="B61" i="46" s="1"/>
  <c r="B62" i="46" s="1"/>
  <c r="B63" i="46" s="1"/>
  <c r="B64" i="46" s="1"/>
  <c r="B65" i="46" s="1"/>
  <c r="B40" i="46"/>
  <c r="B41" i="46" s="1"/>
  <c r="B42" i="46" s="1"/>
  <c r="B43" i="46" s="1"/>
  <c r="B44" i="46" s="1"/>
  <c r="B45" i="46" s="1"/>
  <c r="B46" i="46" s="1"/>
  <c r="C27" i="46"/>
  <c r="E27" i="46" s="1"/>
  <c r="C26" i="46"/>
  <c r="E26" i="46" s="1"/>
  <c r="C45" i="46" s="1"/>
  <c r="C25" i="46"/>
  <c r="E25" i="46" s="1"/>
  <c r="C44" i="46" s="1"/>
  <c r="C24" i="46"/>
  <c r="E24" i="46" s="1"/>
  <c r="C43" i="46" s="1"/>
  <c r="C23" i="46"/>
  <c r="C22" i="46"/>
  <c r="C21" i="46"/>
  <c r="B21" i="46"/>
  <c r="C39" i="46"/>
  <c r="D22" i="46"/>
  <c r="E21" i="46"/>
  <c r="C40" i="46" s="1"/>
  <c r="B22" i="46"/>
  <c r="B23" i="46" s="1"/>
  <c r="B24" i="46" s="1"/>
  <c r="B25" i="46" s="1"/>
  <c r="B26" i="46" s="1"/>
  <c r="B27" i="46" s="1"/>
  <c r="E99" i="47" l="1"/>
  <c r="E100" i="47" s="1"/>
  <c r="C70" i="47"/>
  <c r="C71" i="47" s="1"/>
  <c r="H100" i="47"/>
  <c r="F27" i="46"/>
  <c r="C46" i="46"/>
  <c r="E46" i="46" s="1"/>
  <c r="C51" i="46"/>
  <c r="E22" i="46"/>
  <c r="F26" i="46"/>
  <c r="F25" i="46"/>
  <c r="D23" i="46"/>
  <c r="E23" i="46" s="1"/>
  <c r="H102" i="47" l="1"/>
  <c r="F23" i="46"/>
  <c r="F30" i="46" s="1"/>
  <c r="C42" i="46"/>
  <c r="F22" i="46"/>
  <c r="C41" i="46"/>
  <c r="F24" i="46"/>
  <c r="I99" i="47" l="1"/>
  <c r="K99" i="47" s="1"/>
  <c r="I97" i="47"/>
  <c r="K97" i="47" s="1"/>
  <c r="I96" i="47"/>
  <c r="K96" i="47" s="1"/>
  <c r="I98" i="47"/>
  <c r="K98" i="47" s="1"/>
  <c r="F29" i="46"/>
  <c r="C51" i="45" l="1"/>
  <c r="C66" i="45" s="1"/>
  <c r="X45" i="45"/>
  <c r="X39" i="45"/>
  <c r="T47" i="45"/>
  <c r="T41" i="45"/>
  <c r="F16" i="45"/>
  <c r="F20" i="45" s="1"/>
  <c r="F22" i="45" s="1"/>
  <c r="C65" i="45"/>
  <c r="E45" i="45"/>
  <c r="E51" i="45" s="1"/>
  <c r="R42" i="45"/>
  <c r="V42" i="45" s="1"/>
  <c r="F17" i="45"/>
  <c r="D51" i="45" l="1"/>
  <c r="D50" i="45" s="1"/>
  <c r="D52" i="45" s="1"/>
  <c r="D68" i="45" s="1"/>
  <c r="D65" i="45"/>
  <c r="D66" i="45" s="1"/>
  <c r="D67" i="45" s="1"/>
  <c r="E50" i="45"/>
  <c r="E52" i="45" s="1"/>
  <c r="E68" i="45" s="1"/>
  <c r="E66" i="45"/>
  <c r="E67" i="45" s="1"/>
  <c r="F18" i="45"/>
  <c r="F24" i="45" s="1"/>
  <c r="D53" i="45" l="1"/>
  <c r="D55" i="45" s="1"/>
  <c r="E69" i="45"/>
  <c r="E71" i="45" s="1"/>
  <c r="D69" i="45"/>
  <c r="E53" i="45"/>
  <c r="E55" i="45" s="1"/>
  <c r="D71" i="45" l="1"/>
  <c r="F71" i="45" s="1"/>
  <c r="F55" i="45"/>
  <c r="C61" i="43" l="1"/>
  <c r="B61" i="43"/>
  <c r="A61" i="43"/>
  <c r="D60" i="43"/>
  <c r="C60" i="43"/>
  <c r="B60" i="43"/>
  <c r="A60" i="43"/>
  <c r="D59" i="43"/>
  <c r="C59" i="43"/>
  <c r="B59" i="43"/>
  <c r="A59" i="43"/>
  <c r="D58" i="43"/>
  <c r="C58" i="43"/>
  <c r="B58" i="43"/>
  <c r="A58" i="43"/>
  <c r="D57" i="43"/>
  <c r="C57" i="43"/>
  <c r="B57" i="43"/>
  <c r="A57" i="43"/>
  <c r="B49" i="43"/>
  <c r="B48" i="43"/>
  <c r="B47" i="43"/>
  <c r="B46" i="43"/>
  <c r="B45" i="43"/>
  <c r="B44" i="43"/>
  <c r="B43" i="43"/>
  <c r="A49" i="43"/>
  <c r="A48" i="43"/>
  <c r="A47" i="43"/>
  <c r="A46" i="43"/>
  <c r="A45" i="43"/>
  <c r="A44" i="43"/>
  <c r="A43" i="43"/>
  <c r="B41" i="43"/>
  <c r="A41" i="43"/>
  <c r="B40" i="43"/>
  <c r="C40" i="43" s="1"/>
  <c r="A40" i="43"/>
  <c r="B39" i="43"/>
  <c r="C39" i="43" s="1"/>
  <c r="A39" i="43"/>
  <c r="B38" i="43"/>
  <c r="C38" i="43" s="1"/>
  <c r="A38" i="43"/>
  <c r="B37" i="43"/>
  <c r="C37" i="43" s="1"/>
  <c r="D37" i="43" s="1"/>
  <c r="D49" i="43" s="1"/>
  <c r="A37" i="43"/>
  <c r="B36" i="43"/>
  <c r="A36" i="43"/>
  <c r="E59" i="43"/>
  <c r="C41" i="43"/>
  <c r="E58" i="43" l="1"/>
  <c r="C62" i="43"/>
  <c r="B62" i="43"/>
  <c r="E60" i="43"/>
  <c r="E49" i="43"/>
  <c r="D38" i="43"/>
  <c r="D48" i="43" s="1"/>
  <c r="E48" i="43" s="1"/>
  <c r="D40" i="43"/>
  <c r="D46" i="43" s="1"/>
  <c r="E46" i="43" s="1"/>
  <c r="D39" i="43"/>
  <c r="D47" i="43" s="1"/>
  <c r="E47" i="43" s="1"/>
  <c r="D41" i="43"/>
  <c r="D45" i="43" s="1"/>
  <c r="E45" i="43" s="1"/>
  <c r="E50" i="43" l="1"/>
  <c r="D61" i="43" s="1"/>
  <c r="D62" i="43" l="1"/>
  <c r="E62" i="43" s="1"/>
  <c r="E61" i="43"/>
  <c r="E64" i="43" l="1"/>
  <c r="E66" i="43" s="1"/>
  <c r="D77" i="43" s="1"/>
  <c r="E70" i="43"/>
  <c r="B40" i="42"/>
  <c r="B41" i="42" s="1"/>
  <c r="B42" i="42" s="1"/>
  <c r="B43" i="42" s="1"/>
  <c r="E33" i="42"/>
  <c r="F50" i="42" s="1"/>
  <c r="D33" i="42"/>
  <c r="B31" i="42"/>
  <c r="B32" i="42" s="1"/>
  <c r="B33" i="42" s="1"/>
  <c r="B34" i="42" s="1"/>
  <c r="B35" i="42" s="1"/>
  <c r="D34" i="42"/>
  <c r="G31" i="42"/>
  <c r="F32" i="42"/>
  <c r="E32" i="42"/>
  <c r="D32" i="42"/>
  <c r="C41" i="42" s="1"/>
  <c r="F31" i="42"/>
  <c r="E31" i="42"/>
  <c r="D31" i="42"/>
  <c r="C35" i="42"/>
  <c r="C34" i="42"/>
  <c r="C33" i="42"/>
  <c r="C32" i="42"/>
  <c r="C31" i="42"/>
  <c r="D30" i="42"/>
  <c r="E30" i="42" s="1"/>
  <c r="F30" i="42" s="1"/>
  <c r="G30" i="42" s="1"/>
  <c r="E40" i="42" l="1"/>
  <c r="E41" i="42"/>
  <c r="C40" i="42"/>
  <c r="F40" i="42"/>
  <c r="F44" i="42" s="1"/>
  <c r="D41" i="42"/>
  <c r="C43" i="42"/>
  <c r="D40" i="42"/>
  <c r="D42" i="42"/>
  <c r="C42" i="42"/>
  <c r="E44" i="42" l="1"/>
  <c r="D44" i="42"/>
  <c r="C44" i="42"/>
  <c r="G44" i="42"/>
  <c r="G45" i="42" s="1"/>
  <c r="F45" i="42" s="1"/>
  <c r="F52" i="41"/>
  <c r="F56" i="41" s="1"/>
  <c r="F50" i="41"/>
  <c r="F51" i="41" s="1"/>
  <c r="E45" i="42" l="1"/>
  <c r="F51" i="42" s="1"/>
  <c r="F52" i="42" s="1"/>
  <c r="F53" i="42" s="1"/>
  <c r="D45" i="42"/>
  <c r="C45" i="42" s="1"/>
  <c r="F57" i="41"/>
  <c r="F53" i="41"/>
  <c r="R59" i="45" l="1"/>
  <c r="V59" i="45" s="1"/>
  <c r="R36" i="45"/>
  <c r="V36" i="45" s="1"/>
  <c r="R14" i="45"/>
  <c r="V14" i="45" s="1"/>
  <c r="F31" i="46" l="1" a="1"/>
  <c r="F31" i="46" s="1"/>
  <c r="F33" i="46" s="1"/>
  <c r="D45" i="46" l="1"/>
  <c r="D44" i="46" l="1"/>
  <c r="E45" i="46"/>
  <c r="D43" i="46" l="1"/>
  <c r="E44" i="46"/>
  <c r="D42" i="46" l="1"/>
  <c r="E43" i="46"/>
  <c r="D41" i="46" l="1"/>
  <c r="E42" i="46"/>
  <c r="D40" i="46" l="1"/>
  <c r="E40" i="46" s="1"/>
  <c r="E41" i="46"/>
  <c r="E50" i="46" s="1"/>
  <c r="E51" i="46" s="1"/>
  <c r="C61" i="46" l="1"/>
  <c r="E61" i="46" s="1"/>
  <c r="C65" i="46"/>
  <c r="E65" i="46" s="1"/>
  <c r="C60" i="46"/>
  <c r="E60" i="46" s="1"/>
  <c r="C59" i="46"/>
  <c r="E59" i="46" s="1"/>
  <c r="C64" i="46"/>
  <c r="E64" i="46" s="1"/>
  <c r="C63" i="46"/>
  <c r="E63" i="46" s="1"/>
  <c r="C62" i="46"/>
  <c r="E62" i="46" s="1"/>
  <c r="E49" i="46"/>
  <c r="E66" i="4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<sst xmlns="http://schemas.openxmlformats.org/spreadsheetml/2006/main" count="582" uniqueCount="418">
  <si>
    <t>(c)</t>
  </si>
  <si>
    <t>ANSWER:</t>
  </si>
  <si>
    <t>(d)</t>
  </si>
  <si>
    <t>(e)</t>
  </si>
  <si>
    <t>(a)</t>
  </si>
  <si>
    <t>(b)</t>
  </si>
  <si>
    <t>(f)</t>
  </si>
  <si>
    <t>(g)</t>
  </si>
  <si>
    <r>
      <t>(</t>
    </r>
    <r>
      <rPr>
        <i/>
        <sz val="12"/>
        <color rgb="FF002060"/>
        <rFont val="Times New Roman"/>
        <family val="1"/>
      </rPr>
      <t>4 points</t>
    </r>
    <r>
      <rPr>
        <sz val="12"/>
        <color rgb="FF002060"/>
        <rFont val="Times New Roman"/>
        <family val="1"/>
      </rPr>
      <t>)</t>
    </r>
  </si>
  <si>
    <t>You may choose to draw on this diagram to assist you in responding to this question. Use of this diagram is not required for full credit.</t>
  </si>
  <si>
    <t>Question 1</t>
  </si>
  <si>
    <t>You are conducting a ratemaking exercise for a line of business.</t>
  </si>
  <si>
    <r>
      <t>(</t>
    </r>
    <r>
      <rPr>
        <i/>
        <sz val="12"/>
        <color rgb="FF002060"/>
        <rFont val="Times New Roman"/>
        <family val="1"/>
      </rPr>
      <t>0.5 points</t>
    </r>
    <r>
      <rPr>
        <sz val="12"/>
        <color rgb="FF002060"/>
        <rFont val="Times New Roman"/>
        <family val="1"/>
      </rPr>
      <t>)  Define contingency margins.</t>
    </r>
  </si>
  <si>
    <t>You are using a pure premium approach to ratemaking.</t>
  </si>
  <si>
    <r>
      <t>(</t>
    </r>
    <r>
      <rPr>
        <i/>
        <sz val="12"/>
        <color rgb="FF002060"/>
        <rFont val="Times New Roman"/>
        <family val="1"/>
      </rPr>
      <t>1 point</t>
    </r>
    <r>
      <rPr>
        <sz val="12"/>
        <color rgb="FF002060"/>
        <rFont val="Times New Roman"/>
        <family val="1"/>
      </rPr>
      <t>)  Describe two situations where the pure premium approach might be preferred to the claim ratio approach.</t>
    </r>
  </si>
  <si>
    <r>
      <t>(</t>
    </r>
    <r>
      <rPr>
        <i/>
        <sz val="12"/>
        <color rgb="FF002060"/>
        <rFont val="Times New Roman"/>
        <family val="1"/>
      </rPr>
      <t>0.5 points</t>
    </r>
    <r>
      <rPr>
        <sz val="12"/>
        <color rgb="FF002060"/>
        <rFont val="Times New Roman"/>
        <family val="1"/>
      </rPr>
      <t>)  Describe how the fixed expense provision is calculated when you are given the fixed expenses to premium ratio.</t>
    </r>
  </si>
  <si>
    <t>You are given:</t>
  </si>
  <si>
    <t xml:space="preserve"> per exposure.</t>
  </si>
  <si>
    <r>
      <t>·</t>
    </r>
    <r>
      <rPr>
        <sz val="7"/>
        <color rgb="FF002060"/>
        <rFont val="Times New Roman"/>
        <family val="1"/>
      </rPr>
      <t xml:space="preserve">       </t>
    </r>
    <r>
      <rPr>
        <sz val="12"/>
        <color rgb="FF002060"/>
        <rFont val="Times New Roman"/>
        <family val="1"/>
      </rPr>
      <t xml:space="preserve">All claim costs, including ULAE, are </t>
    </r>
  </si>
  <si>
    <r>
      <t>·</t>
    </r>
    <r>
      <rPr>
        <sz val="7"/>
        <color rgb="FF002060"/>
        <rFont val="Times New Roman"/>
        <family val="1"/>
      </rPr>
      <t xml:space="preserve">       </t>
    </r>
    <r>
      <rPr>
        <sz val="12"/>
        <color rgb="FF002060"/>
        <rFont val="Times New Roman"/>
        <family val="1"/>
      </rPr>
      <t>Fixed expenses are</t>
    </r>
  </si>
  <si>
    <t xml:space="preserve"> of premium.</t>
  </si>
  <si>
    <r>
      <t>·</t>
    </r>
    <r>
      <rPr>
        <sz val="7"/>
        <color rgb="FF002060"/>
        <rFont val="Times New Roman"/>
        <family val="1"/>
      </rPr>
      <t xml:space="preserve">       </t>
    </r>
    <r>
      <rPr>
        <sz val="12"/>
        <color rgb="FF002060"/>
        <rFont val="Times New Roman"/>
        <family val="1"/>
      </rPr>
      <t>Variable expenses are</t>
    </r>
  </si>
  <si>
    <r>
      <t>·</t>
    </r>
    <r>
      <rPr>
        <sz val="7"/>
        <color rgb="FF002060"/>
        <rFont val="Times New Roman"/>
        <family val="1"/>
      </rPr>
      <t xml:space="preserve">       </t>
    </r>
    <r>
      <rPr>
        <sz val="12"/>
        <color rgb="FF002060"/>
        <rFont val="Times New Roman"/>
        <family val="1"/>
      </rPr>
      <t>The underwriting profit and contingency margin provision is</t>
    </r>
  </si>
  <si>
    <t xml:space="preserve"> counts.</t>
  </si>
  <si>
    <r>
      <t>·</t>
    </r>
    <r>
      <rPr>
        <sz val="7"/>
        <color rgb="FF002060"/>
        <rFont val="Times New Roman"/>
        <family val="1"/>
      </rPr>
      <t xml:space="preserve">       </t>
    </r>
    <r>
      <rPr>
        <sz val="12"/>
        <color rgb="FF002060"/>
        <rFont val="Times New Roman"/>
        <family val="1"/>
      </rPr>
      <t>The full credibility standard using classical credibility is</t>
    </r>
  </si>
  <si>
    <r>
      <t>·</t>
    </r>
    <r>
      <rPr>
        <sz val="7"/>
        <color rgb="FF002060"/>
        <rFont val="Times New Roman"/>
        <family val="1"/>
      </rPr>
      <t xml:space="preserve">       </t>
    </r>
    <r>
      <rPr>
        <sz val="12"/>
        <color rgb="FF002060"/>
        <rFont val="Times New Roman"/>
        <family val="1"/>
      </rPr>
      <t>The total counts in the experience period are</t>
    </r>
  </si>
  <si>
    <r>
      <t>·</t>
    </r>
    <r>
      <rPr>
        <sz val="7"/>
        <color rgb="FF002060"/>
        <rFont val="Times New Roman"/>
        <family val="1"/>
      </rPr>
      <t xml:space="preserve">       </t>
    </r>
    <r>
      <rPr>
        <sz val="12"/>
        <color rgb="FF002060"/>
        <rFont val="Times New Roman"/>
        <family val="1"/>
      </rPr>
      <t>The indicated rate change with full credibility is an increase of</t>
    </r>
  </si>
  <si>
    <r>
      <t>(</t>
    </r>
    <r>
      <rPr>
        <i/>
        <sz val="12"/>
        <color rgb="FF002060"/>
        <rFont val="Times New Roman"/>
        <family val="1"/>
      </rPr>
      <t>2 points</t>
    </r>
    <r>
      <rPr>
        <sz val="12"/>
        <color rgb="FF002060"/>
        <rFont val="Times New Roman"/>
        <family val="1"/>
      </rPr>
      <t xml:space="preserve">)  Calculate the indicated rate using partial credibility. </t>
    </r>
  </si>
  <si>
    <t>Question 2</t>
  </si>
  <si>
    <t>Accident</t>
  </si>
  <si>
    <t>Year (AY)</t>
  </si>
  <si>
    <t xml:space="preserve">Reported Claims </t>
  </si>
  <si>
    <r>
      <t>·</t>
    </r>
    <r>
      <rPr>
        <sz val="7"/>
        <color rgb="FF002060"/>
        <rFont val="Times New Roman"/>
        <family val="1"/>
      </rPr>
      <t xml:space="preserve">       </t>
    </r>
    <r>
      <rPr>
        <sz val="12"/>
        <color rgb="FF002060"/>
        <rFont val="Times New Roman"/>
        <family val="1"/>
      </rPr>
      <t xml:space="preserve">A case estimate of </t>
    </r>
  </si>
  <si>
    <t>Question 3</t>
  </si>
  <si>
    <r>
      <t>(</t>
    </r>
    <r>
      <rPr>
        <i/>
        <sz val="12"/>
        <color rgb="FF002060"/>
        <rFont val="Times New Roman"/>
        <family val="1"/>
      </rPr>
      <t>4.5 points</t>
    </r>
    <r>
      <rPr>
        <sz val="12"/>
        <color rgb="FF002060"/>
        <rFont val="Times New Roman"/>
        <family val="1"/>
      </rPr>
      <t>)</t>
    </r>
  </si>
  <si>
    <t>Report Year</t>
  </si>
  <si>
    <t>Earned Exposures</t>
  </si>
  <si>
    <t>Maturity Age in Months</t>
  </si>
  <si>
    <t>Reported Age-to Ultimate Development Factors</t>
  </si>
  <si>
    <t>Calendar Year</t>
  </si>
  <si>
    <t>Paid ULAE</t>
  </si>
  <si>
    <t>Expected Paid Claims</t>
  </si>
  <si>
    <t>Expected Reported Claims</t>
  </si>
  <si>
    <t>?</t>
  </si>
  <si>
    <t>Estimated Ultimate Claims</t>
  </si>
  <si>
    <t xml:space="preserve"> relate to maintaining and closing a claim file.</t>
  </si>
  <si>
    <r>
      <t>·</t>
    </r>
    <r>
      <rPr>
        <sz val="7"/>
        <color rgb="FF002060"/>
        <rFont val="Times New Roman"/>
        <family val="1"/>
      </rPr>
      <t xml:space="preserve">       </t>
    </r>
    <r>
      <rPr>
        <sz val="12"/>
        <color rgb="FF002060"/>
        <rFont val="Times New Roman"/>
        <family val="1"/>
      </rPr>
      <t xml:space="preserve">Approximately </t>
    </r>
  </si>
  <si>
    <t xml:space="preserve"> of claim department expenses relate to opening a claim file</t>
  </si>
  <si>
    <t xml:space="preserve"> and</t>
  </si>
  <si>
    <r>
      <t>(</t>
    </r>
    <r>
      <rPr>
        <i/>
        <sz val="12"/>
        <color rgb="FF002060"/>
        <rFont val="Times New Roman"/>
        <family val="1"/>
      </rPr>
      <t>1 point</t>
    </r>
    <r>
      <rPr>
        <sz val="12"/>
        <color rgb="FF002060"/>
        <rFont val="Times New Roman"/>
        <family val="1"/>
      </rPr>
      <t>)  Recommend a ULAE ratio to use for this line of business using the Kittel refinement with the Mango and Allen smoothing adjustment to the classical paid-to-paid method.  Justify your recommendation.</t>
    </r>
  </si>
  <si>
    <t>A more correct application of the paid-to-paid method would require separating the IBNR into pure IBNR and development on case estimates.</t>
  </si>
  <si>
    <t>Question 4</t>
  </si>
  <si>
    <r>
      <t>(</t>
    </r>
    <r>
      <rPr>
        <i/>
        <sz val="12"/>
        <color rgb="FF002060"/>
        <rFont val="Times New Roman"/>
        <family val="1"/>
      </rPr>
      <t>3 points</t>
    </r>
    <r>
      <rPr>
        <sz val="12"/>
        <color rgb="FF002060"/>
        <rFont val="Times New Roman"/>
        <family val="1"/>
      </rPr>
      <t>)</t>
    </r>
  </si>
  <si>
    <t>You are evaluating loadings for catastrophes and large claims for a ratemaking analysis.</t>
  </si>
  <si>
    <t>Catastrophes can often increase claims severity, however, some catastrophes such as a hailstorm can decrease claims severity.</t>
  </si>
  <si>
    <r>
      <t>(</t>
    </r>
    <r>
      <rPr>
        <i/>
        <sz val="12"/>
        <color rgb="FF002060"/>
        <rFont val="Times New Roman"/>
        <family val="1"/>
      </rPr>
      <t>0.5 points</t>
    </r>
    <r>
      <rPr>
        <sz val="12"/>
        <color rgb="FF002060"/>
        <rFont val="Times New Roman"/>
        <family val="1"/>
      </rPr>
      <t>)  Describe how a hailstorm event could decrease claims severity.</t>
    </r>
  </si>
  <si>
    <r>
      <t>(</t>
    </r>
    <r>
      <rPr>
        <i/>
        <sz val="12"/>
        <color rgb="FF002060"/>
        <rFont val="Times New Roman"/>
        <family val="1"/>
      </rPr>
      <t>0.5 points</t>
    </r>
    <r>
      <rPr>
        <sz val="12"/>
        <color rgb="FF002060"/>
        <rFont val="Times New Roman"/>
        <family val="1"/>
      </rPr>
      <t>)  Describe a reason to include a loading for large claims when the historical data does not reflect any large claims.</t>
    </r>
  </si>
  <si>
    <r>
      <t>(</t>
    </r>
    <r>
      <rPr>
        <i/>
        <sz val="12"/>
        <color rgb="FF002060"/>
        <rFont val="Times New Roman"/>
        <family val="1"/>
      </rPr>
      <t>1 point</t>
    </r>
    <r>
      <rPr>
        <sz val="12"/>
        <color rgb="FF002060"/>
        <rFont val="Times New Roman"/>
        <family val="1"/>
      </rPr>
      <t>)  Provide two reasons why catastrophe claims cause delays in settlement.</t>
    </r>
  </si>
  <si>
    <r>
      <t>(</t>
    </r>
    <r>
      <rPr>
        <i/>
        <sz val="12"/>
        <color rgb="FF002060"/>
        <rFont val="Times New Roman"/>
        <family val="1"/>
      </rPr>
      <t>1 point</t>
    </r>
    <r>
      <rPr>
        <sz val="12"/>
        <color rgb="FF002060"/>
        <rFont val="Times New Roman"/>
        <family val="1"/>
      </rPr>
      <t>)  Describe two approaches to account for the effect of large claims in a ratemaking analysis.</t>
    </r>
  </si>
  <si>
    <t>Question 5</t>
  </si>
  <si>
    <r>
      <t xml:space="preserve">You are given the following for a </t>
    </r>
    <r>
      <rPr>
        <i/>
        <sz val="12"/>
        <color rgb="FF002060"/>
        <rFont val="Times New Roman"/>
        <family val="1"/>
      </rPr>
      <t>homeowners</t>
    </r>
    <r>
      <rPr>
        <sz val="12"/>
        <color rgb="FF002060"/>
        <rFont val="Times New Roman"/>
        <family val="1"/>
      </rPr>
      <t xml:space="preserve"> line of business: </t>
    </r>
  </si>
  <si>
    <r>
      <t>·</t>
    </r>
    <r>
      <rPr>
        <sz val="7"/>
        <color rgb="FF002060"/>
        <rFont val="Times New Roman"/>
        <family val="1"/>
      </rPr>
      <t xml:space="preserve">       </t>
    </r>
    <r>
      <rPr>
        <sz val="12"/>
        <color rgb="FF002060"/>
        <rFont val="Times New Roman"/>
        <family val="1"/>
      </rPr>
      <t>For policies written or renewed on or after July 1, 2024,</t>
    </r>
  </si>
  <si>
    <r>
      <t>o</t>
    </r>
    <r>
      <rPr>
        <sz val="7"/>
        <color rgb="FF002060"/>
        <rFont val="Times New Roman"/>
        <family val="1"/>
      </rPr>
      <t xml:space="preserve">   </t>
    </r>
    <r>
      <rPr>
        <sz val="12"/>
        <color rgb="FF002060"/>
        <rFont val="Times New Roman"/>
        <family val="1"/>
      </rPr>
      <t>50% of policies are written for 6-month policy terms, and</t>
    </r>
  </si>
  <si>
    <r>
      <t>o</t>
    </r>
    <r>
      <rPr>
        <sz val="7"/>
        <color rgb="FF002060"/>
        <rFont val="Times New Roman"/>
        <family val="1"/>
      </rPr>
      <t xml:space="preserve">   </t>
    </r>
    <r>
      <rPr>
        <sz val="12"/>
        <color rgb="FF002060"/>
        <rFont val="Times New Roman"/>
        <family val="1"/>
      </rPr>
      <t>50% are written for 12-month policy terms.</t>
    </r>
  </si>
  <si>
    <r>
      <t>·</t>
    </r>
    <r>
      <rPr>
        <sz val="7"/>
        <color rgb="FF002060"/>
        <rFont val="Times New Roman"/>
        <family val="1"/>
      </rPr>
      <t xml:space="preserve">       </t>
    </r>
    <r>
      <rPr>
        <sz val="12"/>
        <color rgb="FF002060"/>
        <rFont val="Times New Roman"/>
        <family val="1"/>
      </rPr>
      <t>All policies are written and earned evenly throughout the policy term.</t>
    </r>
  </si>
  <si>
    <r>
      <t>(</t>
    </r>
    <r>
      <rPr>
        <i/>
        <sz val="12"/>
        <color rgb="FF002060"/>
        <rFont val="Times New Roman"/>
        <family val="1"/>
      </rPr>
      <t>1.5 points</t>
    </r>
    <r>
      <rPr>
        <sz val="12"/>
        <color rgb="FF002060"/>
        <rFont val="Times New Roman"/>
        <family val="1"/>
      </rPr>
      <t xml:space="preserve">)  Calculate the homeowners CY 2024 </t>
    </r>
    <r>
      <rPr>
        <i/>
        <sz val="12"/>
        <color rgb="FF002060"/>
        <rFont val="Times New Roman"/>
        <family val="1"/>
      </rPr>
      <t>earned</t>
    </r>
    <r>
      <rPr>
        <sz val="12"/>
        <color rgb="FF002060"/>
        <rFont val="Times New Roman"/>
        <family val="1"/>
      </rPr>
      <t xml:space="preserve"> premiums for all policies written or renewed on or after July 1, 2024.</t>
    </r>
  </si>
  <si>
    <r>
      <t xml:space="preserve">You are given the following for an </t>
    </r>
    <r>
      <rPr>
        <i/>
        <sz val="12"/>
        <color rgb="FF002060"/>
        <rFont val="Times New Roman"/>
        <family val="1"/>
      </rPr>
      <t>automobile</t>
    </r>
    <r>
      <rPr>
        <sz val="12"/>
        <color rgb="FF002060"/>
        <rFont val="Times New Roman"/>
        <family val="1"/>
      </rPr>
      <t xml:space="preserve"> line of business:</t>
    </r>
  </si>
  <si>
    <r>
      <t>·</t>
    </r>
    <r>
      <rPr>
        <sz val="7"/>
        <color rgb="FF002060"/>
        <rFont val="Times New Roman"/>
        <family val="1"/>
      </rPr>
      <t xml:space="preserve">       </t>
    </r>
    <r>
      <rPr>
        <sz val="12"/>
        <color rgb="FF002060"/>
        <rFont val="Times New Roman"/>
        <family val="1"/>
      </rPr>
      <t>There has been no rate change since September 1, 2024.</t>
    </r>
  </si>
  <si>
    <r>
      <t>·</t>
    </r>
    <r>
      <rPr>
        <sz val="7"/>
        <color rgb="FF002060"/>
        <rFont val="Times New Roman"/>
        <family val="1"/>
      </rPr>
      <t xml:space="preserve">       </t>
    </r>
    <r>
      <rPr>
        <sz val="12"/>
        <color rgb="FF002060"/>
        <rFont val="Times New Roman"/>
        <family val="1"/>
      </rPr>
      <t xml:space="preserve">The calendar year (CY) 2024 written premiums for all policies written or renewed on or after July 1, 2024 were </t>
    </r>
  </si>
  <si>
    <r>
      <t>·</t>
    </r>
    <r>
      <rPr>
        <sz val="7"/>
        <color rgb="FF002060"/>
        <rFont val="Times New Roman"/>
        <family val="1"/>
      </rPr>
      <t xml:space="preserve">       </t>
    </r>
    <r>
      <rPr>
        <sz val="12"/>
        <color rgb="FF002060"/>
        <rFont val="Times New Roman"/>
        <family val="1"/>
      </rPr>
      <t xml:space="preserve">CY 2024 earned premiums from 12-month policies were </t>
    </r>
  </si>
  <si>
    <r>
      <t>·</t>
    </r>
    <r>
      <rPr>
        <sz val="7"/>
        <color rgb="FF002060"/>
        <rFont val="Times New Roman"/>
        <family val="1"/>
      </rPr>
      <t xml:space="preserve">       </t>
    </r>
    <r>
      <rPr>
        <sz val="12"/>
        <color rgb="FF002060"/>
        <rFont val="Times New Roman"/>
        <family val="1"/>
      </rPr>
      <t xml:space="preserve">CY 2024 earned premiums from 6-month policies were </t>
    </r>
  </si>
  <si>
    <r>
      <t>·</t>
    </r>
    <r>
      <rPr>
        <sz val="7"/>
        <color rgb="FF002060"/>
        <rFont val="Times New Roman"/>
        <family val="1"/>
      </rPr>
      <t xml:space="preserve">       </t>
    </r>
    <r>
      <rPr>
        <sz val="12"/>
        <color rgb="FF002060"/>
        <rFont val="Times New Roman"/>
        <family val="1"/>
      </rPr>
      <t>The premiums for all policies written on or after September 1, 2024 were increased by</t>
    </r>
  </si>
  <si>
    <t>Question 6</t>
  </si>
  <si>
    <t>You are estimating ultimate claims using a development-based frequency-severity method and are given:</t>
  </si>
  <si>
    <t>Accident Year</t>
  </si>
  <si>
    <t>Ultimate Counts from Frequency-Severity Method</t>
  </si>
  <si>
    <t>Ultimate Claims Based on Development Method</t>
  </si>
  <si>
    <r>
      <t>(</t>
    </r>
    <r>
      <rPr>
        <i/>
        <sz val="12"/>
        <color rgb="FF002060"/>
        <rFont val="Times New Roman"/>
        <family val="1"/>
      </rPr>
      <t>2 points</t>
    </r>
    <r>
      <rPr>
        <sz val="12"/>
        <color rgb="FF002060"/>
        <rFont val="Times New Roman"/>
        <family val="1"/>
      </rPr>
      <t>)  Recommend an annual severity trend to use for the frequency-severity method.  Justify your recommendation.</t>
    </r>
  </si>
  <si>
    <t>Question 7</t>
  </si>
  <si>
    <r>
      <t>(</t>
    </r>
    <r>
      <rPr>
        <i/>
        <sz val="12"/>
        <color rgb="FF002060"/>
        <rFont val="Times New Roman"/>
        <family val="1"/>
      </rPr>
      <t>6.5 points</t>
    </r>
    <r>
      <rPr>
        <sz val="12"/>
        <color rgb="FF002060"/>
        <rFont val="Times New Roman"/>
        <family val="1"/>
      </rPr>
      <t>)</t>
    </r>
  </si>
  <si>
    <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Explain how the Bornhuetter Ferguson method and the Cape Cod method each reflect a change in claim experience.</t>
    </r>
  </si>
  <si>
    <t>One advantage of the Generalized Cape Cod (GCC) method over other methods is it can incorporate judgement through the decay factor.</t>
  </si>
  <si>
    <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Describe another advantage the GCC method has over each of the following methods:</t>
    </r>
  </si>
  <si>
    <r>
      <t>(i)</t>
    </r>
    <r>
      <rPr>
        <sz val="7"/>
        <color rgb="FF002060"/>
        <rFont val="Times New Roman"/>
        <family val="1"/>
      </rPr>
      <t xml:space="preserve">              </t>
    </r>
    <r>
      <rPr>
        <sz val="12"/>
        <color rgb="FF002060"/>
        <rFont val="Times New Roman"/>
        <family val="1"/>
      </rPr>
      <t xml:space="preserve">the Bornhuetter Ferguson method </t>
    </r>
  </si>
  <si>
    <r>
      <t>(ii)</t>
    </r>
    <r>
      <rPr>
        <sz val="7"/>
        <color rgb="FF002060"/>
        <rFont val="Times New Roman"/>
        <family val="1"/>
      </rPr>
      <t xml:space="preserve">            </t>
    </r>
    <r>
      <rPr>
        <sz val="12"/>
        <color rgb="FF002060"/>
        <rFont val="Times New Roman"/>
        <family val="1"/>
      </rPr>
      <t>the Cape Cod method</t>
    </r>
  </si>
  <si>
    <t>(i)</t>
  </si>
  <si>
    <t>(ii)</t>
  </si>
  <si>
    <t>2025 earned exposures</t>
  </si>
  <si>
    <t>2025 earned premiums at current rate levels</t>
  </si>
  <si>
    <t>A priori expected claim ratio</t>
  </si>
  <si>
    <t>Incremental Reporting Pattern</t>
  </si>
  <si>
    <t xml:space="preserve"> 0 - 12 months</t>
  </si>
  <si>
    <t>12 - 24 months</t>
  </si>
  <si>
    <t>24 - 36 months</t>
  </si>
  <si>
    <t>36 - 48 months</t>
  </si>
  <si>
    <t>AY 2025 reported claims as of March 31, 2026</t>
  </si>
  <si>
    <r>
      <t>(</t>
    </r>
    <r>
      <rPr>
        <i/>
        <sz val="12"/>
        <color rgb="FF002060"/>
        <rFont val="Times New Roman"/>
        <family val="1"/>
      </rPr>
      <t>1 point</t>
    </r>
    <r>
      <rPr>
        <sz val="12"/>
        <color rgb="FF002060"/>
        <rFont val="Times New Roman"/>
        <family val="1"/>
      </rPr>
      <t>)  Compare actual reported claims with expected reported claims as of March 31, 2026.</t>
    </r>
  </si>
  <si>
    <r>
      <t>(</t>
    </r>
    <r>
      <rPr>
        <i/>
        <sz val="12"/>
        <color rgb="FF002060"/>
        <rFont val="Times New Roman"/>
        <family val="1"/>
      </rPr>
      <t>1 point</t>
    </r>
    <r>
      <rPr>
        <sz val="12"/>
        <color rgb="FF002060"/>
        <rFont val="Times New Roman"/>
        <family val="1"/>
      </rPr>
      <t>)  Calculate the ultimate pure premiums as of March 31, 2026 for:</t>
    </r>
  </si>
  <si>
    <r>
      <t>(ii)</t>
    </r>
    <r>
      <rPr>
        <sz val="7"/>
        <color rgb="FF002060"/>
        <rFont val="Times New Roman"/>
        <family val="1"/>
      </rPr>
      <t xml:space="preserve">              </t>
    </r>
    <r>
      <rPr>
        <sz val="12"/>
        <color rgb="FF002060"/>
        <rFont val="Times New Roman"/>
        <family val="1"/>
      </rPr>
      <t xml:space="preserve">the Bornhuetter Ferguson method </t>
    </r>
  </si>
  <si>
    <r>
      <t>(i)</t>
    </r>
    <r>
      <rPr>
        <sz val="7"/>
        <color rgb="FF002060"/>
        <rFont val="Times New Roman"/>
        <family val="1"/>
      </rPr>
      <t xml:space="preserve">              </t>
    </r>
    <r>
      <rPr>
        <sz val="12"/>
        <color rgb="FF002060"/>
        <rFont val="Times New Roman"/>
        <family val="1"/>
      </rPr>
      <t xml:space="preserve">the expected method </t>
    </r>
  </si>
  <si>
    <r>
      <t>(</t>
    </r>
    <r>
      <rPr>
        <i/>
        <sz val="12"/>
        <color rgb="FF002060"/>
        <rFont val="Times New Roman"/>
        <family val="1"/>
      </rPr>
      <t>0.5 points</t>
    </r>
    <r>
      <rPr>
        <sz val="12"/>
        <color rgb="FF002060"/>
        <rFont val="Times New Roman"/>
        <family val="1"/>
      </rPr>
      <t xml:space="preserve">) </t>
    </r>
    <r>
      <rPr>
        <i/>
        <sz val="12"/>
        <color rgb="FF002060"/>
        <rFont val="Times New Roman"/>
        <family val="1"/>
      </rPr>
      <t xml:space="preserve"> </t>
    </r>
    <r>
      <rPr>
        <sz val="12"/>
        <color rgb="FF002060"/>
        <rFont val="Times New Roman"/>
        <family val="1"/>
      </rPr>
      <t>Calculate the IBNR reserves as of December 31, 2026 using the Bornhuetter Ferguson method.</t>
    </r>
  </si>
  <si>
    <t>You are also given:</t>
  </si>
  <si>
    <t>Accident Year (AY)</t>
  </si>
  <si>
    <t>Reported Claims as of March 31, 2026</t>
  </si>
  <si>
    <r>
      <t>(</t>
    </r>
    <r>
      <rPr>
        <i/>
        <sz val="12"/>
        <color rgb="FF002060"/>
        <rFont val="Times New Roman"/>
        <family val="1"/>
      </rPr>
      <t>2 points</t>
    </r>
    <r>
      <rPr>
        <sz val="12"/>
        <color rgb="FF002060"/>
        <rFont val="Times New Roman"/>
        <family val="1"/>
      </rPr>
      <t xml:space="preserve">) </t>
    </r>
    <r>
      <rPr>
        <i/>
        <sz val="12"/>
        <color rgb="FF002060"/>
        <rFont val="Times New Roman"/>
        <family val="1"/>
      </rPr>
      <t xml:space="preserve"> </t>
    </r>
    <r>
      <rPr>
        <sz val="12"/>
        <color rgb="FF002060"/>
        <rFont val="Times New Roman"/>
        <family val="1"/>
      </rPr>
      <t>Calculate the AY 2025 ultimate claims as of March 31, 2026 using the Cape Cod method.</t>
    </r>
  </si>
  <si>
    <t>Question 8</t>
  </si>
  <si>
    <r>
      <t>(</t>
    </r>
    <r>
      <rPr>
        <i/>
        <sz val="12"/>
        <color rgb="FF002060"/>
        <rFont val="Times New Roman"/>
        <family val="1"/>
      </rPr>
      <t>7.5 points</t>
    </r>
    <r>
      <rPr>
        <sz val="12"/>
        <color rgb="FF002060"/>
        <rFont val="Times New Roman"/>
        <family val="1"/>
      </rPr>
      <t>)</t>
    </r>
  </si>
  <si>
    <t>XYZ Insurance has acquired a new line of business that started writing policies in 2022.  You are given the following as of December 31, 2024:</t>
  </si>
  <si>
    <t>Cumulative Paid Claims</t>
  </si>
  <si>
    <t>AY</t>
  </si>
  <si>
    <t>Case Estimates</t>
  </si>
  <si>
    <t>Open Counts</t>
  </si>
  <si>
    <t>You are given the following as of October 31, 2025:</t>
  </si>
  <si>
    <t>Incremental Paid Claims Jan. 1, 2025 through Oct. 31, 2025</t>
  </si>
  <si>
    <t>Case Estimates as of Oct. 31, 2025</t>
  </si>
  <si>
    <t>Open Counts as of Oct. 31, 2025</t>
  </si>
  <si>
    <t>During November and December 2025, only the following transactions were recorded:</t>
  </si>
  <si>
    <t xml:space="preserve"> No payments have been made on this claim.</t>
  </si>
  <si>
    <r>
      <t>·</t>
    </r>
    <r>
      <rPr>
        <sz val="7"/>
        <color rgb="FF002060"/>
        <rFont val="Times New Roman"/>
        <family val="1"/>
      </rPr>
      <t xml:space="preserve">       </t>
    </r>
    <r>
      <rPr>
        <sz val="12"/>
        <color rgb="FF002060"/>
        <rFont val="Times New Roman"/>
        <family val="1"/>
      </rPr>
      <t xml:space="preserve">A new claim which occurred on June 1, 2024 was reported on November 15, 2025 with an initial case estimate of </t>
    </r>
  </si>
  <si>
    <r>
      <t>·</t>
    </r>
    <r>
      <rPr>
        <sz val="7"/>
        <color rgb="FF002060"/>
        <rFont val="Times New Roman"/>
        <family val="1"/>
      </rPr>
      <t xml:space="preserve">       </t>
    </r>
    <r>
      <rPr>
        <sz val="12"/>
        <color rgb="FF002060"/>
        <rFont val="Times New Roman"/>
        <family val="1"/>
      </rPr>
      <t>An open claim from AY 2023 was closed on December 1, 2025 with a final lump sum payment of</t>
    </r>
  </si>
  <si>
    <t xml:space="preserve">The case estimate as of October 31, 2025 for this claim was </t>
  </si>
  <si>
    <t>and no new payments.</t>
  </si>
  <si>
    <r>
      <t>·</t>
    </r>
    <r>
      <rPr>
        <sz val="7"/>
        <color rgb="FF002060"/>
        <rFont val="Times New Roman"/>
        <family val="1"/>
      </rPr>
      <t xml:space="preserve">       </t>
    </r>
    <r>
      <rPr>
        <sz val="12"/>
        <color rgb="FF002060"/>
        <rFont val="Times New Roman"/>
        <family val="1"/>
      </rPr>
      <t xml:space="preserve">A closed claim from AY 2025 was reopened on November 30, 2025, with a new case estimate of </t>
    </r>
  </si>
  <si>
    <r>
      <t>(</t>
    </r>
    <r>
      <rPr>
        <i/>
        <sz val="12"/>
        <color rgb="FF002060"/>
        <rFont val="Times New Roman"/>
        <family val="1"/>
      </rPr>
      <t>2 points</t>
    </r>
    <r>
      <rPr>
        <sz val="12"/>
        <color rgb="FF002060"/>
        <rFont val="Times New Roman"/>
        <family val="1"/>
      </rPr>
      <t>)  Calculate the calendar year 2025 reported claims as of December 31, 2025.</t>
    </r>
  </si>
  <si>
    <t>The annual claim severity trend in a stable environment is</t>
  </si>
  <si>
    <r>
      <t>(</t>
    </r>
    <r>
      <rPr>
        <i/>
        <sz val="12"/>
        <color rgb="FF002060"/>
        <rFont val="Times New Roman"/>
        <family val="1"/>
      </rPr>
      <t>1 point</t>
    </r>
    <r>
      <rPr>
        <sz val="12"/>
        <color rgb="FF002060"/>
        <rFont val="Times New Roman"/>
        <family val="1"/>
      </rPr>
      <t>)  Construct the triangle of average case estimates as of December 31, 2025.</t>
    </r>
  </si>
  <si>
    <r>
      <t>(</t>
    </r>
    <r>
      <rPr>
        <i/>
        <sz val="12"/>
        <color rgb="FF002060"/>
        <rFont val="Times New Roman"/>
        <family val="1"/>
      </rPr>
      <t>0.5 points</t>
    </r>
    <r>
      <rPr>
        <sz val="12"/>
        <color rgb="FF002060"/>
        <rFont val="Times New Roman"/>
        <family val="1"/>
      </rPr>
      <t>)  Assess whether the triangle of average case estimates indicates any significant change in case adequacy.</t>
    </r>
  </si>
  <si>
    <r>
      <t>(</t>
    </r>
    <r>
      <rPr>
        <i/>
        <sz val="12"/>
        <color rgb="FF002060"/>
        <rFont val="Times New Roman"/>
        <family val="1"/>
      </rPr>
      <t>1 point</t>
    </r>
    <r>
      <rPr>
        <sz val="12"/>
        <color rgb="FF002060"/>
        <rFont val="Times New Roman"/>
        <family val="1"/>
      </rPr>
      <t>)  Construct the triangle of paid to reported ratios as of December 31, 2025.</t>
    </r>
  </si>
  <si>
    <r>
      <t>(</t>
    </r>
    <r>
      <rPr>
        <i/>
        <sz val="12"/>
        <color rgb="FF002060"/>
        <rFont val="Times New Roman"/>
        <family val="1"/>
      </rPr>
      <t>0.5 points</t>
    </r>
    <r>
      <rPr>
        <sz val="12"/>
        <color rgb="FF002060"/>
        <rFont val="Times New Roman"/>
        <family val="1"/>
      </rPr>
      <t>)  Assess whether the triangle of paid to reported ratios indicates any significant change in case adequacy.</t>
    </r>
  </si>
  <si>
    <t>You have decided to estimate ultimate claims using the development method applied to reported claims, using a Berquist-Sherman adjustment for a change in case adequacy.</t>
  </si>
  <si>
    <r>
      <t>(</t>
    </r>
    <r>
      <rPr>
        <i/>
        <sz val="12"/>
        <color rgb="FF002060"/>
        <rFont val="Times New Roman"/>
        <family val="1"/>
      </rPr>
      <t>1.5 points</t>
    </r>
    <r>
      <rPr>
        <sz val="12"/>
        <color rgb="FF002060"/>
        <rFont val="Times New Roman"/>
        <family val="1"/>
      </rPr>
      <t>)  Calculate the adjusted reported claims triangle.</t>
    </r>
  </si>
  <si>
    <t>A colleague has recommended using industry data for development factors instead of development factors determined from the adjusted reported claims in part (f).</t>
  </si>
  <si>
    <r>
      <t>(</t>
    </r>
    <r>
      <rPr>
        <i/>
        <sz val="12"/>
        <color rgb="FF002060"/>
        <rFont val="Times New Roman"/>
        <family val="1"/>
      </rPr>
      <t>1 point</t>
    </r>
    <r>
      <rPr>
        <sz val="12"/>
        <color rgb="FF002060"/>
        <rFont val="Times New Roman"/>
        <family val="1"/>
      </rPr>
      <t>)  Critique your colleague’s recommendation for this line of business by describing one positive aspect and one negative aspect of the recommendation.</t>
    </r>
  </si>
  <si>
    <t>Question 9</t>
  </si>
  <si>
    <r>
      <t>(</t>
    </r>
    <r>
      <rPr>
        <i/>
        <sz val="12"/>
        <color rgb="FF002060"/>
        <rFont val="Times New Roman"/>
        <family val="1"/>
      </rPr>
      <t>3.5 points</t>
    </r>
    <r>
      <rPr>
        <sz val="12"/>
        <color rgb="FF002060"/>
        <rFont val="Times New Roman"/>
        <family val="1"/>
      </rPr>
      <t>)</t>
    </r>
  </si>
  <si>
    <t>You are conducting a premium trend analysis to account for vehicle rate group drift as part of a ratemaking analysis, and are given:</t>
  </si>
  <si>
    <t>Vehicle Rating Group</t>
  </si>
  <si>
    <t>Calendar Year Earned Vehicles by Vehicle Rate Group</t>
  </si>
  <si>
    <t>Current Differentials</t>
  </si>
  <si>
    <t>Total</t>
  </si>
  <si>
    <r>
      <t>(</t>
    </r>
    <r>
      <rPr>
        <i/>
        <sz val="12"/>
        <color rgb="FF002060"/>
        <rFont val="Times New Roman"/>
        <family val="1"/>
      </rPr>
      <t>1.5 points</t>
    </r>
    <r>
      <rPr>
        <sz val="12"/>
        <color rgb="FF002060"/>
        <rFont val="Times New Roman"/>
        <family val="1"/>
      </rPr>
      <t>)  Calculate the annual change in premium for each year.</t>
    </r>
  </si>
  <si>
    <r>
      <t>(</t>
    </r>
    <r>
      <rPr>
        <i/>
        <sz val="12"/>
        <color rgb="FF002060"/>
        <rFont val="Times New Roman"/>
        <family val="1"/>
      </rPr>
      <t>1 point</t>
    </r>
    <r>
      <rPr>
        <sz val="12"/>
        <color rgb="FF002060"/>
        <rFont val="Times New Roman"/>
        <family val="1"/>
      </rPr>
      <t>)  Recommend an annual premium trend rate to adjust from calendar year 2022 to the future rating period.  Justify your recommendation.</t>
    </r>
  </si>
  <si>
    <r>
      <t>·</t>
    </r>
    <r>
      <rPr>
        <sz val="7"/>
        <color rgb="FF002060"/>
        <rFont val="Times New Roman"/>
        <family val="1"/>
      </rPr>
      <t xml:space="preserve">       </t>
    </r>
    <r>
      <rPr>
        <sz val="12"/>
        <color rgb="FF002060"/>
        <rFont val="Times New Roman"/>
        <family val="1"/>
      </rPr>
      <t>All policies are annual and are written and earned evenly throughout the year.</t>
    </r>
  </si>
  <si>
    <r>
      <t>·</t>
    </r>
    <r>
      <rPr>
        <sz val="7"/>
        <color rgb="FF002060"/>
        <rFont val="Times New Roman"/>
        <family val="1"/>
      </rPr>
      <t xml:space="preserve">       </t>
    </r>
    <r>
      <rPr>
        <sz val="12"/>
        <color rgb="FF002060"/>
        <rFont val="Times New Roman"/>
        <family val="1"/>
      </rPr>
      <t>The new rates will be effective for one year on September 1, 2026.</t>
    </r>
  </si>
  <si>
    <r>
      <t>·</t>
    </r>
    <r>
      <rPr>
        <sz val="7"/>
        <color rgb="FF002060"/>
        <rFont val="Times New Roman"/>
        <family val="1"/>
      </rPr>
      <t xml:space="preserve">       </t>
    </r>
    <r>
      <rPr>
        <sz val="12"/>
        <color rgb="FF002060"/>
        <rFont val="Times New Roman"/>
        <family val="1"/>
      </rPr>
      <t xml:space="preserve">Calendar year 2022 earned premiums adjusted to current rate levels are </t>
    </r>
  </si>
  <si>
    <t>Question 10</t>
  </si>
  <si>
    <t>When estimating unpaid claims, an actuary should consider how changes in policy limits will affect their data and selected projection methods.</t>
  </si>
  <si>
    <t xml:space="preserve">State X increased the bodily injury minimum financial responsibility policy limits for auto policies from 25,000 to 50,000 for all policies in force effective January 1, 2025. </t>
  </si>
  <si>
    <r>
      <t>(</t>
    </r>
    <r>
      <rPr>
        <i/>
        <sz val="12"/>
        <color rgb="FF002060"/>
        <rFont val="Times New Roman"/>
        <family val="1"/>
      </rPr>
      <t>1 point</t>
    </r>
    <r>
      <rPr>
        <sz val="12"/>
        <color rgb="FF002060"/>
        <rFont val="Times New Roman"/>
        <family val="1"/>
      </rPr>
      <t>)  Describe how this policy limit change is likely to affect the following:</t>
    </r>
  </si>
  <si>
    <r>
      <t>(i)</t>
    </r>
    <r>
      <rPr>
        <sz val="7"/>
        <color rgb="FF002060"/>
        <rFont val="Times New Roman"/>
        <family val="1"/>
      </rPr>
      <t xml:space="preserve">              </t>
    </r>
    <r>
      <rPr>
        <sz val="12"/>
        <color rgb="FF002060"/>
        <rFont val="Times New Roman"/>
        <family val="1"/>
      </rPr>
      <t>Frequency and severity of claim data</t>
    </r>
  </si>
  <si>
    <r>
      <t>(ii)</t>
    </r>
    <r>
      <rPr>
        <sz val="7"/>
        <color rgb="FF002060"/>
        <rFont val="Times New Roman"/>
        <family val="1"/>
      </rPr>
      <t xml:space="preserve">            </t>
    </r>
    <r>
      <rPr>
        <sz val="12"/>
        <color rgb="FF002060"/>
        <rFont val="Times New Roman"/>
        <family val="1"/>
      </rPr>
      <t>Development pattern for paid claims</t>
    </r>
  </si>
  <si>
    <r>
      <t>(</t>
    </r>
    <r>
      <rPr>
        <i/>
        <sz val="12"/>
        <color rgb="FF002060"/>
        <rFont val="Times New Roman"/>
        <family val="1"/>
      </rPr>
      <t>0.5 points</t>
    </r>
    <r>
      <rPr>
        <sz val="12"/>
        <color rgb="FF002060"/>
        <rFont val="Times New Roman"/>
        <family val="1"/>
      </rPr>
      <t>)  Recommend an approach to estimating ultimate claims for accident year 2025.</t>
    </r>
  </si>
  <si>
    <r>
      <t xml:space="preserve">You are projecting ultimate claims for a long-tailed line of business in an environment with steady-state volume and a material change in claim settlement pattern.  Your colleague has suggested using </t>
    </r>
    <r>
      <rPr>
        <u/>
        <sz val="12"/>
        <color rgb="FF002060"/>
        <rFont val="Times New Roman"/>
        <family val="1"/>
      </rPr>
      <t>paid</t>
    </r>
    <r>
      <rPr>
        <sz val="12"/>
        <color rgb="FF002060"/>
        <rFont val="Times New Roman"/>
        <family val="1"/>
      </rPr>
      <t xml:space="preserve"> data applied to either the Bornhuetter Ferguson method or the Cape Cod method to estimate ultimate claims.</t>
    </r>
  </si>
  <si>
    <r>
      <t>(</t>
    </r>
    <r>
      <rPr>
        <i/>
        <sz val="12"/>
        <color rgb="FF002060"/>
        <rFont val="Times New Roman"/>
        <family val="1"/>
      </rPr>
      <t>1 point</t>
    </r>
    <r>
      <rPr>
        <sz val="12"/>
        <color rgb="FF002060"/>
        <rFont val="Times New Roman"/>
        <family val="1"/>
      </rPr>
      <t>) Explain which of these two methods is a more accurate projection method under this scenario, when no explicit adjustments are made to the method or data.  Justify your selection.</t>
    </r>
  </si>
  <si>
    <t>You are estimating IBNR for a line of business using various methods to compare the results.  Your colleague recommends disregarding the methods that resulted in negative IBNR.</t>
  </si>
  <si>
    <r>
      <t>(</t>
    </r>
    <r>
      <rPr>
        <i/>
        <sz val="12"/>
        <color rgb="FF002060"/>
        <rFont val="Times New Roman"/>
        <family val="1"/>
      </rPr>
      <t>1 point</t>
    </r>
    <r>
      <rPr>
        <sz val="12"/>
        <color rgb="FF002060"/>
        <rFont val="Times New Roman"/>
        <family val="1"/>
      </rPr>
      <t>)  Critique your colleague’s recommendation.</t>
    </r>
  </si>
  <si>
    <t>Question 11</t>
  </si>
  <si>
    <r>
      <t>(5</t>
    </r>
    <r>
      <rPr>
        <i/>
        <sz val="12"/>
        <color rgb="FF002060"/>
        <rFont val="Times New Roman"/>
        <family val="1"/>
      </rPr>
      <t xml:space="preserve"> points</t>
    </r>
    <r>
      <rPr>
        <sz val="12"/>
        <color rgb="FF002060"/>
        <rFont val="Times New Roman"/>
        <family val="1"/>
      </rPr>
      <t>)</t>
    </r>
  </si>
  <si>
    <t>You are estimating ultimate claims using the expected method.</t>
  </si>
  <si>
    <r>
      <t>(</t>
    </r>
    <r>
      <rPr>
        <i/>
        <sz val="12"/>
        <color rgb="FF002060"/>
        <rFont val="Times New Roman"/>
        <family val="1"/>
      </rPr>
      <t>0.5 points</t>
    </r>
    <r>
      <rPr>
        <sz val="12"/>
        <color rgb="FF002060"/>
        <rFont val="Times New Roman"/>
        <family val="1"/>
      </rPr>
      <t>)  Explain an advantage of using the pure premium approach instead of the claim ratio approach.</t>
    </r>
  </si>
  <si>
    <t>Under certain situations, development factors and trend factors can each have highly leveraged projections.</t>
  </si>
  <si>
    <r>
      <t>(</t>
    </r>
    <r>
      <rPr>
        <i/>
        <sz val="12"/>
        <color rgb="FF002060"/>
        <rFont val="Times New Roman"/>
        <family val="1"/>
      </rPr>
      <t>0.5 points</t>
    </r>
    <r>
      <rPr>
        <sz val="12"/>
        <color rgb="FF002060"/>
        <rFont val="Times New Roman"/>
        <family val="1"/>
      </rPr>
      <t>)  Describe how development factors can highly leverage projections.</t>
    </r>
  </si>
  <si>
    <r>
      <t>(</t>
    </r>
    <r>
      <rPr>
        <i/>
        <sz val="12"/>
        <color rgb="FF002060"/>
        <rFont val="Times New Roman"/>
        <family val="1"/>
      </rPr>
      <t>0.5 points</t>
    </r>
    <r>
      <rPr>
        <sz val="12"/>
        <color rgb="FF002060"/>
        <rFont val="Times New Roman"/>
        <family val="1"/>
      </rPr>
      <t>)  Describe how trend factors can highly leverage projections.</t>
    </r>
  </si>
  <si>
    <r>
      <t>(</t>
    </r>
    <r>
      <rPr>
        <i/>
        <sz val="12"/>
        <color rgb="FF002060"/>
        <rFont val="Times New Roman"/>
        <family val="1"/>
      </rPr>
      <t>1 point</t>
    </r>
    <r>
      <rPr>
        <sz val="12"/>
        <color rgb="FF002060"/>
        <rFont val="Times New Roman"/>
        <family val="1"/>
      </rPr>
      <t>)  Describe one way you could account for development leverage and one way you could account for trend leverage when selecting a pure premium with the expected method.</t>
    </r>
  </si>
  <si>
    <t>Reported Claims as of Dec. 31, 2025</t>
  </si>
  <si>
    <t>Paid Claims Cumulative Development Factors</t>
  </si>
  <si>
    <t>Reported Claims Cumulative Development Factors</t>
  </si>
  <si>
    <r>
      <t>(</t>
    </r>
    <r>
      <rPr>
        <i/>
        <sz val="12"/>
        <color rgb="FF002060"/>
        <rFont val="Times New Roman"/>
        <family val="1"/>
      </rPr>
      <t>1 point</t>
    </r>
    <r>
      <rPr>
        <sz val="12"/>
        <color rgb="FF002060"/>
        <rFont val="Times New Roman"/>
        <family val="1"/>
      </rPr>
      <t>)  Calculate the 2025 cost level pure premiums for all accident years based on paid claims and also based on reported claims.</t>
    </r>
  </si>
  <si>
    <r>
      <t>(</t>
    </r>
    <r>
      <rPr>
        <i/>
        <sz val="12"/>
        <color rgb="FF002060"/>
        <rFont val="Times New Roman"/>
        <family val="1"/>
      </rPr>
      <t>1 point</t>
    </r>
    <r>
      <rPr>
        <sz val="12"/>
        <color rgb="FF002060"/>
        <rFont val="Times New Roman"/>
        <family val="1"/>
      </rPr>
      <t>)  Recommend the 2025 cost level pure premium.  Justify your recommendation.</t>
    </r>
  </si>
  <si>
    <r>
      <t>(</t>
    </r>
    <r>
      <rPr>
        <i/>
        <sz val="12"/>
        <color rgb="FF002060"/>
        <rFont val="Times New Roman"/>
        <family val="1"/>
      </rPr>
      <t>0.5 points</t>
    </r>
    <r>
      <rPr>
        <sz val="12"/>
        <color rgb="FF002060"/>
        <rFont val="Times New Roman"/>
        <family val="1"/>
      </rPr>
      <t xml:space="preserve">)  Calculate the AY </t>
    </r>
    <r>
      <rPr>
        <b/>
        <i/>
        <sz val="12"/>
        <color rgb="FF002060"/>
        <rFont val="Times New Roman"/>
        <family val="1"/>
      </rPr>
      <t>2023</t>
    </r>
    <r>
      <rPr>
        <sz val="12"/>
        <color rgb="FF002060"/>
        <rFont val="Times New Roman"/>
        <family val="1"/>
      </rPr>
      <t xml:space="preserve"> expected claims using the expected method and the recommended value from part (f).</t>
    </r>
  </si>
  <si>
    <t>Cumulative Paid Claims as of Dec. 31, 2025</t>
  </si>
  <si>
    <t>The annual pure premium trend is</t>
  </si>
  <si>
    <r>
      <t>·</t>
    </r>
    <r>
      <rPr>
        <sz val="7"/>
        <color rgb="FF002060"/>
        <rFont val="Times New Roman"/>
        <family val="1"/>
      </rPr>
      <t xml:space="preserve">       </t>
    </r>
    <r>
      <rPr>
        <sz val="12"/>
        <color rgb="FF002060"/>
        <rFont val="Times New Roman"/>
        <family val="1"/>
      </rPr>
      <t xml:space="preserve">A large claim occurred on December 15, 2023.  </t>
    </r>
  </si>
  <si>
    <t xml:space="preserve"> was established for the large claim on January 10, 2024 and has not changed.  </t>
  </si>
  <si>
    <r>
      <t>·</t>
    </r>
    <r>
      <rPr>
        <sz val="7"/>
        <color rgb="FF002060"/>
        <rFont val="Times New Roman"/>
        <family val="1"/>
      </rPr>
      <t xml:space="preserve">       </t>
    </r>
    <r>
      <rPr>
        <sz val="12"/>
        <color rgb="FF002060"/>
        <rFont val="Times New Roman"/>
        <family val="1"/>
      </rPr>
      <t xml:space="preserve">No payments have been made on the large claim as of December 31, 2025. </t>
    </r>
  </si>
  <si>
    <r>
      <t>(</t>
    </r>
    <r>
      <rPr>
        <i/>
        <sz val="12"/>
        <color rgb="FF002060"/>
        <rFont val="Times New Roman"/>
        <family val="1"/>
      </rPr>
      <t>0.5 points</t>
    </r>
    <r>
      <rPr>
        <sz val="12"/>
        <color rgb="FF002060"/>
        <rFont val="Times New Roman"/>
        <family val="1"/>
      </rPr>
      <t>)  Describe the effect of the large claim on the AY 2023 reported development factors.</t>
    </r>
  </si>
  <si>
    <r>
      <t>(</t>
    </r>
    <r>
      <rPr>
        <i/>
        <sz val="12"/>
        <color rgb="FF002060"/>
        <rFont val="Times New Roman"/>
        <family val="1"/>
      </rPr>
      <t>2.5 points</t>
    </r>
    <r>
      <rPr>
        <sz val="12"/>
        <color rgb="FF002060"/>
        <rFont val="Times New Roman"/>
        <family val="1"/>
      </rPr>
      <t>)  Calculate the IBNR for AY 2023 as of December 31, 2025.</t>
    </r>
  </si>
  <si>
    <r>
      <t>(</t>
    </r>
    <r>
      <rPr>
        <i/>
        <sz val="12"/>
        <color rgb="FF002060"/>
        <rFont val="Times New Roman"/>
        <family val="1"/>
      </rPr>
      <t>1 point</t>
    </r>
    <r>
      <rPr>
        <sz val="12"/>
        <color rgb="FF002060"/>
        <rFont val="Times New Roman"/>
        <family val="1"/>
      </rPr>
      <t>)  Provide one scenario where estimating the IBNR for accident year 2023 using a paid claims development method might not be an appropriate alternative.</t>
    </r>
  </si>
  <si>
    <r>
      <t>·</t>
    </r>
    <r>
      <rPr>
        <sz val="7"/>
        <color rgb="FF002060"/>
        <rFont val="Times New Roman"/>
        <family val="1"/>
      </rPr>
      <t xml:space="preserve">       </t>
    </r>
    <r>
      <rPr>
        <sz val="12"/>
        <color rgb="FF002060"/>
        <rFont val="Times New Roman"/>
        <family val="1"/>
      </rPr>
      <t xml:space="preserve">IBNR as of December 31, 2025 is </t>
    </r>
  </si>
  <si>
    <r>
      <t>·</t>
    </r>
    <r>
      <rPr>
        <sz val="7"/>
        <color rgb="FF002060"/>
        <rFont val="Times New Roman"/>
        <family val="1"/>
      </rPr>
      <t xml:space="preserve">       </t>
    </r>
    <r>
      <rPr>
        <sz val="12"/>
        <color rgb="FF002060"/>
        <rFont val="Times New Roman"/>
        <family val="1"/>
      </rPr>
      <t xml:space="preserve">Case estimates as of December 31, 2025 are </t>
    </r>
  </si>
  <si>
    <r>
      <t>(</t>
    </r>
    <r>
      <rPr>
        <i/>
        <sz val="12"/>
        <color rgb="FF002060"/>
        <rFont val="Times New Roman"/>
        <family val="1"/>
      </rPr>
      <t>1.5 points</t>
    </r>
    <r>
      <rPr>
        <sz val="12"/>
        <color rgb="FF002060"/>
        <rFont val="Times New Roman"/>
        <family val="1"/>
      </rPr>
      <t>)  Calculate the calendar year 2025 expected reported claims.</t>
    </r>
  </si>
  <si>
    <r>
      <t>(</t>
    </r>
    <r>
      <rPr>
        <i/>
        <sz val="12"/>
        <color rgb="FF002060"/>
        <rFont val="Times New Roman"/>
        <family val="1"/>
      </rPr>
      <t>1 point</t>
    </r>
    <r>
      <rPr>
        <sz val="12"/>
        <color rgb="FF002060"/>
        <rFont val="Times New Roman"/>
        <family val="1"/>
      </rPr>
      <t>)  Calculate unpaid ULAE as of December 31, 2025 using the recommended ratio from part (b).</t>
    </r>
  </si>
  <si>
    <r>
      <t>·</t>
    </r>
    <r>
      <rPr>
        <sz val="7"/>
        <color rgb="FF002060"/>
        <rFont val="Times New Roman"/>
        <family val="1"/>
      </rPr>
      <t xml:space="preserve">       </t>
    </r>
    <r>
      <rPr>
        <sz val="12"/>
        <color rgb="FF002060"/>
        <rFont val="Times New Roman"/>
        <family val="1"/>
      </rPr>
      <t>Tort reform decreased claim amounts by an estimated 30% for all claims occurring on or after July 1, 2021.</t>
    </r>
  </si>
  <si>
    <r>
      <t>(</t>
    </r>
    <r>
      <rPr>
        <i/>
        <sz val="12"/>
        <color rgb="FF002060"/>
        <rFont val="Times New Roman"/>
        <family val="1"/>
      </rPr>
      <t>1 point</t>
    </r>
    <r>
      <rPr>
        <sz val="12"/>
        <color rgb="FF002060"/>
        <rFont val="Times New Roman"/>
        <family val="1"/>
      </rPr>
      <t>)  Recommend the 2025 cost level severity to use with the development-based frequency-severity method, using your recommendation from part (a).</t>
    </r>
  </si>
  <si>
    <r>
      <t>(</t>
    </r>
    <r>
      <rPr>
        <i/>
        <sz val="12"/>
        <color rgb="FF002060"/>
        <rFont val="Times New Roman"/>
        <family val="1"/>
      </rPr>
      <t>1 point</t>
    </r>
    <r>
      <rPr>
        <sz val="12"/>
        <color rgb="FF002060"/>
        <rFont val="Times New Roman"/>
        <family val="1"/>
      </rPr>
      <t>)  Calculate the ultimate claims as of December 31, 2025 for all accident years using the development-based frequency-severity method.</t>
    </r>
  </si>
  <si>
    <r>
      <t>(</t>
    </r>
    <r>
      <rPr>
        <i/>
        <sz val="12"/>
        <color rgb="FF002060"/>
        <rFont val="Times New Roman"/>
        <family val="1"/>
      </rPr>
      <t>1.5 points</t>
    </r>
    <r>
      <rPr>
        <sz val="12"/>
        <color rgb="FF002060"/>
        <rFont val="Times New Roman"/>
        <family val="1"/>
      </rPr>
      <t xml:space="preserve">)  Calculate the automobile CY 2024 earned premiums at current rate levels for a </t>
    </r>
    <r>
      <rPr>
        <i/>
        <sz val="12"/>
        <color rgb="FF002060"/>
        <rFont val="Times New Roman"/>
        <family val="1"/>
      </rPr>
      <t>ratemaking</t>
    </r>
    <r>
      <rPr>
        <sz val="12"/>
        <color rgb="FF002060"/>
        <rFont val="Times New Roman"/>
        <family val="1"/>
      </rPr>
      <t xml:space="preserve"> analysis.</t>
    </r>
  </si>
  <si>
    <r>
      <t>(</t>
    </r>
    <r>
      <rPr>
        <i/>
        <sz val="12"/>
        <color rgb="FF002060"/>
        <rFont val="Times New Roman"/>
        <family val="1"/>
      </rPr>
      <t>1 point</t>
    </r>
    <r>
      <rPr>
        <sz val="12"/>
        <color rgb="FF002060"/>
        <rFont val="Times New Roman"/>
        <family val="1"/>
      </rPr>
      <t>)  Calculate the calendar year 2022 earned premiums for ratemaking.</t>
    </r>
  </si>
  <si>
    <t>You are given the following for a Workers Compensation line of business:</t>
  </si>
  <si>
    <r>
      <t>(</t>
    </r>
    <r>
      <rPr>
        <i/>
        <sz val="12"/>
        <color rgb="FF002060"/>
        <rFont val="Times New Roman"/>
        <family val="1"/>
      </rPr>
      <t>1 point</t>
    </r>
    <r>
      <rPr>
        <sz val="12"/>
        <color rgb="FF002060"/>
        <rFont val="Times New Roman"/>
        <family val="1"/>
      </rPr>
      <t>)  Explain why the calculation in part (c) would overstate the estimate of unpaid ULAE compared to the more correct application of the paid-to-paid method.</t>
    </r>
  </si>
  <si>
    <t xml:space="preserve">You are using the Mango and Allen smoothing adjustment to estimate unpaid unallocated loss adjustment expenses (ULAE) as of December 31, 2025 for a line of business. </t>
  </si>
  <si>
    <r>
      <t>(</t>
    </r>
    <r>
      <rPr>
        <i/>
        <sz val="12"/>
        <color rgb="FF002060"/>
        <rFont val="Times New Roman"/>
        <family val="1"/>
      </rPr>
      <t>1.5 points</t>
    </r>
    <r>
      <rPr>
        <sz val="12"/>
        <color rgb="FF002060"/>
        <rFont val="Times New Roman"/>
        <family val="1"/>
      </rPr>
      <t xml:space="preserve">)  Calculate the automobile CY 2024 earned premiums at current rate levels for </t>
    </r>
    <r>
      <rPr>
        <i/>
        <sz val="12"/>
        <color rgb="FF002060"/>
        <rFont val="Times New Roman"/>
        <family val="1"/>
      </rPr>
      <t>projecting ultimate claims</t>
    </r>
    <r>
      <rPr>
        <sz val="12"/>
        <color rgb="FF002060"/>
        <rFont val="Times New Roman"/>
        <family val="1"/>
      </rPr>
      <t xml:space="preserve"> as of December 31, 2025.</t>
    </r>
  </si>
  <si>
    <t>Indicated rate assuming full credibility</t>
  </si>
  <si>
    <t>Partial credibility (Z)</t>
  </si>
  <si>
    <t>Current rate</t>
  </si>
  <si>
    <t>New rate considering credibility</t>
  </si>
  <si>
    <t>Alternatively</t>
  </si>
  <si>
    <t>Indicated rate change with partial credibility</t>
  </si>
  <si>
    <t>Development factor for 12-24 months will increase.</t>
  </si>
  <si>
    <t>Development factor for 24-26 months will decrease.</t>
  </si>
  <si>
    <t>Year</t>
  </si>
  <si>
    <t>12 to 24</t>
  </si>
  <si>
    <t>24 to 36</t>
  </si>
  <si>
    <t>36 to 48</t>
  </si>
  <si>
    <t>48 to 60</t>
  </si>
  <si>
    <t>60 to Ult</t>
  </si>
  <si>
    <t>Reported Claims as of (months) with adjustment</t>
  </si>
  <si>
    <t>Age-to-Age factors for reported claims with adjustment</t>
  </si>
  <si>
    <t>Age-to-age factors:</t>
  </si>
  <si>
    <t>Simple average used as there is little variation.</t>
  </si>
  <si>
    <t>Bondy method chosen for tail factor.</t>
  </si>
  <si>
    <t>Age-to-ultimate factor:</t>
  </si>
  <si>
    <t xml:space="preserve"> - A scenario where the large claim has not had any payments and therefore would not be reflected in the triangle. </t>
  </si>
  <si>
    <t xml:space="preserve"> - A scenario where the paid development factors have significant leverage.</t>
  </si>
  <si>
    <t xml:space="preserve"> - A scenario where past activity is not predictive of future activity.</t>
  </si>
  <si>
    <t xml:space="preserve">% Cumulative Reported </t>
  </si>
  <si>
    <t>% Incremental Reported</t>
  </si>
  <si>
    <t>% Reported</t>
  </si>
  <si>
    <t>Expected Reported Claims in 
Calendar Year 2025</t>
  </si>
  <si>
    <t>49-60</t>
  </si>
  <si>
    <t>37-48</t>
  </si>
  <si>
    <t>25-36</t>
  </si>
  <si>
    <t>13-24</t>
  </si>
  <si>
    <t>0-12</t>
  </si>
  <si>
    <t>Ratio of Paid ULAE 
to Average of Paid 
and Reported Claims</t>
  </si>
  <si>
    <t>Avg 2023-2025:</t>
  </si>
  <si>
    <t>Recommended ratio:</t>
  </si>
  <si>
    <t>Unpaid ULAE @ Dec 31, 2025:</t>
  </si>
  <si>
    <t>IBNR includes both pure IBNR and IBNER (development on case).</t>
  </si>
  <si>
    <t>Since IBNER claims have already  been reported and opened, there is less work needed for these claims.</t>
  </si>
  <si>
    <t>So IBNER should not receive the full ULAE ratio, but rather the portion representing closure only.</t>
  </si>
  <si>
    <t>If the full ULAE ratio is applied to IBNER, then the ULAE will be overstated.</t>
  </si>
  <si>
    <t>Reported Period (months)</t>
  </si>
  <si>
    <t>Justification: using the average of the latest 3 years to reflect the increasing trend and remove the 2022 low outlier value.</t>
  </si>
  <si>
    <t>Any two of the following are acceptable:</t>
  </si>
  <si>
    <t xml:space="preserve"> - Difficult for adjusters to enter catastrophe areas which can cause delays.</t>
  </si>
  <si>
    <t xml:space="preserve"> - Adjusters get backlogged with handling too many claims at the same time.</t>
  </si>
  <si>
    <t xml:space="preserve"> - Contractors get backlogged with many repairs at the same time.</t>
  </si>
  <si>
    <t xml:space="preserve"> - Higher potential for fraudulent claims.</t>
  </si>
  <si>
    <t>2. Conduct a separate analysis for claims that are less than a selected threshold and claims that are greater than the threshold.</t>
  </si>
  <si>
    <t>1. Cap all claims at a selected threshold; then the values above the threshold are considered separately for the development of a loading for large claims.</t>
  </si>
  <si>
    <t>12-month</t>
  </si>
  <si>
    <t>6-month</t>
  </si>
  <si>
    <t>% Earned in 2024</t>
  </si>
  <si>
    <t>Rate Level Index</t>
  </si>
  <si>
    <t>12-month policies</t>
  </si>
  <si>
    <t>6-month policies</t>
  </si>
  <si>
    <t>On Level factor</t>
  </si>
  <si>
    <t>% Earned in 2025</t>
  </si>
  <si>
    <t xml:space="preserve">50% of policies were 12 month: Written premiums = </t>
  </si>
  <si>
    <t xml:space="preserve">50% of policies were 6 month: Written premiums = </t>
  </si>
  <si>
    <t>Earned premiums</t>
  </si>
  <si>
    <t>Total earned premiums</t>
  </si>
  <si>
    <t>On Level Earned Premiums</t>
  </si>
  <si>
    <t>% of year remaining</t>
  </si>
  <si>
    <t># of months remaining in 2024</t>
  </si>
  <si>
    <t>Average Rate Level in 2025</t>
  </si>
  <si>
    <t>Average Rate Level from (b)</t>
  </si>
  <si>
    <t>Average Rate Level in 2024</t>
  </si>
  <si>
    <t>Claim Severity</t>
  </si>
  <si>
    <t>Tort Reform Adjustment Factor</t>
  </si>
  <si>
    <t>Adjusted Severity</t>
  </si>
  <si>
    <t>Annual Change in Severity</t>
  </si>
  <si>
    <t>Average:</t>
  </si>
  <si>
    <t>All years</t>
  </si>
  <si>
    <t>Excl. hi-lo</t>
  </si>
  <si>
    <t>Fitted exponential:</t>
  </si>
  <si>
    <t>Selected:</t>
  </si>
  <si>
    <t>Justification:</t>
  </si>
  <si>
    <t>Trended Adjusted Severity</t>
  </si>
  <si>
    <t>Excl hi-lo</t>
  </si>
  <si>
    <t>Calculated Ultimate Severity</t>
  </si>
  <si>
    <t>Ultimate Counts</t>
  </si>
  <si>
    <t>Ultimate Claims</t>
  </si>
  <si>
    <t>Fitted exponential was selected to consider all years and smooth out the variation.</t>
  </si>
  <si>
    <t>Severity Trend @6.80%</t>
  </si>
  <si>
    <t>Removed highest and lowest values to smooth out variation.</t>
  </si>
  <si>
    <t>The Cape Cod method is more responsive to a change in claim experience because the actual reported claims of all years enters the calculation of expected claims.</t>
  </si>
  <si>
    <t>Commentary on Question:</t>
  </si>
  <si>
    <t>Ultimate pure premium from BF method</t>
  </si>
  <si>
    <t>EE</t>
  </si>
  <si>
    <t>Expected % Reported</t>
  </si>
  <si>
    <t>Used-Up EE</t>
  </si>
  <si>
    <t>PP Trend Factors</t>
  </si>
  <si>
    <t>Expected Claims</t>
  </si>
  <si>
    <t>% Unreported</t>
  </si>
  <si>
    <t>Paid in CY 2015</t>
  </si>
  <si>
    <t>CY 2025 reported claims</t>
  </si>
  <si>
    <t>How the 3 claims affect open counts:</t>
  </si>
  <si>
    <t>Average Case Estimates</t>
  </si>
  <si>
    <t>Change in average case down each column:</t>
  </si>
  <si>
    <t>Reported Claims</t>
  </si>
  <si>
    <t>Paid Claims to Reported Claims Ratios</t>
  </si>
  <si>
    <t>Adjusted Average Case Estimates</t>
  </si>
  <si>
    <t>Adjusted Reported Claims</t>
  </si>
  <si>
    <t>Since this is a new line of business, industry data should provide a more stable development pattern.</t>
  </si>
  <si>
    <t>CY2025 reported claims = Paid in 2025 + Case estimate as of Dec. 31, 2025 - Case estimate as of Dec. 31, 2024</t>
  </si>
  <si>
    <t>Case estimate as of Dec. 31, 2025</t>
  </si>
  <si>
    <t>Case estimate as of Dec. 31, 2024</t>
  </si>
  <si>
    <t>2. AY2023 @ 36 months: remove 1 open count for closed claim #2.</t>
  </si>
  <si>
    <t>1. AY 2024 @ 24 months: add 1 open count for newly reported claim #1.</t>
  </si>
  <si>
    <t>3. AY2025 @ 12 months: add 1 open count for reopened claim #3.</t>
  </si>
  <si>
    <t>Year-to-Year</t>
  </si>
  <si>
    <t xml:space="preserve">Due to the increase along the most recent diagonal for 12 and 24 months, there is a possible change in case adequacy. </t>
  </si>
  <si>
    <t>Consistent pattern down each column would suggest a stable line of business.</t>
  </si>
  <si>
    <t>A significant change in case adequacy would show up as a significant change in one of the diagonals.</t>
  </si>
  <si>
    <t>Conclusion: possible change as there is a slight decrease, but not a drastic change.</t>
  </si>
  <si>
    <t>Positive:</t>
  </si>
  <si>
    <t>Negative:</t>
  </si>
  <si>
    <t>It may not be applicable to the line of business due to something such as a difference in how counts are determined or claims management.</t>
  </si>
  <si>
    <t>Average Differential:</t>
  </si>
  <si>
    <t>Change in Differential:</t>
  </si>
  <si>
    <t>Selection:</t>
  </si>
  <si>
    <t>Alternative recommendation with appropriate justification is possible.</t>
  </si>
  <si>
    <t>Selecting average of the latest two years to give consideration towards the increasing trend.</t>
  </si>
  <si>
    <t xml:space="preserve"> (average of 2024 and 2025)</t>
  </si>
  <si>
    <t>Average earned date in CY 2022</t>
  </si>
  <si>
    <t>Average earned date in future rating period:</t>
  </si>
  <si>
    <t>Trending period (years):</t>
  </si>
  <si>
    <t>months</t>
  </si>
  <si>
    <t>years</t>
  </si>
  <si>
    <t>CY 2022 earned premiums for ratemaking</t>
  </si>
  <si>
    <t xml:space="preserve"> (12 months after effective date, since policies are effective for 1 year and all annual policies)</t>
  </si>
  <si>
    <t xml:space="preserve">Claim severity will likely increase.  </t>
  </si>
  <si>
    <t>Development pattern could lengthen because claim severity is higher, and larger claims tend to be more complex with longer settlement periods.</t>
  </si>
  <si>
    <t>Such modifications may include an adjustment factor similar to the reform factor discussed in Chapter 17 for regulatory change to the automobile product.</t>
  </si>
  <si>
    <t>Essentially, the actuary is attempting to modify historical experience to the same state as the current portfolio.</t>
  </si>
  <si>
    <t>The BF method does not incorporate changes in claim experience unless there is an explicit adjustment.  Therefore, the only distortion will be in the development pattern itself, not the a priori expected claims.</t>
  </si>
  <si>
    <t>The Cape Cod method will over-respond to the pattern change in both the calculation of expected claims and the development pattern.</t>
  </si>
  <si>
    <t xml:space="preserve">The Bornhuetter Ferguson (BF) method is more accurate under this scenario because this is a timing change and not a true change in claim experience.  </t>
  </si>
  <si>
    <t>Agree:</t>
  </si>
  <si>
    <t>Negative IBNR can be reasonable for LOB with salvage or subrogation (or conservative reserving), so depending on the LOB negative IBNR might be reasonable.</t>
  </si>
  <si>
    <t>Trend factors on older years could be highly leveraged due to the longer projection period for trending.</t>
  </si>
  <si>
    <t xml:space="preserve">Projected Ultimate Claims Based on </t>
  </si>
  <si>
    <t>Trended PP Based on</t>
  </si>
  <si>
    <t>Paid Claims</t>
  </si>
  <si>
    <t>Average Trended Pure Premium at AY2025 Cost Level (excl. 2025)</t>
  </si>
  <si>
    <t>All Years</t>
  </si>
  <si>
    <t>Latest 5 Years</t>
  </si>
  <si>
    <t>All Years Excluding High and Low</t>
  </si>
  <si>
    <t>Latest 3 Years</t>
  </si>
  <si>
    <t>Selected PP adjusted to 2023 cost level</t>
  </si>
  <si>
    <t>Claim Trend @5%</t>
  </si>
  <si>
    <t>A contingency margin is an explicit provision in the premium (or funding) for adverse deviation and uncertainty in expected costs, claims, and expenses, reflecting the risk that actual experience may be worse than estimated.</t>
  </si>
  <si>
    <t>·           When earned premiums are distorted by rate level changes or mix of business shifts that make the claim ratio unreliable.</t>
  </si>
  <si>
    <t>·           When exposure data are more stable and credible than premium data, such that projecting claims per exposure produces a more accurate indication than relying on premium-based loss ratios.</t>
  </si>
  <si>
    <t>·           When premium trend is not available and cannot calculate trended earned premium.</t>
  </si>
  <si>
    <t>·           When developing new products or when entering a new geographical area.</t>
  </si>
  <si>
    <t>·           When earned premium data is not available, e.g., self-insurer</t>
  </si>
  <si>
    <r>
      <t>We are given the fixed expense to premium ratio (i.e., F / R</t>
    </r>
    <r>
      <rPr>
        <vertAlign val="subscript"/>
        <sz val="12"/>
        <rFont val="Times New Roman"/>
        <family val="1"/>
      </rPr>
      <t>C</t>
    </r>
    <r>
      <rPr>
        <sz val="12"/>
        <rFont val="Times New Roman"/>
        <family val="1"/>
      </rPr>
      <t>), or more technically F×E / E×R</t>
    </r>
    <r>
      <rPr>
        <vertAlign val="subscript"/>
        <sz val="12"/>
        <rFont val="Times New Roman"/>
        <family val="1"/>
      </rPr>
      <t>C</t>
    </r>
    <r>
      <rPr>
        <sz val="12"/>
        <rFont val="Times New Roman"/>
        <family val="1"/>
      </rPr>
      <t>); and want to know F to use the PP method.</t>
    </r>
  </si>
  <si>
    <t>F = fixed expenses per exposure projected for the forecast period</t>
  </si>
  <si>
    <r>
      <t>R</t>
    </r>
    <r>
      <rPr>
        <vertAlign val="subscript"/>
        <sz val="12"/>
        <rFont val="Times New Roman"/>
        <family val="1"/>
      </rPr>
      <t>C</t>
    </r>
    <r>
      <rPr>
        <sz val="12"/>
        <rFont val="Times New Roman"/>
        <family val="1"/>
      </rPr>
      <t xml:space="preserve"> = current rate per unit of exposure adjusted for trend and premium changes</t>
    </r>
  </si>
  <si>
    <t>E = trended earned exposures for the experience period</t>
  </si>
  <si>
    <r>
      <t>Multiply by R</t>
    </r>
    <r>
      <rPr>
        <vertAlign val="subscript"/>
        <sz val="12"/>
        <rFont val="Times New Roman"/>
        <family val="1"/>
      </rPr>
      <t>C</t>
    </r>
    <r>
      <rPr>
        <sz val="12"/>
        <rFont val="Times New Roman"/>
        <family val="1"/>
      </rPr>
      <t>.</t>
    </r>
  </si>
  <si>
    <t>AY2023 reported claims @ 36 months (excluding large claim):</t>
  </si>
  <si>
    <t>Ultimate claims (excluding large claim):</t>
  </si>
  <si>
    <t>IBNR</t>
  </si>
  <si>
    <t>Justification: using the average of the latest 2 years to reflect the increasing trend.</t>
  </si>
  <si>
    <t>Example of acceptable alternative solution:</t>
  </si>
  <si>
    <t>In the BF method, expected claims are based on a prior estimate, which does not change (unless the actuary deliberately makes a change).</t>
    <phoneticPr fontId="11" type="noConversion"/>
  </si>
  <si>
    <t>Alternative acceptable answer: In the BF method, the development factors reflect a change in claim experience.</t>
  </si>
  <si>
    <t>(i) Any one of the following answers is acceptable:</t>
    <phoneticPr fontId="11" type="noConversion"/>
  </si>
  <si>
    <t xml:space="preserve"> - GCC method uses historical experience to derive expected claim ratio rather than an a priori estimate.</t>
    <phoneticPr fontId="11" type="noConversion"/>
  </si>
  <si>
    <t xml:space="preserve"> - GCC method is more responsive to changes in experience than BF since expected claim ratio is based on experience.</t>
    <phoneticPr fontId="11" type="noConversion"/>
  </si>
  <si>
    <t xml:space="preserve"> - GCC method allows the actuary to systematically reflect internal or external changes, such as trend, coverage changes, underwriting changes, etc., through exposure base adjustments.</t>
    <phoneticPr fontId="11" type="noConversion"/>
  </si>
  <si>
    <t>(ii) Any one of the following answers is acceptable:</t>
    <phoneticPr fontId="11" type="noConversion"/>
  </si>
  <si>
    <t xml:space="preserve"> - GCC method gives less weight to immature years and low volume years, reducing the prediction error.</t>
    <phoneticPr fontId="11" type="noConversion"/>
  </si>
  <si>
    <t xml:space="preserve"> - GCC method uses information from all accident years in estimating any one year, thereby eliminating the need to arbitrarily determine how to select the a priori claim ratio.</t>
  </si>
  <si>
    <t xml:space="preserve"> - GCC method gives more weight to surrounding years in determining a particular year’s expected claim. </t>
  </si>
  <si>
    <t xml:space="preserve"> - GCC method applies a distinct pure premium (or claim cost) to each year versus CC which applies a constant pure premium (or claim cost) to each year.</t>
  </si>
  <si>
    <t xml:space="preserve"> - The GCC a priori claim ratio estimate is optimal (i.e., produces the minimum bias linear estimate) under certain conditions.</t>
  </si>
  <si>
    <t xml:space="preserve"> - GCC method is a generalized case of the development and traditional CC methods. These other methods can be handled within the GCC framework.</t>
  </si>
  <si>
    <t>Adjusted expected pure premium:</t>
  </si>
  <si>
    <t>The question asks to recommend an approach to estimating ultimate claims and not simply state a method to use.</t>
  </si>
  <si>
    <t>The actuary would need to incorporate appropriate modifications (or data adjustments) to the analysis.</t>
  </si>
  <si>
    <t>IBNR is generally not negative for lines of business that do not have salvage or subrogation, so negative IBNR methods should be disregarded.</t>
  </si>
  <si>
    <t xml:space="preserve">One advantage of using the pure premium approach is that no adjustment is required for premium rate changes, </t>
  </si>
  <si>
    <t>which may be difficult to calculate or unavailable (e.g., for a self-insurer).</t>
  </si>
  <si>
    <t>Development factors in the most recent periods will be large when the majority of the development is in future periods,</t>
  </si>
  <si>
    <t>leading to uncertainty in ultimate projections.</t>
  </si>
  <si>
    <t>Consider excluding the most recent accident periods to mitigate development leverage.</t>
  </si>
  <si>
    <t>Consider excluding the oldest accident periods to mitigate with trend leverage.</t>
  </si>
  <si>
    <t>Leveraged effect of development factors is more prominent on Paid Claims, where the most recent AY Pure Premiums are volatile.</t>
  </si>
  <si>
    <t>Reported Pure Premiums are more stable; selecting all year average (excluding highest and lowest) for more stability.</t>
  </si>
  <si>
    <t>Hailstorms could result in a large number of claims without an offsetting increase in claim sizes, thereby decreasing severity,</t>
  </si>
  <si>
    <t>OR  hailstorms could result in small claim amounts such as comprehensive claims on auto insurance.</t>
  </si>
  <si>
    <t xml:space="preserve"> - Catastrophe claims involve more complex claims that take longer to settle.</t>
  </si>
  <si>
    <t xml:space="preserve"> - There could be a delay in reporting claims.</t>
  </si>
  <si>
    <t xml:space="preserve">Incidents may have occurred that are either not yet reported or have not yet developed to be above the large claim threshold, </t>
  </si>
  <si>
    <t>OR simply because no large claims have been reported to date does not necessarily mean that incidents have not occurred that could result in large claims in the future.</t>
  </si>
  <si>
    <t>% of these policies earned in 2024</t>
  </si>
  <si>
    <t>{See diagrams in part (b) for 2025}</t>
  </si>
  <si>
    <t>Average trended severities at 2025 cost level excluding 2025</t>
  </si>
  <si>
    <t>Alternative approach directly from reported claims triangle:</t>
  </si>
  <si>
    <t>CY 2025</t>
  </si>
  <si>
    <t>Cumulative % reported at 15 months</t>
  </si>
  <si>
    <t>Expected reported claims at 18 months</t>
  </si>
  <si>
    <t xml:space="preserve">Ultimate pure premium from expected method </t>
  </si>
  <si>
    <t>BF IBNR factor at 18 months</t>
  </si>
  <si>
    <t xml:space="preserve">Ultimate claims using BF method </t>
  </si>
  <si>
    <t xml:space="preserve">BF IBNR factor at 24 months </t>
  </si>
  <si>
    <t xml:space="preserve">IBNR at 24 months </t>
  </si>
  <si>
    <t xml:space="preserve">Trend factor </t>
  </si>
  <si>
    <t>2023 expected claims</t>
  </si>
  <si>
    <t>Age-to-ult. factors:</t>
  </si>
  <si>
    <t xml:space="preserve"> - If there was a material change in claim settlement patterns such that pattern is unstable/not reliable.</t>
  </si>
  <si>
    <t>Any of the following answers is acceptable:</t>
  </si>
  <si>
    <t>Candidates need to provide a specific scenario for full credit, not a generic statement.</t>
  </si>
  <si>
    <t>Some candidates confused the part (b) and part (c) calculations.</t>
  </si>
  <si>
    <t xml:space="preserve"> - GCC method assigns different weights and different claim ratios for each year.</t>
  </si>
  <si>
    <t>Adjusted Claims as of March 31, 2026</t>
  </si>
  <si>
    <t>Complete cumulative paid &amp; case estimate triangles:</t>
  </si>
  <si>
    <t>Revised Open Counts</t>
  </si>
  <si>
    <t xml:space="preserve">No effect on claim frequency is expected.  </t>
  </si>
  <si>
    <t xml:space="preserve">However, overall increase may be small since this change affects only a portion of policyholders, i.e., those that purchase minimum limits.  </t>
  </si>
  <si>
    <t xml:space="preserve">However, overall effect could be small because policy limit change affects only a portion of policyholders.  </t>
  </si>
  <si>
    <t>Some candidates did not understand that the verb critique is an analysis that covers both strengths and weaknesses, or in this case, agree or disagree with the colleague’s recommendation.</t>
  </si>
  <si>
    <t>Disagree:</t>
  </si>
  <si>
    <t>Either one of the following is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</si>
</sst>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
    <numFmt numFmtId="165" formatCode="0.0%"/>
    <numFmt numFmtId="166" formatCode="#,##0.0000"/>
    <numFmt numFmtId="167" formatCode="#,##0.000"/>
    <numFmt numFmtId="168" formatCode="0.0000"/>
    <numFmt numFmtId="169" formatCode="_(* #,##0_);_(* \(#,##0\);_(* &quot;-&quot;??_);_(@_)"/>
    <numFmt numFmtId="170" formatCode="0.000%"/>
    <numFmt numFmtId="171" formatCode="0.00000"/>
    <numFmt numFmtId="172" formatCode="mmm\.\ d\,\ yyyy"/>
  </numFmts>
  <fonts count="24" x14ac:knownFonts="1">
    <font>
      <sz val="11"/>
      <color theme="1"/>
      <name val="Calibri"/>
      <family val="2"/>
      <scheme val="minor"/>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sz val="12"/>
      <name val="Times New Roman"/>
      <family val="1"/>
    </font>
    <font>
      <b/>
      <i/>
      <sz val="12"/>
      <color rgb="FF002060"/>
      <name val="Times New Roman"/>
      <family val="1"/>
    </font>
    <font>
      <sz val="11"/>
      <color theme="1"/>
      <name val="Calibri"/>
      <family val="2"/>
      <scheme val="minor"/>
    </font>
    <font>
      <sz val="12"/>
      <color rgb="FF002060"/>
      <name val="Symbol"/>
      <family val="1"/>
      <charset val="2"/>
    </font>
    <font>
      <sz val="7"/>
      <color rgb="FF002060"/>
      <name val="Times New Roman"/>
      <family val="1"/>
    </font>
    <font>
      <b/>
      <sz val="12"/>
      <color rgb="FF002060"/>
      <name val="Times New Roman"/>
      <family val="1"/>
    </font>
    <font>
      <sz val="12"/>
      <color rgb="FF002060"/>
      <name val="Courier New"/>
      <family val="3"/>
    </font>
    <font>
      <u/>
      <sz val="12"/>
      <color rgb="FF002060"/>
      <name val="Times New Roman"/>
      <family val="1"/>
    </font>
    <font>
      <i/>
      <sz val="12"/>
      <color theme="1"/>
      <name val="Times New Roman"/>
      <family val="1"/>
    </font>
    <font>
      <sz val="12"/>
      <color rgb="FF00B0F0"/>
      <name val="Times New Roman"/>
      <family val="1"/>
    </font>
    <font>
      <b/>
      <i/>
      <sz val="12"/>
      <color theme="1"/>
      <name val="Times New Roman"/>
      <family val="1"/>
    </font>
    <font>
      <sz val="11"/>
      <name val="Calibri"/>
      <family val="2"/>
      <scheme val="minor"/>
    </font>
    <font>
      <b/>
      <i/>
      <sz val="12"/>
      <name val="Times New Roman"/>
      <family val="1"/>
    </font>
    <font>
      <sz val="12"/>
      <color rgb="FF000000"/>
      <name val="Times New Roman"/>
      <family val="1"/>
    </font>
    <font>
      <i/>
      <sz val="12"/>
      <color rgb="FF000000"/>
      <name val="Times New Roman"/>
      <family val="1"/>
    </font>
    <font>
      <i/>
      <sz val="12"/>
      <name val="Times New Roman"/>
      <family val="1"/>
    </font>
    <font>
      <sz val="12"/>
      <color indexed="8"/>
      <name val="Times New Roman"/>
      <family val="1"/>
    </font>
    <font>
      <vertAlign val="subscript"/>
      <sz val="12"/>
      <name val="Times New Roman"/>
      <family val="1"/>
    </font>
    <font>
      <b/>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7" fillId="0" borderId="0" applyFont="0" applyFill="0" applyBorder="0" applyAlignment="0" applyProtection="0"/>
    <xf numFmtId="43" fontId="7" fillId="0" borderId="0" applyFont="0" applyFill="0" applyBorder="0" applyAlignment="0" applyProtection="0"/>
  </cellStyleXfs>
  <cellXfs count="186">
    <xf numFmtId="0" fontId="0" fillId="0" borderId="0" xfId="0"/>
    <xf numFmtId="0" fontId="2" fillId="0" borderId="0" xfId="0" applyFont="1"/>
    <xf numFmtId="0" fontId="5" fillId="0" borderId="0" xfId="0" applyFont="1"/>
    <xf numFmtId="0" fontId="1" fillId="0" borderId="0" xfId="0" applyFont="1"/>
    <xf numFmtId="0" fontId="1" fillId="2" borderId="0" xfId="0" applyFont="1" applyFill="1"/>
    <xf numFmtId="0" fontId="6"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3" fillId="2" borderId="0" xfId="0" applyFont="1" applyFill="1"/>
    <xf numFmtId="0" fontId="2" fillId="2" borderId="0" xfId="0" applyFont="1" applyFill="1"/>
    <xf numFmtId="0" fontId="1" fillId="2" borderId="0" xfId="0" quotePrefix="1" applyFont="1" applyFill="1"/>
    <xf numFmtId="0" fontId="1" fillId="2" borderId="0" xfId="0" quotePrefix="1" applyFont="1" applyFill="1" applyAlignment="1">
      <alignment vertical="center"/>
    </xf>
    <xf numFmtId="0" fontId="1" fillId="2" borderId="0" xfId="0" applyFont="1" applyFill="1" applyAlignment="1">
      <alignment vertical="center"/>
    </xf>
    <xf numFmtId="0" fontId="8" fillId="2" borderId="0" xfId="0" applyFont="1" applyFill="1" applyAlignment="1">
      <alignment vertical="center"/>
    </xf>
    <xf numFmtId="0" fontId="1" fillId="2" borderId="9" xfId="0" applyFont="1" applyFill="1" applyBorder="1" applyAlignment="1">
      <alignment horizontal="center"/>
    </xf>
    <xf numFmtId="3" fontId="1" fillId="2" borderId="9" xfId="0" applyNumberFormat="1" applyFont="1" applyFill="1" applyBorder="1" applyAlignment="1">
      <alignment horizontal="center"/>
    </xf>
    <xf numFmtId="9" fontId="1" fillId="2" borderId="9" xfId="1" applyFont="1" applyFill="1" applyBorder="1" applyAlignment="1">
      <alignment horizontal="center"/>
    </xf>
    <xf numFmtId="0" fontId="10" fillId="2" borderId="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1"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0" fontId="10" fillId="2" borderId="9" xfId="0" applyFont="1" applyFill="1" applyBorder="1" applyAlignment="1">
      <alignment horizontal="center" wrapText="1"/>
    </xf>
    <xf numFmtId="164" fontId="1" fillId="2" borderId="9" xfId="0" applyNumberFormat="1" applyFont="1" applyFill="1" applyBorder="1" applyAlignment="1">
      <alignment horizontal="center" vertical="center" wrapText="1"/>
    </xf>
    <xf numFmtId="9" fontId="1" fillId="2" borderId="9" xfId="0" applyNumberFormat="1" applyFont="1" applyFill="1" applyBorder="1" applyAlignment="1">
      <alignment horizontal="center"/>
    </xf>
    <xf numFmtId="0" fontId="1" fillId="2" borderId="0" xfId="0" applyFont="1" applyFill="1" applyAlignment="1">
      <alignment horizontal="right" vertical="center"/>
    </xf>
    <xf numFmtId="0" fontId="11" fillId="2" borderId="0" xfId="0" applyFont="1" applyFill="1" applyAlignment="1">
      <alignment vertical="center"/>
    </xf>
    <xf numFmtId="0" fontId="10"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9" xfId="0" applyFont="1" applyFill="1" applyBorder="1" applyAlignment="1">
      <alignment horizontal="center" vertical="center"/>
    </xf>
    <xf numFmtId="3" fontId="1" fillId="2" borderId="9" xfId="0" applyNumberFormat="1" applyFont="1" applyFill="1" applyBorder="1" applyAlignment="1">
      <alignment horizontal="center" vertical="center"/>
    </xf>
    <xf numFmtId="0" fontId="5" fillId="0" borderId="0" xfId="0" quotePrefix="1" applyFont="1"/>
    <xf numFmtId="3" fontId="1" fillId="2" borderId="9" xfId="0" applyNumberFormat="1" applyFont="1" applyFill="1" applyBorder="1" applyAlignment="1">
      <alignment horizontal="right" vertical="center" wrapText="1"/>
    </xf>
    <xf numFmtId="9" fontId="1" fillId="2" borderId="9" xfId="0" applyNumberFormat="1" applyFont="1" applyFill="1" applyBorder="1" applyAlignment="1">
      <alignment horizontal="right" vertical="center" wrapText="1"/>
    </xf>
    <xf numFmtId="9" fontId="1" fillId="2" borderId="9" xfId="0" applyNumberFormat="1" applyFont="1" applyFill="1" applyBorder="1" applyAlignment="1">
      <alignment horizontal="center" wrapText="1"/>
    </xf>
    <xf numFmtId="0" fontId="10" fillId="2" borderId="9" xfId="0" applyFont="1" applyFill="1" applyBorder="1" applyAlignment="1">
      <alignment horizontal="center"/>
    </xf>
    <xf numFmtId="0" fontId="10" fillId="2" borderId="9" xfId="0" applyFont="1" applyFill="1" applyBorder="1" applyAlignment="1">
      <alignment horizontal="center" vertical="center"/>
    </xf>
    <xf numFmtId="3" fontId="10" fillId="2" borderId="9" xfId="0" applyNumberFormat="1" applyFont="1" applyFill="1" applyBorder="1" applyAlignment="1">
      <alignment horizontal="center" vertical="center"/>
    </xf>
    <xf numFmtId="0" fontId="1" fillId="2" borderId="9" xfId="0" applyFont="1" applyFill="1" applyBorder="1"/>
    <xf numFmtId="2" fontId="1" fillId="2" borderId="9" xfId="0" applyNumberFormat="1" applyFont="1" applyFill="1" applyBorder="1" applyAlignment="1">
      <alignment horizontal="center" vertical="center"/>
    </xf>
    <xf numFmtId="0" fontId="1" fillId="2" borderId="0" xfId="0" applyFont="1" applyFill="1" applyAlignment="1">
      <alignment horizontal="center" vertical="center"/>
    </xf>
    <xf numFmtId="165" fontId="1" fillId="2" borderId="9" xfId="0" applyNumberFormat="1" applyFont="1" applyFill="1" applyBorder="1" applyAlignment="1">
      <alignment horizontal="center"/>
    </xf>
    <xf numFmtId="4" fontId="2" fillId="0" borderId="0" xfId="0" applyNumberFormat="1" applyFont="1"/>
    <xf numFmtId="10" fontId="2" fillId="0" borderId="0" xfId="1" applyNumberFormat="1" applyFont="1"/>
    <xf numFmtId="0" fontId="13" fillId="0" borderId="0" xfId="0" applyFont="1"/>
    <xf numFmtId="166" fontId="2" fillId="0" borderId="0" xfId="0" applyNumberFormat="1" applyFont="1"/>
    <xf numFmtId="0" fontId="2" fillId="0" borderId="0" xfId="0" applyFont="1" applyAlignment="1">
      <alignment horizontal="center" vertical="center"/>
    </xf>
    <xf numFmtId="3" fontId="2" fillId="0" borderId="0" xfId="0" applyNumberFormat="1" applyFont="1"/>
    <xf numFmtId="0" fontId="2" fillId="0" borderId="4" xfId="0" applyFont="1" applyBorder="1"/>
    <xf numFmtId="0" fontId="2" fillId="0" borderId="0" xfId="0" applyFont="1" applyAlignment="1">
      <alignment horizontal="center"/>
    </xf>
    <xf numFmtId="0" fontId="2" fillId="0" borderId="7" xfId="0" applyFont="1" applyBorder="1" applyAlignment="1">
      <alignment horizontal="center"/>
    </xf>
    <xf numFmtId="3" fontId="2" fillId="0" borderId="0" xfId="0" applyNumberFormat="1" applyFont="1" applyAlignment="1">
      <alignment horizontal="center"/>
    </xf>
    <xf numFmtId="167" fontId="2" fillId="0" borderId="0" xfId="0" applyNumberFormat="1" applyFont="1" applyAlignment="1">
      <alignment horizontal="center"/>
    </xf>
    <xf numFmtId="168" fontId="2" fillId="0" borderId="0" xfId="0" applyNumberFormat="1" applyFont="1" applyAlignment="1">
      <alignment horizontal="center"/>
    </xf>
    <xf numFmtId="0" fontId="0" fillId="0" borderId="4" xfId="0" applyBorder="1"/>
    <xf numFmtId="168" fontId="2" fillId="0" borderId="0" xfId="0" applyNumberFormat="1" applyFont="1"/>
    <xf numFmtId="3" fontId="15" fillId="0" borderId="0" xfId="0" applyNumberFormat="1" applyFont="1" applyAlignment="1">
      <alignment horizontal="center"/>
    </xf>
    <xf numFmtId="167" fontId="15" fillId="0" borderId="0" xfId="0" applyNumberFormat="1" applyFont="1" applyAlignment="1">
      <alignment horizontal="center"/>
    </xf>
    <xf numFmtId="0" fontId="5" fillId="0" borderId="4" xfId="0" applyFont="1" applyBorder="1" applyAlignment="1">
      <alignment horizontal="left" vertical="center"/>
    </xf>
    <xf numFmtId="167" fontId="5" fillId="0" borderId="0" xfId="0" applyNumberFormat="1" applyFont="1" applyAlignment="1">
      <alignment horizontal="center"/>
    </xf>
    <xf numFmtId="10" fontId="2" fillId="0" borderId="0" xfId="1" applyNumberFormat="1" applyFont="1" applyFill="1" applyAlignment="1">
      <alignment horizontal="center"/>
    </xf>
    <xf numFmtId="10" fontId="2" fillId="0" borderId="0" xfId="0" applyNumberFormat="1" applyFont="1" applyAlignment="1">
      <alignment horizontal="center"/>
    </xf>
    <xf numFmtId="0" fontId="5" fillId="0" borderId="7" xfId="0" applyFont="1" applyBorder="1" applyAlignment="1">
      <alignment horizontal="center" wrapText="1"/>
    </xf>
    <xf numFmtId="0" fontId="16" fillId="0" borderId="0" xfId="0" applyFont="1"/>
    <xf numFmtId="0" fontId="5" fillId="0" borderId="0" xfId="0" applyFont="1" applyAlignment="1">
      <alignment horizontal="center"/>
    </xf>
    <xf numFmtId="164" fontId="5" fillId="0" borderId="0" xfId="0" applyNumberFormat="1" applyFont="1" applyAlignment="1">
      <alignment horizontal="center"/>
    </xf>
    <xf numFmtId="10" fontId="5" fillId="0" borderId="0" xfId="1" applyNumberFormat="1" applyFont="1" applyFill="1" applyAlignment="1">
      <alignment horizontal="center"/>
    </xf>
    <xf numFmtId="10" fontId="5" fillId="0" borderId="0" xfId="0" applyNumberFormat="1" applyFont="1" applyAlignment="1">
      <alignment horizontal="center"/>
    </xf>
    <xf numFmtId="3" fontId="5" fillId="0" borderId="0" xfId="0" applyNumberFormat="1" applyFont="1" applyAlignment="1">
      <alignment horizontal="center"/>
    </xf>
    <xf numFmtId="0" fontId="5" fillId="0" borderId="7" xfId="0" applyFont="1" applyBorder="1" applyAlignment="1">
      <alignment horizontal="center"/>
    </xf>
    <xf numFmtId="3" fontId="5" fillId="0" borderId="7" xfId="0" applyNumberFormat="1" applyFont="1" applyBorder="1" applyAlignment="1">
      <alignment horizontal="center"/>
    </xf>
    <xf numFmtId="10" fontId="5" fillId="0" borderId="7" xfId="0" applyNumberFormat="1" applyFont="1" applyBorder="1" applyAlignment="1">
      <alignment horizontal="center"/>
    </xf>
    <xf numFmtId="3" fontId="17" fillId="0" borderId="7" xfId="0" applyNumberFormat="1" applyFont="1" applyBorder="1" applyAlignment="1">
      <alignment horizontal="center"/>
    </xf>
    <xf numFmtId="10" fontId="5" fillId="0" borderId="7" xfId="1" applyNumberFormat="1" applyFont="1" applyFill="1" applyBorder="1" applyAlignment="1">
      <alignment horizontal="center"/>
    </xf>
    <xf numFmtId="10" fontId="5" fillId="0" borderId="9" xfId="0" applyNumberFormat="1" applyFont="1" applyBorder="1" applyAlignment="1">
      <alignment horizontal="center"/>
    </xf>
    <xf numFmtId="169" fontId="5" fillId="0" borderId="9" xfId="2" applyNumberFormat="1" applyFont="1" applyFill="1" applyBorder="1"/>
    <xf numFmtId="0" fontId="2" fillId="0" borderId="2" xfId="0" applyFont="1" applyBorder="1"/>
    <xf numFmtId="0" fontId="2" fillId="0" borderId="1" xfId="0" applyFont="1" applyBorder="1"/>
    <xf numFmtId="0" fontId="2" fillId="0" borderId="7" xfId="0" applyFont="1" applyBorder="1"/>
    <xf numFmtId="0" fontId="2" fillId="0" borderId="6" xfId="0" applyFont="1" applyBorder="1"/>
    <xf numFmtId="2" fontId="2" fillId="0" borderId="0" xfId="0" applyNumberFormat="1" applyFont="1" applyAlignment="1">
      <alignment horizontal="center"/>
    </xf>
    <xf numFmtId="0" fontId="2" fillId="0" borderId="7" xfId="0" applyFont="1" applyBorder="1" applyAlignment="1">
      <alignment horizontal="center" wrapText="1"/>
    </xf>
    <xf numFmtId="170" fontId="2" fillId="0" borderId="0" xfId="1" applyNumberFormat="1" applyFont="1" applyBorder="1" applyAlignment="1">
      <alignment horizontal="center"/>
    </xf>
    <xf numFmtId="2" fontId="2" fillId="0" borderId="7" xfId="0" applyNumberFormat="1" applyFont="1" applyBorder="1" applyAlignment="1">
      <alignment horizontal="center"/>
    </xf>
    <xf numFmtId="170" fontId="2" fillId="0" borderId="7" xfId="1" applyNumberFormat="1" applyFont="1" applyBorder="1" applyAlignment="1">
      <alignment horizontal="center"/>
    </xf>
    <xf numFmtId="0" fontId="2" fillId="0" borderId="0" xfId="0" applyFont="1" applyAlignment="1">
      <alignment horizontal="right"/>
    </xf>
    <xf numFmtId="171" fontId="2" fillId="0" borderId="0" xfId="0" applyNumberFormat="1" applyFont="1" applyAlignment="1">
      <alignment horizontal="center"/>
    </xf>
    <xf numFmtId="0" fontId="5" fillId="0" borderId="0" xfId="0" applyFont="1" applyAlignment="1">
      <alignment horizontal="right"/>
    </xf>
    <xf numFmtId="171" fontId="5" fillId="0" borderId="0" xfId="0" applyNumberFormat="1" applyFont="1" applyAlignment="1">
      <alignment horizontal="center"/>
    </xf>
    <xf numFmtId="0" fontId="14" fillId="0" borderId="0" xfId="0" quotePrefix="1" applyFont="1"/>
    <xf numFmtId="1" fontId="5" fillId="0" borderId="0" xfId="0" applyNumberFormat="1" applyFont="1" applyAlignment="1">
      <alignment horizontal="center"/>
    </xf>
    <xf numFmtId="9" fontId="2" fillId="0" borderId="0" xfId="1" applyFont="1" applyBorder="1"/>
    <xf numFmtId="0" fontId="2" fillId="3" borderId="2" xfId="0" applyFont="1" applyFill="1" applyBorder="1"/>
    <xf numFmtId="0" fontId="2" fillId="3" borderId="3" xfId="0" applyFont="1" applyFill="1" applyBorder="1"/>
    <xf numFmtId="0" fontId="2" fillId="0" borderId="3" xfId="0" applyFont="1" applyBorder="1"/>
    <xf numFmtId="0" fontId="2" fillId="3" borderId="0" xfId="0" applyFont="1" applyFill="1"/>
    <xf numFmtId="0" fontId="2" fillId="3" borderId="5" xfId="0" applyFont="1" applyFill="1" applyBorder="1"/>
    <xf numFmtId="0" fontId="2" fillId="0" borderId="5" xfId="0" applyFont="1" applyBorder="1"/>
    <xf numFmtId="0" fontId="2" fillId="3" borderId="7" xfId="0" applyFont="1" applyFill="1" applyBorder="1"/>
    <xf numFmtId="0" fontId="2" fillId="3" borderId="8" xfId="0" applyFont="1" applyFill="1" applyBorder="1" applyAlignment="1">
      <alignment horizontal="right"/>
    </xf>
    <xf numFmtId="0" fontId="2" fillId="0" borderId="8" xfId="0" applyFont="1" applyBorder="1"/>
    <xf numFmtId="0" fontId="2" fillId="0" borderId="8" xfId="0" applyFont="1" applyBorder="1" applyAlignment="1">
      <alignment horizontal="right"/>
    </xf>
    <xf numFmtId="9" fontId="2" fillId="0" borderId="0" xfId="0" applyNumberFormat="1" applyFont="1"/>
    <xf numFmtId="2" fontId="5" fillId="0" borderId="0" xfId="0" applyNumberFormat="1" applyFont="1" applyAlignment="1">
      <alignment horizontal="center"/>
    </xf>
    <xf numFmtId="4" fontId="5" fillId="0" borderId="0" xfId="0" applyNumberFormat="1" applyFont="1" applyAlignment="1">
      <alignment horizontal="center"/>
    </xf>
    <xf numFmtId="10" fontId="5" fillId="0" borderId="0" xfId="1" applyNumberFormat="1" applyFont="1" applyBorder="1" applyAlignment="1">
      <alignment horizontal="center"/>
    </xf>
    <xf numFmtId="10" fontId="5" fillId="0" borderId="0" xfId="1" applyNumberFormat="1" applyFont="1" applyFill="1" applyBorder="1" applyAlignment="1">
      <alignment horizontal="center"/>
    </xf>
    <xf numFmtId="4" fontId="5" fillId="0" borderId="7" xfId="0" applyNumberFormat="1" applyFont="1" applyBorder="1" applyAlignment="1">
      <alignment horizontal="center"/>
    </xf>
    <xf numFmtId="0" fontId="5" fillId="0" borderId="0" xfId="0" quotePrefix="1" applyFont="1" applyAlignment="1">
      <alignment horizontal="center"/>
    </xf>
    <xf numFmtId="171" fontId="5" fillId="0" borderId="7" xfId="0" applyNumberFormat="1" applyFont="1" applyBorder="1" applyAlignment="1">
      <alignment horizontal="center"/>
    </xf>
    <xf numFmtId="0" fontId="15" fillId="0" borderId="0" xfId="0" applyFont="1"/>
    <xf numFmtId="0" fontId="2" fillId="0" borderId="0" xfId="0" applyFont="1" applyAlignment="1">
      <alignment horizontal="left"/>
    </xf>
    <xf numFmtId="37" fontId="5" fillId="0" borderId="0" xfId="0" applyNumberFormat="1" applyFont="1" applyAlignment="1">
      <alignment horizontal="center"/>
    </xf>
    <xf numFmtId="39" fontId="2" fillId="0" borderId="0" xfId="0" applyNumberFormat="1" applyFont="1" applyAlignment="1">
      <alignment horizontal="center"/>
    </xf>
    <xf numFmtId="165" fontId="2" fillId="0" borderId="0" xfId="0" applyNumberFormat="1" applyFont="1" applyAlignment="1">
      <alignment horizontal="center"/>
    </xf>
    <xf numFmtId="37" fontId="2" fillId="0" borderId="0" xfId="0" applyNumberFormat="1" applyFont="1" applyAlignment="1">
      <alignment horizontal="center"/>
    </xf>
    <xf numFmtId="4" fontId="2" fillId="0" borderId="0" xfId="0" applyNumberFormat="1" applyFont="1" applyAlignment="1">
      <alignment horizontal="center"/>
    </xf>
    <xf numFmtId="3" fontId="2" fillId="0" borderId="7" xfId="0" applyNumberFormat="1" applyFont="1" applyBorder="1" applyAlignment="1">
      <alignment horizontal="center"/>
    </xf>
    <xf numFmtId="165" fontId="2" fillId="0" borderId="7" xfId="0" applyNumberFormat="1" applyFont="1" applyBorder="1" applyAlignment="1">
      <alignment horizontal="center"/>
    </xf>
    <xf numFmtId="4" fontId="2" fillId="0" borderId="7" xfId="0" applyNumberFormat="1" applyFont="1" applyBorder="1" applyAlignment="1">
      <alignment horizontal="center"/>
    </xf>
    <xf numFmtId="171" fontId="2" fillId="0" borderId="7" xfId="0" applyNumberFormat="1" applyFont="1" applyBorder="1" applyAlignment="1">
      <alignment horizontal="center"/>
    </xf>
    <xf numFmtId="164" fontId="2" fillId="0" borderId="0" xfId="0" applyNumberFormat="1" applyFont="1" applyAlignment="1">
      <alignment horizontal="center"/>
    </xf>
    <xf numFmtId="3" fontId="15" fillId="0" borderId="7" xfId="0" applyNumberFormat="1" applyFont="1" applyBorder="1" applyAlignment="1">
      <alignment horizontal="center"/>
    </xf>
    <xf numFmtId="165" fontId="15" fillId="0" borderId="7" xfId="0" applyNumberFormat="1" applyFont="1" applyBorder="1" applyAlignment="1">
      <alignment horizontal="center"/>
    </xf>
    <xf numFmtId="165" fontId="2" fillId="0" borderId="0" xfId="1" applyNumberFormat="1" applyFont="1" applyAlignment="1">
      <alignment horizontal="center"/>
    </xf>
    <xf numFmtId="165" fontId="2" fillId="0" borderId="0" xfId="1" applyNumberFormat="1" applyFont="1" applyFill="1" applyAlignment="1">
      <alignment horizontal="center"/>
    </xf>
    <xf numFmtId="3" fontId="2" fillId="0" borderId="7" xfId="0" applyNumberFormat="1" applyFont="1" applyBorder="1"/>
    <xf numFmtId="0" fontId="18" fillId="0" borderId="0" xfId="0" applyFont="1" applyAlignment="1">
      <alignment horizontal="center" vertical="center"/>
    </xf>
    <xf numFmtId="3" fontId="18" fillId="0" borderId="0" xfId="0" applyNumberFormat="1" applyFont="1" applyAlignment="1">
      <alignment horizontal="center" vertical="center"/>
    </xf>
    <xf numFmtId="3" fontId="19" fillId="0" borderId="0" xfId="0" applyNumberFormat="1" applyFont="1" applyAlignment="1">
      <alignment horizontal="center" vertical="center"/>
    </xf>
    <xf numFmtId="0" fontId="18" fillId="0" borderId="7" xfId="0" applyFont="1" applyBorder="1" applyAlignment="1">
      <alignment horizontal="center"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5" fillId="0" borderId="7" xfId="0" applyFont="1" applyBorder="1" applyAlignment="1">
      <alignment horizontal="center" vertical="center"/>
    </xf>
    <xf numFmtId="3" fontId="20" fillId="0" borderId="0" xfId="0" applyNumberFormat="1" applyFont="1" applyAlignment="1">
      <alignment horizontal="center" vertical="center"/>
    </xf>
    <xf numFmtId="167" fontId="18" fillId="0" borderId="0" xfId="0" applyNumberFormat="1" applyFont="1" applyAlignment="1">
      <alignment horizontal="center" vertical="center"/>
    </xf>
    <xf numFmtId="164" fontId="21" fillId="0" borderId="4" xfId="0" applyNumberFormat="1" applyFont="1" applyBorder="1"/>
    <xf numFmtId="164" fontId="5" fillId="0" borderId="4" xfId="0" applyNumberFormat="1" applyFont="1" applyBorder="1"/>
    <xf numFmtId="10" fontId="5" fillId="0" borderId="0" xfId="0" applyNumberFormat="1" applyFont="1"/>
    <xf numFmtId="0" fontId="2" fillId="0" borderId="0" xfId="0" quotePrefix="1" applyFont="1"/>
    <xf numFmtId="164" fontId="2" fillId="0" borderId="0" xfId="0" applyNumberFormat="1" applyFont="1"/>
    <xf numFmtId="172" fontId="5" fillId="0" borderId="0" xfId="0" applyNumberFormat="1" applyFont="1"/>
    <xf numFmtId="0" fontId="16" fillId="0" borderId="0" xfId="0" quotePrefix="1" applyFont="1"/>
    <xf numFmtId="0" fontId="5" fillId="2" borderId="0" xfId="0" applyFont="1" applyFill="1"/>
    <xf numFmtId="3" fontId="0" fillId="0" borderId="0" xfId="0" applyNumberFormat="1"/>
    <xf numFmtId="0" fontId="0" fillId="0" borderId="7" xfId="0" applyBorder="1"/>
    <xf numFmtId="0" fontId="13" fillId="0" borderId="0" xfId="0" quotePrefix="1" applyFont="1"/>
    <xf numFmtId="0" fontId="13" fillId="0" borderId="4" xfId="0" applyFont="1" applyBorder="1"/>
    <xf numFmtId="10" fontId="2" fillId="0" borderId="0" xfId="1" applyNumberFormat="1" applyFont="1" applyFill="1" applyBorder="1" applyAlignment="1">
      <alignment horizont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0" xfId="0" quotePrefix="1" applyFont="1" applyAlignment="1">
      <alignment horizontal="center"/>
    </xf>
    <xf numFmtId="0" fontId="23" fillId="0" borderId="0" xfId="0" applyFont="1"/>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 fillId="2" borderId="0" xfId="0" applyFont="1" applyFill="1" applyAlignment="1">
      <alignment wrapText="1"/>
    </xf>
    <xf numFmtId="0" fontId="2" fillId="0" borderId="0" xfId="0" applyFont="1" applyAlignment="1">
      <alignment horizontal="center" wrapText="1"/>
    </xf>
    <xf numFmtId="0" fontId="2" fillId="0" borderId="0" xfId="0" applyFont="1" applyAlignment="1">
      <alignment horizontal="center"/>
    </xf>
    <xf numFmtId="0" fontId="2" fillId="0" borderId="7" xfId="0" applyFont="1" applyBorder="1" applyAlignment="1">
      <alignment horizontal="center"/>
    </xf>
    <xf numFmtId="2" fontId="2" fillId="0" borderId="0" xfId="0" applyNumberFormat="1" applyFont="1" applyAlignment="1">
      <alignment horizontal="center"/>
    </xf>
    <xf numFmtId="2" fontId="2" fillId="0" borderId="5" xfId="0" applyNumberFormat="1" applyFont="1" applyBorder="1" applyAlignment="1">
      <alignment horizontal="center"/>
    </xf>
    <xf numFmtId="0" fontId="1" fillId="0" borderId="0" xfId="0" applyFont="1" applyAlignment="1">
      <alignment horizontal="center"/>
    </xf>
    <xf numFmtId="0" fontId="1" fillId="2" borderId="9" xfId="0" applyFont="1" applyFill="1" applyBorder="1" applyAlignment="1">
      <alignment horizontal="center" wrapText="1"/>
    </xf>
    <xf numFmtId="0" fontId="10" fillId="2" borderId="9" xfId="0" applyFont="1" applyFill="1" applyBorder="1" applyAlignment="1">
      <alignment horizont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8" fillId="0" borderId="0" xfId="0" applyFont="1" applyAlignment="1">
      <alignment horizontal="center" wrapText="1"/>
    </xf>
    <xf numFmtId="0" fontId="18" fillId="0" borderId="7" xfId="0" applyFont="1" applyBorder="1" applyAlignment="1">
      <alignment horizontal="center" wrapText="1"/>
    </xf>
    <xf numFmtId="0" fontId="18" fillId="0" borderId="0" xfId="0" applyFont="1" applyAlignment="1">
      <alignment horizontal="center" vertical="center" wrapText="1"/>
    </xf>
    <xf numFmtId="0" fontId="5" fillId="0" borderId="0" xfId="0" applyFont="1" applyAlignment="1">
      <alignment horizontal="center" wrapText="1"/>
    </xf>
    <xf numFmtId="0" fontId="5" fillId="0" borderId="7" xfId="0" applyFont="1" applyBorder="1" applyAlignment="1">
      <alignment horizontal="center" wrapText="1"/>
    </xf>
    <xf numFmtId="0" fontId="5" fillId="0" borderId="0" xfId="0" applyFont="1" applyAlignment="1">
      <alignment horizontal="center" vertical="center" wrapText="1"/>
    </xf>
    <xf numFmtId="3" fontId="1" fillId="2" borderId="9" xfId="0" applyNumberFormat="1" applyFont="1" applyFill="1" applyBorder="1" applyAlignment="1">
      <alignment horizontal="center" vertical="center"/>
    </xf>
    <xf numFmtId="0" fontId="10" fillId="2" borderId="9" xfId="0" applyFont="1" applyFill="1" applyBorder="1" applyAlignment="1">
      <alignment horizontal="center" vertical="center"/>
    </xf>
    <xf numFmtId="0" fontId="1" fillId="2" borderId="0" xfId="0" applyFont="1" applyFill="1" applyAlignment="1">
      <alignment vertical="center" wrapText="1"/>
    </xf>
    <xf numFmtId="0" fontId="5" fillId="0" borderId="7" xfId="0" applyFont="1" applyBorder="1" applyAlignment="1">
      <alignment horizontal="center"/>
    </xf>
    <xf numFmtId="0" fontId="20" fillId="0" borderId="0" xfId="0" applyFont="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14</xdr:row>
      <xdr:rowOff>0</xdr:rowOff>
    </xdr:from>
    <xdr:to>
      <xdr:col>23</xdr:col>
      <xdr:colOff>0</xdr:colOff>
      <xdr:row>18</xdr:row>
      <xdr:rowOff>0</xdr:rowOff>
    </xdr:to>
    <xdr:cxnSp macro="">
      <xdr:nvCxnSpPr>
        <xdr:cNvPr id="2" name="Straight Connector 1">
          <a:extLst>
            <a:ext uri="{FF2B5EF4-FFF2-40B4-BE49-F238E27FC236}">
              <a16:creationId xmlns:a16="http://schemas.microsoft.com/office/drawing/2014/main" id="{A192A285-5826-4EFA-82ED-804C21B77E3D}"/>
            </a:ext>
          </a:extLst>
        </xdr:cNvPr>
        <xdr:cNvCxnSpPr/>
      </xdr:nvCxnSpPr>
      <xdr:spPr>
        <a:xfrm flipV="1">
          <a:off x="8639175" y="1485900"/>
          <a:ext cx="1295400" cy="1143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14</xdr:row>
      <xdr:rowOff>9525</xdr:rowOff>
    </xdr:from>
    <xdr:to>
      <xdr:col>20</xdr:col>
      <xdr:colOff>323850</xdr:colOff>
      <xdr:row>18</xdr:row>
      <xdr:rowOff>0</xdr:rowOff>
    </xdr:to>
    <xdr:cxnSp macro="">
      <xdr:nvCxnSpPr>
        <xdr:cNvPr id="3" name="Straight Connector 2">
          <a:extLst>
            <a:ext uri="{FF2B5EF4-FFF2-40B4-BE49-F238E27FC236}">
              <a16:creationId xmlns:a16="http://schemas.microsoft.com/office/drawing/2014/main" id="{54A63536-6F26-46F6-B6B7-E985CF43B3AE}"/>
            </a:ext>
          </a:extLst>
        </xdr:cNvPr>
        <xdr:cNvCxnSpPr/>
      </xdr:nvCxnSpPr>
      <xdr:spPr>
        <a:xfrm flipV="1">
          <a:off x="8654415" y="1497330"/>
          <a:ext cx="628650" cy="11315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1740</xdr:colOff>
      <xdr:row>36</xdr:row>
      <xdr:rowOff>19050</xdr:rowOff>
    </xdr:from>
    <xdr:to>
      <xdr:col>23</xdr:col>
      <xdr:colOff>266700</xdr:colOff>
      <xdr:row>40</xdr:row>
      <xdr:rowOff>635</xdr:rowOff>
    </xdr:to>
    <xdr:cxnSp macro="">
      <xdr:nvCxnSpPr>
        <xdr:cNvPr id="4" name="Straight Connector 3">
          <a:extLst>
            <a:ext uri="{FF2B5EF4-FFF2-40B4-BE49-F238E27FC236}">
              <a16:creationId xmlns:a16="http://schemas.microsoft.com/office/drawing/2014/main" id="{C5BC51E6-C859-4929-BFBC-E1283E25E0D6}"/>
            </a:ext>
          </a:extLst>
        </xdr:cNvPr>
        <xdr:cNvCxnSpPr/>
      </xdr:nvCxnSpPr>
      <xdr:spPr>
        <a:xfrm flipV="1">
          <a:off x="12327090" y="7439025"/>
          <a:ext cx="1093635" cy="97218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260351</xdr:colOff>
      <xdr:row>42</xdr:row>
      <xdr:rowOff>0</xdr:rowOff>
    </xdr:from>
    <xdr:to>
      <xdr:col>21</xdr:col>
      <xdr:colOff>239368</xdr:colOff>
      <xdr:row>45</xdr:row>
      <xdr:rowOff>282575</xdr:rowOff>
    </xdr:to>
    <xdr:cxnSp macro="">
      <xdr:nvCxnSpPr>
        <xdr:cNvPr id="5" name="Straight Connector 4">
          <a:extLst>
            <a:ext uri="{FF2B5EF4-FFF2-40B4-BE49-F238E27FC236}">
              <a16:creationId xmlns:a16="http://schemas.microsoft.com/office/drawing/2014/main" id="{65DB3AAA-3804-4E25-9E94-CC3F11186542}"/>
            </a:ext>
          </a:extLst>
        </xdr:cNvPr>
        <xdr:cNvCxnSpPr/>
      </xdr:nvCxnSpPr>
      <xdr:spPr>
        <a:xfrm flipV="1">
          <a:off x="8897621" y="9296400"/>
          <a:ext cx="630527" cy="114363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864C-E886-47FE-8FDF-DF857EE032DF}">
  <dimension ref="A1:R57"/>
  <sheetViews>
    <sheetView tabSelected="1" zoomScaleNormal="100" workbookViewId="0"/>
  </sheetViews>
  <sheetFormatPr defaultRowHeight="15.6" x14ac:dyDescent="0.3"/>
  <cols>
    <col min="1" max="7" width="10.33203125" style="1" customWidth="1"/>
    <col min="8" max="12" width="9.77734375" style="1" customWidth="1"/>
    <col min="13" max="16384" width="8.88671875" style="1"/>
  </cols>
  <sheetData>
    <row r="1" spans="1:18" ht="17.399999999999999" x14ac:dyDescent="0.3">
      <c r="A1" s="14" t="s">
        <v>10</v>
      </c>
      <c r="B1" s="4"/>
      <c r="C1" s="4" t="s">
        <v>8</v>
      </c>
      <c r="D1" s="4"/>
      <c r="E1" s="4"/>
      <c r="F1" s="4"/>
      <c r="G1" s="4"/>
      <c r="H1" s="4"/>
      <c r="I1" s="4"/>
      <c r="J1" s="4"/>
      <c r="K1" s="4"/>
      <c r="L1" s="15"/>
    </row>
    <row r="2" spans="1:18" x14ac:dyDescent="0.3">
      <c r="A2" s="4"/>
      <c r="B2" s="4"/>
      <c r="C2" s="4"/>
      <c r="D2" s="4"/>
      <c r="E2" s="4"/>
      <c r="F2" s="4"/>
      <c r="G2" s="4"/>
      <c r="H2" s="4"/>
      <c r="I2" s="4"/>
      <c r="J2" s="4"/>
      <c r="K2" s="4"/>
      <c r="L2" s="15"/>
    </row>
    <row r="3" spans="1:18" x14ac:dyDescent="0.3">
      <c r="A3" s="4" t="s">
        <v>11</v>
      </c>
      <c r="B3" s="4"/>
      <c r="C3" s="4"/>
      <c r="D3" s="4"/>
      <c r="E3" s="4"/>
      <c r="F3" s="4"/>
      <c r="G3" s="4"/>
      <c r="H3" s="4"/>
      <c r="I3" s="4"/>
      <c r="J3" s="4"/>
      <c r="K3" s="4"/>
      <c r="L3" s="15"/>
    </row>
    <row r="4" spans="1:18" x14ac:dyDescent="0.3">
      <c r="A4" s="2"/>
      <c r="B4" s="2"/>
      <c r="C4" s="2"/>
      <c r="D4" s="2"/>
      <c r="E4" s="2"/>
      <c r="F4" s="2"/>
      <c r="G4" s="2"/>
      <c r="H4" s="2"/>
      <c r="I4" s="2"/>
      <c r="J4" s="2"/>
      <c r="K4" s="2"/>
      <c r="L4" s="2"/>
    </row>
    <row r="5" spans="1:18" x14ac:dyDescent="0.3">
      <c r="A5" s="17" t="s">
        <v>4</v>
      </c>
      <c r="B5" s="4" t="s">
        <v>12</v>
      </c>
      <c r="C5" s="4"/>
      <c r="D5" s="4"/>
      <c r="E5" s="4"/>
      <c r="F5" s="4"/>
      <c r="G5" s="4"/>
      <c r="H5" s="4"/>
      <c r="I5" s="4"/>
      <c r="J5" s="4"/>
      <c r="K5" s="4"/>
      <c r="L5" s="4"/>
      <c r="M5" s="3"/>
      <c r="N5" s="3"/>
      <c r="O5" s="3"/>
      <c r="P5" s="3"/>
      <c r="Q5" s="3"/>
      <c r="R5" s="3"/>
    </row>
    <row r="6" spans="1:18" x14ac:dyDescent="0.3">
      <c r="A6" s="2"/>
      <c r="B6" s="2"/>
      <c r="C6" s="2"/>
      <c r="D6" s="2"/>
      <c r="E6" s="2"/>
      <c r="F6" s="2"/>
      <c r="G6" s="2"/>
      <c r="H6" s="2"/>
      <c r="I6" s="2"/>
      <c r="J6" s="2"/>
      <c r="K6" s="2"/>
      <c r="L6" s="2"/>
      <c r="M6" s="2"/>
    </row>
    <row r="7" spans="1:18" x14ac:dyDescent="0.3">
      <c r="A7" s="2" t="s">
        <v>1</v>
      </c>
      <c r="B7" s="2"/>
      <c r="C7" s="2"/>
      <c r="D7" s="2"/>
      <c r="E7" s="2"/>
      <c r="F7" s="2"/>
      <c r="G7" s="2"/>
      <c r="H7" s="2"/>
      <c r="I7" s="2"/>
      <c r="J7" s="2"/>
      <c r="K7" s="2"/>
      <c r="L7" s="2"/>
      <c r="M7" s="2"/>
    </row>
    <row r="8" spans="1:18" x14ac:dyDescent="0.3">
      <c r="A8" s="2"/>
      <c r="B8" s="2"/>
      <c r="C8" s="2"/>
      <c r="D8" s="2"/>
      <c r="E8" s="2"/>
      <c r="F8" s="2"/>
      <c r="G8" s="2"/>
      <c r="H8" s="2"/>
      <c r="I8" s="2"/>
      <c r="J8" s="2"/>
      <c r="K8" s="2"/>
      <c r="L8" s="2"/>
      <c r="M8" s="2"/>
    </row>
    <row r="9" spans="1:18" x14ac:dyDescent="0.3">
      <c r="A9" s="2" t="s">
        <v>342</v>
      </c>
      <c r="B9" s="2"/>
      <c r="C9" s="2"/>
      <c r="D9" s="2"/>
      <c r="E9" s="2"/>
      <c r="F9" s="2"/>
      <c r="G9" s="2"/>
      <c r="H9" s="2"/>
      <c r="I9" s="2"/>
      <c r="J9" s="2"/>
      <c r="K9" s="2"/>
      <c r="L9" s="2"/>
      <c r="M9" s="2"/>
    </row>
    <row r="10" spans="1:18" x14ac:dyDescent="0.3">
      <c r="M10" s="3"/>
    </row>
    <row r="11" spans="1:18" x14ac:dyDescent="0.3">
      <c r="A11" s="4"/>
      <c r="B11" s="4"/>
      <c r="C11" s="4"/>
      <c r="D11" s="4"/>
      <c r="E11" s="4"/>
      <c r="F11" s="4"/>
      <c r="G11" s="4"/>
      <c r="H11" s="4"/>
      <c r="I11" s="4"/>
      <c r="J11" s="4"/>
      <c r="K11" s="4"/>
      <c r="L11" s="15"/>
      <c r="M11" s="3"/>
    </row>
    <row r="12" spans="1:18" x14ac:dyDescent="0.3">
      <c r="A12" s="4" t="s">
        <v>13</v>
      </c>
      <c r="B12" s="4"/>
      <c r="C12" s="4"/>
      <c r="D12" s="4"/>
      <c r="E12" s="4"/>
      <c r="F12" s="4"/>
      <c r="G12" s="4"/>
      <c r="H12" s="4"/>
      <c r="I12" s="4"/>
      <c r="J12" s="4"/>
      <c r="K12" s="4"/>
      <c r="L12" s="15"/>
      <c r="M12" s="3"/>
    </row>
    <row r="13" spans="1:18" x14ac:dyDescent="0.3">
      <c r="M13" s="3"/>
    </row>
    <row r="14" spans="1:18" x14ac:dyDescent="0.3">
      <c r="A14" s="17" t="s">
        <v>5</v>
      </c>
      <c r="B14" s="4" t="s">
        <v>14</v>
      </c>
      <c r="C14" s="4"/>
      <c r="D14" s="4"/>
      <c r="E14" s="4"/>
      <c r="F14" s="4"/>
      <c r="G14" s="4"/>
      <c r="H14" s="4"/>
      <c r="I14" s="4"/>
      <c r="J14" s="4"/>
      <c r="K14" s="4"/>
      <c r="L14" s="4"/>
    </row>
    <row r="15" spans="1:18" x14ac:dyDescent="0.3">
      <c r="A15" s="2"/>
      <c r="B15" s="2"/>
      <c r="C15" s="2"/>
      <c r="D15" s="2"/>
      <c r="E15" s="2"/>
      <c r="F15" s="2"/>
      <c r="G15" s="2"/>
      <c r="H15" s="2"/>
      <c r="I15" s="2"/>
      <c r="J15" s="2"/>
      <c r="K15" s="2"/>
      <c r="L15" s="2"/>
    </row>
    <row r="16" spans="1:18" x14ac:dyDescent="0.3">
      <c r="A16" s="2" t="s">
        <v>1</v>
      </c>
      <c r="B16" s="2"/>
      <c r="C16" s="2"/>
      <c r="D16" s="2"/>
      <c r="E16" s="2"/>
      <c r="F16" s="2"/>
      <c r="G16" s="2"/>
      <c r="H16" s="2"/>
      <c r="I16" s="2"/>
      <c r="J16" s="2"/>
      <c r="K16" s="2"/>
      <c r="L16" s="2"/>
    </row>
    <row r="17" spans="1:13" x14ac:dyDescent="0.3">
      <c r="A17" s="2"/>
      <c r="B17" s="2"/>
      <c r="C17" s="2"/>
      <c r="D17" s="2"/>
      <c r="E17" s="2"/>
      <c r="F17" s="2"/>
      <c r="G17" s="2"/>
      <c r="H17" s="2"/>
      <c r="I17" s="2"/>
      <c r="J17" s="2"/>
      <c r="K17" s="2"/>
      <c r="L17" s="2"/>
    </row>
    <row r="18" spans="1:13" x14ac:dyDescent="0.3">
      <c r="A18" s="2" t="s">
        <v>233</v>
      </c>
      <c r="B18" s="2"/>
      <c r="C18" s="2"/>
      <c r="D18" s="2"/>
      <c r="E18" s="2"/>
      <c r="F18" s="2"/>
      <c r="G18" s="2"/>
      <c r="H18" s="2"/>
      <c r="I18" s="2"/>
      <c r="J18" s="2"/>
      <c r="K18" s="2"/>
      <c r="L18" s="2"/>
    </row>
    <row r="19" spans="1:13" x14ac:dyDescent="0.3">
      <c r="A19" s="2" t="s">
        <v>343</v>
      </c>
      <c r="M19" s="2"/>
    </row>
    <row r="20" spans="1:13" x14ac:dyDescent="0.3">
      <c r="A20" s="1" t="s">
        <v>344</v>
      </c>
      <c r="M20" s="2"/>
    </row>
    <row r="21" spans="1:13" x14ac:dyDescent="0.3">
      <c r="A21" s="1" t="s">
        <v>345</v>
      </c>
      <c r="M21" s="2"/>
    </row>
    <row r="22" spans="1:13" x14ac:dyDescent="0.3">
      <c r="A22" s="1" t="s">
        <v>346</v>
      </c>
      <c r="M22" s="2"/>
    </row>
    <row r="23" spans="1:13" x14ac:dyDescent="0.3">
      <c r="A23" s="1" t="s">
        <v>347</v>
      </c>
      <c r="M23" s="2"/>
    </row>
    <row r="25" spans="1:13" x14ac:dyDescent="0.3">
      <c r="A25" s="17" t="s">
        <v>0</v>
      </c>
      <c r="B25" s="4" t="s">
        <v>15</v>
      </c>
      <c r="C25" s="4"/>
      <c r="D25" s="4"/>
      <c r="E25" s="4"/>
      <c r="F25" s="4"/>
      <c r="G25" s="4"/>
      <c r="H25" s="4"/>
      <c r="I25" s="4"/>
      <c r="J25" s="4"/>
      <c r="K25" s="4"/>
      <c r="L25" s="4"/>
    </row>
    <row r="26" spans="1:13" x14ac:dyDescent="0.3">
      <c r="A26" s="2"/>
      <c r="B26" s="2"/>
      <c r="C26" s="2"/>
      <c r="D26" s="2"/>
      <c r="E26" s="2"/>
      <c r="F26" s="2"/>
      <c r="G26" s="2"/>
      <c r="H26" s="2"/>
      <c r="I26" s="2"/>
      <c r="J26" s="2"/>
      <c r="K26" s="2"/>
      <c r="L26" s="2"/>
    </row>
    <row r="27" spans="1:13" x14ac:dyDescent="0.3">
      <c r="A27" s="2" t="s">
        <v>1</v>
      </c>
      <c r="B27" s="2"/>
      <c r="C27" s="2"/>
      <c r="D27" s="2"/>
      <c r="E27" s="2"/>
      <c r="F27" s="2"/>
      <c r="G27" s="2"/>
      <c r="H27" s="2"/>
      <c r="I27" s="2"/>
      <c r="J27" s="2"/>
      <c r="K27" s="2"/>
      <c r="L27" s="2"/>
    </row>
    <row r="28" spans="1:13" x14ac:dyDescent="0.3">
      <c r="A28" s="2"/>
      <c r="B28" s="2"/>
      <c r="C28" s="2"/>
      <c r="D28" s="2"/>
      <c r="E28" s="2"/>
      <c r="F28" s="2"/>
      <c r="G28" s="2"/>
      <c r="H28" s="2"/>
      <c r="I28" s="2"/>
      <c r="J28" s="2"/>
      <c r="K28" s="2"/>
      <c r="L28" s="2"/>
    </row>
    <row r="29" spans="1:13" ht="18" x14ac:dyDescent="0.4">
      <c r="A29" s="2" t="s">
        <v>348</v>
      </c>
      <c r="B29" s="2"/>
      <c r="C29" s="2"/>
      <c r="D29" s="2"/>
      <c r="E29" s="2"/>
      <c r="F29" s="2"/>
      <c r="G29" s="2"/>
      <c r="H29" s="2"/>
      <c r="I29" s="2"/>
      <c r="J29" s="2"/>
      <c r="K29" s="2"/>
      <c r="L29" s="2"/>
    </row>
    <row r="30" spans="1:13" x14ac:dyDescent="0.3">
      <c r="B30" s="2" t="s">
        <v>349</v>
      </c>
      <c r="C30" s="2"/>
      <c r="D30" s="2"/>
      <c r="E30" s="2"/>
      <c r="F30" s="2"/>
      <c r="G30" s="2"/>
      <c r="H30" s="2"/>
      <c r="I30" s="2"/>
      <c r="J30" s="2"/>
      <c r="K30" s="2"/>
      <c r="L30" s="2"/>
    </row>
    <row r="31" spans="1:13" ht="18" x14ac:dyDescent="0.4">
      <c r="B31" s="2" t="s">
        <v>350</v>
      </c>
      <c r="C31" s="2"/>
      <c r="D31" s="2"/>
      <c r="E31" s="2"/>
      <c r="F31" s="2"/>
      <c r="G31" s="2"/>
      <c r="H31" s="2"/>
      <c r="I31" s="2"/>
      <c r="J31" s="2"/>
      <c r="K31" s="2"/>
      <c r="L31" s="2"/>
    </row>
    <row r="32" spans="1:13" x14ac:dyDescent="0.3">
      <c r="B32" s="2" t="s">
        <v>351</v>
      </c>
      <c r="C32" s="2"/>
      <c r="D32" s="2"/>
      <c r="E32" s="2"/>
      <c r="F32" s="2"/>
      <c r="G32" s="2"/>
      <c r="H32" s="2"/>
      <c r="I32" s="2"/>
      <c r="J32" s="2"/>
      <c r="K32" s="2"/>
      <c r="L32" s="2"/>
    </row>
    <row r="33" spans="1:13" ht="18" x14ac:dyDescent="0.4">
      <c r="A33" s="2" t="s">
        <v>352</v>
      </c>
      <c r="B33" s="2"/>
    </row>
    <row r="34" spans="1:13" x14ac:dyDescent="0.3">
      <c r="M34" s="2"/>
    </row>
    <row r="35" spans="1:13" x14ac:dyDescent="0.3">
      <c r="A35" s="4"/>
      <c r="B35" s="4"/>
      <c r="C35" s="4"/>
      <c r="D35" s="4"/>
      <c r="E35" s="4"/>
      <c r="F35" s="4"/>
      <c r="G35" s="4"/>
      <c r="H35" s="4"/>
      <c r="I35" s="4"/>
      <c r="J35" s="4"/>
      <c r="K35" s="4"/>
      <c r="L35" s="15"/>
      <c r="M35" s="3"/>
    </row>
    <row r="36" spans="1:13" x14ac:dyDescent="0.3">
      <c r="A36" s="18" t="s">
        <v>16</v>
      </c>
      <c r="B36" s="4"/>
      <c r="C36" s="4"/>
      <c r="D36" s="4"/>
      <c r="E36" s="4"/>
      <c r="F36" s="4"/>
      <c r="G36" s="4"/>
      <c r="H36" s="4"/>
      <c r="I36" s="4"/>
      <c r="J36" s="4"/>
      <c r="K36" s="4"/>
      <c r="L36" s="15"/>
      <c r="M36" s="3"/>
    </row>
    <row r="37" spans="1:13" x14ac:dyDescent="0.3">
      <c r="A37" s="18"/>
      <c r="B37" s="4"/>
      <c r="C37" s="4"/>
      <c r="D37" s="4"/>
      <c r="E37" s="4"/>
      <c r="F37" s="4"/>
      <c r="G37" s="4"/>
      <c r="H37" s="4"/>
      <c r="I37" s="4"/>
      <c r="J37" s="4"/>
      <c r="K37" s="4"/>
      <c r="L37" s="15"/>
      <c r="M37" s="3"/>
    </row>
    <row r="38" spans="1:13" x14ac:dyDescent="0.3">
      <c r="A38" s="19" t="s">
        <v>18</v>
      </c>
      <c r="B38" s="4"/>
      <c r="C38" s="4"/>
      <c r="D38" s="4"/>
      <c r="E38" s="21">
        <v>1000</v>
      </c>
      <c r="F38" s="4" t="s">
        <v>17</v>
      </c>
      <c r="G38" s="4"/>
      <c r="H38" s="4"/>
      <c r="I38" s="4"/>
      <c r="J38" s="4"/>
      <c r="K38" s="4"/>
      <c r="L38" s="15"/>
      <c r="M38" s="3"/>
    </row>
    <row r="39" spans="1:13" x14ac:dyDescent="0.3">
      <c r="A39" s="19" t="s">
        <v>19</v>
      </c>
      <c r="B39" s="4"/>
      <c r="C39" s="4"/>
      <c r="D39" s="4"/>
      <c r="E39" s="21">
        <v>50</v>
      </c>
      <c r="F39" s="4" t="s">
        <v>17</v>
      </c>
      <c r="G39" s="4"/>
      <c r="H39" s="4"/>
      <c r="I39" s="4"/>
      <c r="J39" s="4"/>
      <c r="K39" s="4"/>
      <c r="L39" s="15"/>
      <c r="M39" s="3"/>
    </row>
    <row r="40" spans="1:13" x14ac:dyDescent="0.3">
      <c r="A40" s="19" t="s">
        <v>21</v>
      </c>
      <c r="B40" s="4"/>
      <c r="C40" s="4"/>
      <c r="D40" s="4"/>
      <c r="E40" s="22">
        <v>0.05</v>
      </c>
      <c r="F40" s="4" t="s">
        <v>20</v>
      </c>
      <c r="G40" s="4"/>
      <c r="H40" s="4"/>
      <c r="I40" s="4"/>
      <c r="J40" s="4"/>
      <c r="K40" s="4"/>
      <c r="L40" s="15"/>
      <c r="M40" s="3"/>
    </row>
    <row r="41" spans="1:13" x14ac:dyDescent="0.3">
      <c r="A41" s="19" t="s">
        <v>22</v>
      </c>
      <c r="B41" s="4"/>
      <c r="C41" s="4"/>
      <c r="D41" s="4"/>
      <c r="E41" s="4"/>
      <c r="F41" s="4"/>
      <c r="G41" s="22">
        <v>0.03</v>
      </c>
      <c r="H41" s="4" t="s">
        <v>20</v>
      </c>
      <c r="I41" s="4"/>
      <c r="J41" s="4"/>
      <c r="K41" s="4"/>
      <c r="L41" s="15"/>
      <c r="M41" s="3"/>
    </row>
    <row r="42" spans="1:13" x14ac:dyDescent="0.3">
      <c r="A42" s="19" t="s">
        <v>24</v>
      </c>
      <c r="B42" s="4"/>
      <c r="C42" s="4"/>
      <c r="D42" s="4"/>
      <c r="E42" s="4"/>
      <c r="F42" s="4"/>
      <c r="G42" s="21">
        <v>1082</v>
      </c>
      <c r="H42" s="4" t="s">
        <v>23</v>
      </c>
      <c r="I42" s="4"/>
      <c r="J42" s="4"/>
      <c r="K42" s="4"/>
      <c r="L42" s="15"/>
      <c r="M42" s="3"/>
    </row>
    <row r="43" spans="1:13" x14ac:dyDescent="0.3">
      <c r="A43" s="19" t="s">
        <v>25</v>
      </c>
      <c r="B43" s="4"/>
      <c r="C43" s="4"/>
      <c r="D43" s="4"/>
      <c r="E43" s="4"/>
      <c r="F43" s="4"/>
      <c r="G43" s="21">
        <v>600</v>
      </c>
      <c r="H43" s="4"/>
      <c r="I43" s="4"/>
      <c r="J43" s="4"/>
      <c r="K43" s="4"/>
      <c r="L43" s="15"/>
      <c r="M43" s="3"/>
    </row>
    <row r="44" spans="1:13" x14ac:dyDescent="0.3">
      <c r="A44" s="19" t="s">
        <v>26</v>
      </c>
      <c r="B44" s="4"/>
      <c r="C44" s="4"/>
      <c r="D44" s="4"/>
      <c r="E44" s="4"/>
      <c r="F44" s="4"/>
      <c r="G44" s="22">
        <v>7.0000000000000007E-2</v>
      </c>
      <c r="H44" s="4"/>
      <c r="I44" s="4"/>
      <c r="J44" s="4"/>
      <c r="K44" s="4"/>
      <c r="L44" s="15"/>
      <c r="M44" s="3"/>
    </row>
    <row r="45" spans="1:13" x14ac:dyDescent="0.3">
      <c r="M45" s="2"/>
    </row>
    <row r="46" spans="1:13" x14ac:dyDescent="0.3">
      <c r="A46" s="17" t="s">
        <v>2</v>
      </c>
      <c r="B46" s="4" t="s">
        <v>27</v>
      </c>
      <c r="C46" s="4"/>
      <c r="D46" s="4"/>
      <c r="E46" s="4"/>
      <c r="F46" s="4"/>
      <c r="G46" s="4"/>
      <c r="H46" s="4"/>
      <c r="I46" s="4"/>
      <c r="J46" s="4"/>
      <c r="K46" s="4"/>
      <c r="L46" s="4"/>
    </row>
    <row r="47" spans="1:13" x14ac:dyDescent="0.3">
      <c r="A47" s="2"/>
      <c r="B47" s="2"/>
      <c r="C47" s="2"/>
      <c r="D47" s="2"/>
      <c r="E47" s="2"/>
      <c r="F47" s="2"/>
      <c r="G47" s="2"/>
      <c r="H47" s="2"/>
      <c r="I47" s="2"/>
      <c r="J47" s="2"/>
      <c r="K47" s="2"/>
      <c r="L47" s="2"/>
    </row>
    <row r="48" spans="1:13" x14ac:dyDescent="0.3">
      <c r="A48" s="2" t="s">
        <v>1</v>
      </c>
      <c r="B48" s="2"/>
      <c r="C48" s="2"/>
      <c r="D48" s="2"/>
      <c r="E48" s="2"/>
      <c r="F48" s="2"/>
      <c r="G48" s="2"/>
      <c r="H48" s="2"/>
      <c r="I48" s="2"/>
      <c r="J48" s="2"/>
      <c r="K48" s="2"/>
      <c r="L48" s="2"/>
    </row>
    <row r="50" spans="1:6" x14ac:dyDescent="0.3">
      <c r="A50" s="1" t="s">
        <v>191</v>
      </c>
      <c r="F50" s="50">
        <f>(E38+E39)/(1-E40-G41)</f>
        <v>1141.304347826087</v>
      </c>
    </row>
    <row r="51" spans="1:6" x14ac:dyDescent="0.3">
      <c r="A51" s="1" t="s">
        <v>193</v>
      </c>
      <c r="F51" s="50">
        <f>F50/(1+G44)</f>
        <v>1066.6395774075579</v>
      </c>
    </row>
    <row r="52" spans="1:6" x14ac:dyDescent="0.3">
      <c r="A52" s="1" t="s">
        <v>192</v>
      </c>
      <c r="F52" s="51">
        <f>SQRT(G43/G42)</f>
        <v>0.74466680511954475</v>
      </c>
    </row>
    <row r="53" spans="1:6" x14ac:dyDescent="0.3">
      <c r="A53" s="1" t="s">
        <v>194</v>
      </c>
      <c r="F53" s="50">
        <f>F52*F50+(1-F52)*F51</f>
        <v>1122.2399534501083</v>
      </c>
    </row>
    <row r="55" spans="1:6" x14ac:dyDescent="0.3">
      <c r="A55" s="52" t="s">
        <v>195</v>
      </c>
    </row>
    <row r="56" spans="1:6" x14ac:dyDescent="0.3">
      <c r="A56" s="1" t="s">
        <v>196</v>
      </c>
      <c r="F56" s="53">
        <f>(1+G44)*F52+1-F52</f>
        <v>1.0521266763583683</v>
      </c>
    </row>
    <row r="57" spans="1:6" x14ac:dyDescent="0.3">
      <c r="A57" s="1" t="s">
        <v>194</v>
      </c>
      <c r="F57" s="50">
        <f>F51*F56</f>
        <v>1122.2399534501085</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76BEE-C102-4435-ABD7-A86928BFB9C7}">
  <dimension ref="A1:R61"/>
  <sheetViews>
    <sheetView zoomScaleNormal="100" workbookViewId="0"/>
  </sheetViews>
  <sheetFormatPr defaultRowHeight="15.6" x14ac:dyDescent="0.3"/>
  <cols>
    <col min="1" max="6" width="8.88671875" style="1" customWidth="1"/>
    <col min="7" max="7" width="8.88671875" style="1"/>
    <col min="8" max="8" width="8.88671875" style="1" customWidth="1"/>
    <col min="9" max="16384" width="8.88671875" style="1"/>
  </cols>
  <sheetData>
    <row r="1" spans="1:18" ht="17.399999999999999" x14ac:dyDescent="0.3">
      <c r="A1" s="14" t="s">
        <v>145</v>
      </c>
      <c r="B1" s="4"/>
      <c r="C1" s="4" t="s">
        <v>134</v>
      </c>
      <c r="D1" s="4"/>
      <c r="E1" s="4"/>
      <c r="F1" s="4"/>
      <c r="G1" s="4"/>
      <c r="H1" s="4"/>
      <c r="I1" s="4"/>
      <c r="J1" s="4"/>
      <c r="K1" s="4"/>
      <c r="L1" s="15"/>
    </row>
    <row r="2" spans="1:18" x14ac:dyDescent="0.3">
      <c r="A2" s="4"/>
      <c r="B2" s="4"/>
      <c r="C2" s="4"/>
      <c r="D2" s="4"/>
      <c r="E2" s="4"/>
      <c r="F2" s="4"/>
      <c r="G2" s="4"/>
      <c r="H2" s="4"/>
      <c r="I2" s="4"/>
      <c r="J2" s="4"/>
      <c r="K2" s="4"/>
      <c r="L2" s="15"/>
    </row>
    <row r="3" spans="1:18" x14ac:dyDescent="0.3">
      <c r="A3" s="183" t="s">
        <v>146</v>
      </c>
      <c r="B3" s="183"/>
      <c r="C3" s="183"/>
      <c r="D3" s="183"/>
      <c r="E3" s="183"/>
      <c r="F3" s="183"/>
      <c r="G3" s="183"/>
      <c r="H3" s="183"/>
      <c r="I3" s="183"/>
      <c r="J3" s="183"/>
      <c r="K3" s="183"/>
      <c r="L3" s="183"/>
    </row>
    <row r="4" spans="1:18" x14ac:dyDescent="0.3">
      <c r="A4" s="183"/>
      <c r="B4" s="183"/>
      <c r="C4" s="183"/>
      <c r="D4" s="183"/>
      <c r="E4" s="183"/>
      <c r="F4" s="183"/>
      <c r="G4" s="183"/>
      <c r="H4" s="183"/>
      <c r="I4" s="183"/>
      <c r="J4" s="183"/>
      <c r="K4" s="183"/>
      <c r="L4" s="183"/>
    </row>
    <row r="5" spans="1:18" x14ac:dyDescent="0.3">
      <c r="A5" s="48"/>
      <c r="B5" s="4"/>
      <c r="C5" s="4"/>
      <c r="D5" s="4"/>
      <c r="E5" s="4"/>
      <c r="F5" s="4"/>
      <c r="G5" s="4"/>
      <c r="H5" s="4"/>
      <c r="I5" s="4"/>
      <c r="J5" s="4"/>
      <c r="K5" s="4"/>
      <c r="L5" s="4"/>
    </row>
    <row r="6" spans="1:18" x14ac:dyDescent="0.3">
      <c r="A6" s="183" t="s">
        <v>147</v>
      </c>
      <c r="B6" s="183"/>
      <c r="C6" s="183"/>
      <c r="D6" s="183"/>
      <c r="E6" s="183"/>
      <c r="F6" s="183"/>
      <c r="G6" s="183"/>
      <c r="H6" s="183"/>
      <c r="I6" s="183"/>
      <c r="J6" s="183"/>
      <c r="K6" s="183"/>
      <c r="L6" s="183"/>
    </row>
    <row r="7" spans="1:18" x14ac:dyDescent="0.3">
      <c r="A7" s="183"/>
      <c r="B7" s="183"/>
      <c r="C7" s="183"/>
      <c r="D7" s="183"/>
      <c r="E7" s="183"/>
      <c r="F7" s="183"/>
      <c r="G7" s="183"/>
      <c r="H7" s="183"/>
      <c r="I7" s="183"/>
      <c r="J7" s="183"/>
      <c r="K7" s="183"/>
      <c r="L7" s="183"/>
    </row>
    <row r="8" spans="1:18" x14ac:dyDescent="0.3">
      <c r="A8" s="2"/>
      <c r="B8" s="2"/>
      <c r="C8" s="2"/>
      <c r="D8" s="2"/>
      <c r="E8" s="2"/>
      <c r="F8" s="2"/>
      <c r="G8" s="2"/>
      <c r="H8" s="2"/>
      <c r="I8" s="2"/>
      <c r="J8" s="2"/>
      <c r="K8" s="2"/>
      <c r="L8" s="2"/>
    </row>
    <row r="9" spans="1:18" x14ac:dyDescent="0.3">
      <c r="A9" s="17" t="s">
        <v>4</v>
      </c>
      <c r="B9" s="4" t="s">
        <v>148</v>
      </c>
      <c r="C9" s="4"/>
      <c r="D9" s="4"/>
      <c r="E9" s="4"/>
      <c r="F9" s="4"/>
      <c r="G9" s="4"/>
      <c r="H9" s="4"/>
      <c r="I9" s="4"/>
      <c r="J9" s="4"/>
      <c r="K9" s="4"/>
      <c r="L9" s="4"/>
      <c r="M9" s="3"/>
      <c r="N9" s="3"/>
      <c r="O9" s="3"/>
      <c r="P9" s="3"/>
      <c r="Q9" s="3"/>
      <c r="R9" s="3"/>
    </row>
    <row r="10" spans="1:18" x14ac:dyDescent="0.3">
      <c r="A10" s="17"/>
      <c r="B10" s="4"/>
      <c r="C10" s="4"/>
      <c r="D10" s="4"/>
      <c r="E10" s="4"/>
      <c r="F10" s="4"/>
      <c r="G10" s="4"/>
      <c r="H10" s="4"/>
      <c r="I10" s="4"/>
      <c r="J10" s="4"/>
      <c r="K10" s="4"/>
      <c r="L10" s="4"/>
      <c r="M10" s="3"/>
      <c r="N10" s="3"/>
      <c r="O10" s="3"/>
      <c r="P10" s="3"/>
      <c r="Q10" s="3"/>
      <c r="R10" s="3"/>
    </row>
    <row r="11" spans="1:18" x14ac:dyDescent="0.3">
      <c r="A11" s="17"/>
      <c r="B11" s="18" t="s">
        <v>149</v>
      </c>
      <c r="C11" s="4"/>
      <c r="D11" s="4"/>
      <c r="E11" s="4"/>
      <c r="F11" s="4"/>
      <c r="G11" s="4"/>
      <c r="H11" s="4"/>
      <c r="I11" s="4"/>
      <c r="J11" s="4"/>
      <c r="K11" s="4"/>
      <c r="L11" s="4"/>
      <c r="M11" s="3"/>
      <c r="N11" s="3"/>
      <c r="O11" s="3"/>
      <c r="P11" s="3"/>
      <c r="Q11" s="3"/>
      <c r="R11" s="3"/>
    </row>
    <row r="12" spans="1:18" x14ac:dyDescent="0.3">
      <c r="A12" s="17"/>
      <c r="B12" s="18"/>
      <c r="C12" s="4"/>
      <c r="D12" s="4"/>
      <c r="E12" s="4"/>
      <c r="F12" s="4"/>
      <c r="G12" s="4"/>
      <c r="H12" s="4"/>
      <c r="I12" s="4"/>
      <c r="J12" s="4"/>
      <c r="K12" s="4"/>
      <c r="L12" s="4"/>
      <c r="M12" s="3"/>
      <c r="N12" s="3"/>
      <c r="O12" s="3"/>
      <c r="P12" s="3"/>
      <c r="Q12" s="3"/>
      <c r="R12" s="3"/>
    </row>
    <row r="13" spans="1:18" x14ac:dyDescent="0.3">
      <c r="A13" s="17"/>
      <c r="B13" s="18" t="s">
        <v>150</v>
      </c>
      <c r="C13" s="4"/>
      <c r="D13" s="4"/>
      <c r="E13" s="4"/>
      <c r="F13" s="4"/>
      <c r="G13" s="4"/>
      <c r="H13" s="4"/>
      <c r="I13" s="4"/>
      <c r="J13" s="4"/>
      <c r="K13" s="4"/>
      <c r="L13" s="4"/>
      <c r="M13" s="3"/>
      <c r="N13" s="3"/>
      <c r="O13" s="3"/>
      <c r="P13" s="3"/>
      <c r="Q13" s="3"/>
      <c r="R13" s="3"/>
    </row>
    <row r="14" spans="1:18" x14ac:dyDescent="0.3">
      <c r="A14" s="2"/>
      <c r="B14" s="2"/>
      <c r="C14" s="2"/>
      <c r="D14" s="2"/>
      <c r="E14" s="2"/>
      <c r="F14" s="2"/>
      <c r="G14" s="2"/>
      <c r="H14" s="2"/>
      <c r="I14" s="2"/>
      <c r="J14" s="2"/>
      <c r="K14" s="2"/>
      <c r="L14" s="2"/>
      <c r="M14" s="2"/>
    </row>
    <row r="15" spans="1:18" x14ac:dyDescent="0.3">
      <c r="A15" s="2" t="s">
        <v>1</v>
      </c>
      <c r="B15" s="2"/>
      <c r="C15" s="2"/>
      <c r="D15" s="2"/>
      <c r="E15" s="2"/>
      <c r="F15" s="2"/>
      <c r="G15" s="2"/>
      <c r="H15" s="2"/>
      <c r="I15" s="2"/>
      <c r="J15" s="2"/>
      <c r="K15" s="2"/>
      <c r="L15" s="2"/>
      <c r="M15" s="2"/>
    </row>
    <row r="16" spans="1:18" x14ac:dyDescent="0.3">
      <c r="A16" s="2"/>
      <c r="B16" s="39" t="s">
        <v>85</v>
      </c>
      <c r="C16" s="2" t="s">
        <v>412</v>
      </c>
      <c r="D16" s="2"/>
      <c r="E16" s="2"/>
      <c r="F16" s="2"/>
      <c r="G16" s="2"/>
      <c r="H16" s="2"/>
      <c r="I16" s="2"/>
      <c r="J16" s="2"/>
      <c r="K16" s="2"/>
      <c r="L16" s="2"/>
      <c r="M16" s="2"/>
    </row>
    <row r="17" spans="1:13" x14ac:dyDescent="0.3">
      <c r="B17" s="2"/>
      <c r="C17" s="1" t="s">
        <v>322</v>
      </c>
      <c r="M17" s="3"/>
    </row>
    <row r="18" spans="1:13" x14ac:dyDescent="0.3">
      <c r="B18" s="2"/>
      <c r="C18" s="1" t="s">
        <v>413</v>
      </c>
      <c r="M18" s="3"/>
    </row>
    <row r="19" spans="1:13" x14ac:dyDescent="0.3">
      <c r="B19" s="2"/>
      <c r="M19" s="3"/>
    </row>
    <row r="20" spans="1:13" x14ac:dyDescent="0.3">
      <c r="B20" s="1" t="s">
        <v>86</v>
      </c>
      <c r="C20" s="1" t="s">
        <v>323</v>
      </c>
      <c r="M20" s="3"/>
    </row>
    <row r="21" spans="1:13" x14ac:dyDescent="0.3">
      <c r="C21" s="1" t="s">
        <v>414</v>
      </c>
      <c r="M21" s="3"/>
    </row>
    <row r="22" spans="1:13" x14ac:dyDescent="0.3">
      <c r="M22" s="3"/>
    </row>
    <row r="23" spans="1:13" x14ac:dyDescent="0.3">
      <c r="A23" s="17" t="s">
        <v>5</v>
      </c>
      <c r="B23" s="4" t="s">
        <v>151</v>
      </c>
      <c r="C23" s="4"/>
      <c r="D23" s="4"/>
      <c r="E23" s="4"/>
      <c r="F23" s="4"/>
      <c r="G23" s="4"/>
      <c r="H23" s="4"/>
      <c r="I23" s="4"/>
      <c r="J23" s="4"/>
      <c r="K23" s="4"/>
      <c r="L23" s="4"/>
    </row>
    <row r="24" spans="1:13" x14ac:dyDescent="0.3">
      <c r="A24" s="2"/>
      <c r="B24" s="2"/>
      <c r="C24" s="2"/>
      <c r="D24" s="2"/>
      <c r="E24" s="2"/>
      <c r="F24" s="2"/>
      <c r="G24" s="2"/>
      <c r="H24" s="2"/>
      <c r="I24" s="2"/>
      <c r="J24" s="2"/>
      <c r="K24" s="2"/>
      <c r="L24" s="2"/>
    </row>
    <row r="25" spans="1:13" x14ac:dyDescent="0.3">
      <c r="A25" s="2" t="s">
        <v>1</v>
      </c>
      <c r="B25" s="2"/>
      <c r="C25" s="2"/>
      <c r="D25" s="2"/>
      <c r="E25" s="2"/>
      <c r="F25" s="2"/>
      <c r="G25" s="2"/>
      <c r="H25" s="2"/>
      <c r="I25" s="2"/>
      <c r="J25" s="2"/>
      <c r="K25" s="2"/>
      <c r="L25" s="2"/>
    </row>
    <row r="26" spans="1:13" x14ac:dyDescent="0.3">
      <c r="A26" s="2"/>
      <c r="B26" s="2"/>
      <c r="C26" s="2"/>
      <c r="D26" s="2"/>
      <c r="E26" s="2"/>
      <c r="F26" s="2"/>
      <c r="G26" s="2"/>
      <c r="H26" s="2"/>
      <c r="I26" s="2"/>
      <c r="J26" s="2"/>
      <c r="K26" s="2"/>
      <c r="L26" s="2"/>
    </row>
    <row r="27" spans="1:13" x14ac:dyDescent="0.3">
      <c r="A27" s="2"/>
      <c r="B27" s="160" t="s">
        <v>277</v>
      </c>
      <c r="C27" s="2"/>
      <c r="D27" s="2"/>
      <c r="E27" s="2"/>
      <c r="F27" s="2"/>
      <c r="G27" s="2"/>
      <c r="H27" s="2"/>
      <c r="I27" s="2"/>
      <c r="J27" s="2"/>
      <c r="K27" s="2"/>
      <c r="L27" s="2"/>
    </row>
    <row r="28" spans="1:13" x14ac:dyDescent="0.3">
      <c r="A28" s="2"/>
      <c r="B28" s="52" t="s">
        <v>372</v>
      </c>
      <c r="C28" s="2"/>
      <c r="D28" s="2"/>
      <c r="E28" s="2"/>
      <c r="F28" s="2"/>
      <c r="G28" s="2"/>
      <c r="H28" s="2"/>
      <c r="I28" s="2"/>
      <c r="J28" s="2"/>
      <c r="K28" s="2"/>
      <c r="L28" s="2"/>
    </row>
    <row r="29" spans="1:13" x14ac:dyDescent="0.3">
      <c r="A29" s="2"/>
      <c r="B29" s="2"/>
      <c r="C29" s="2"/>
      <c r="D29" s="2"/>
      <c r="E29" s="2"/>
      <c r="F29" s="2"/>
      <c r="G29" s="2"/>
      <c r="H29" s="2"/>
      <c r="I29" s="2"/>
      <c r="J29" s="2"/>
      <c r="K29" s="2"/>
      <c r="L29" s="2"/>
    </row>
    <row r="30" spans="1:13" x14ac:dyDescent="0.3">
      <c r="A30" s="2"/>
      <c r="B30" s="2" t="s">
        <v>373</v>
      </c>
      <c r="C30" s="2"/>
      <c r="D30" s="2"/>
      <c r="E30" s="2"/>
      <c r="F30" s="2"/>
      <c r="G30" s="2"/>
      <c r="H30" s="2"/>
      <c r="I30" s="2"/>
      <c r="J30" s="2"/>
      <c r="K30" s="2"/>
      <c r="L30" s="2"/>
    </row>
    <row r="31" spans="1:13" x14ac:dyDescent="0.3">
      <c r="A31" s="2"/>
      <c r="B31" s="2" t="s">
        <v>324</v>
      </c>
      <c r="C31" s="2"/>
      <c r="D31" s="2"/>
      <c r="E31" s="2"/>
      <c r="F31" s="2"/>
      <c r="G31" s="2"/>
      <c r="H31" s="2"/>
      <c r="I31" s="2"/>
      <c r="J31" s="2"/>
      <c r="K31" s="2"/>
      <c r="L31" s="2"/>
    </row>
    <row r="32" spans="1:13" x14ac:dyDescent="0.3">
      <c r="A32" s="2"/>
      <c r="B32" s="2" t="s">
        <v>325</v>
      </c>
      <c r="C32" s="2"/>
      <c r="D32" s="2"/>
      <c r="E32" s="2"/>
      <c r="F32" s="2"/>
      <c r="G32" s="2"/>
      <c r="H32" s="2"/>
      <c r="I32" s="2"/>
      <c r="J32" s="2"/>
      <c r="K32" s="2"/>
      <c r="L32" s="2"/>
    </row>
    <row r="33" spans="1:13" x14ac:dyDescent="0.3">
      <c r="M33" s="2"/>
    </row>
    <row r="34" spans="1:13" x14ac:dyDescent="0.3">
      <c r="A34" s="163" t="s">
        <v>152</v>
      </c>
      <c r="B34" s="163"/>
      <c r="C34" s="163"/>
      <c r="D34" s="163"/>
      <c r="E34" s="163"/>
      <c r="F34" s="163"/>
      <c r="G34" s="163"/>
      <c r="H34" s="163"/>
      <c r="I34" s="163"/>
      <c r="J34" s="163"/>
      <c r="K34" s="163"/>
      <c r="L34" s="163"/>
      <c r="M34" s="2"/>
    </row>
    <row r="35" spans="1:13" x14ac:dyDescent="0.3">
      <c r="A35" s="163"/>
      <c r="B35" s="163"/>
      <c r="C35" s="163"/>
      <c r="D35" s="163"/>
      <c r="E35" s="163"/>
      <c r="F35" s="163"/>
      <c r="G35" s="163"/>
      <c r="H35" s="163"/>
      <c r="I35" s="163"/>
      <c r="J35" s="163"/>
      <c r="K35" s="163"/>
      <c r="L35" s="163"/>
      <c r="M35" s="2"/>
    </row>
    <row r="36" spans="1:13" x14ac:dyDescent="0.3">
      <c r="A36" s="163"/>
      <c r="B36" s="163"/>
      <c r="C36" s="163"/>
      <c r="D36" s="163"/>
      <c r="E36" s="163"/>
      <c r="F36" s="163"/>
      <c r="G36" s="163"/>
      <c r="H36" s="163"/>
      <c r="I36" s="163"/>
      <c r="J36" s="163"/>
      <c r="K36" s="163"/>
      <c r="L36" s="163"/>
    </row>
    <row r="38" spans="1:13" x14ac:dyDescent="0.3">
      <c r="A38" s="17" t="s">
        <v>0</v>
      </c>
      <c r="B38" s="163" t="s">
        <v>153</v>
      </c>
      <c r="C38" s="163"/>
      <c r="D38" s="163"/>
      <c r="E38" s="163"/>
      <c r="F38" s="163"/>
      <c r="G38" s="163"/>
      <c r="H38" s="163"/>
      <c r="I38" s="163"/>
      <c r="J38" s="163"/>
      <c r="K38" s="163"/>
      <c r="L38" s="163"/>
    </row>
    <row r="39" spans="1:13" x14ac:dyDescent="0.3">
      <c r="A39" s="17"/>
      <c r="B39" s="163"/>
      <c r="C39" s="163"/>
      <c r="D39" s="163"/>
      <c r="E39" s="163"/>
      <c r="F39" s="163"/>
      <c r="G39" s="163"/>
      <c r="H39" s="163"/>
      <c r="I39" s="163"/>
      <c r="J39" s="163"/>
      <c r="K39" s="163"/>
      <c r="L39" s="163"/>
    </row>
    <row r="40" spans="1:13" x14ac:dyDescent="0.3">
      <c r="A40" s="2"/>
      <c r="B40" s="2"/>
      <c r="C40" s="2"/>
      <c r="D40" s="2"/>
      <c r="E40" s="2"/>
      <c r="F40" s="2"/>
      <c r="G40" s="2"/>
      <c r="H40" s="2"/>
      <c r="I40" s="2"/>
      <c r="J40" s="2"/>
      <c r="K40" s="2"/>
      <c r="L40" s="2"/>
    </row>
    <row r="41" spans="1:13" x14ac:dyDescent="0.3">
      <c r="A41" s="2" t="s">
        <v>1</v>
      </c>
      <c r="B41" s="2"/>
      <c r="C41" s="2"/>
      <c r="D41" s="2"/>
      <c r="E41" s="2"/>
      <c r="F41" s="2"/>
      <c r="G41" s="2"/>
      <c r="H41" s="2"/>
      <c r="I41" s="2"/>
      <c r="J41" s="2"/>
      <c r="K41" s="2"/>
      <c r="L41" s="2"/>
    </row>
    <row r="42" spans="1:13" x14ac:dyDescent="0.3">
      <c r="A42" s="2"/>
      <c r="B42" s="2"/>
      <c r="C42" s="2"/>
      <c r="D42" s="2"/>
      <c r="E42" s="2"/>
      <c r="F42" s="2"/>
      <c r="G42" s="2"/>
      <c r="H42" s="2"/>
      <c r="I42" s="2"/>
      <c r="J42" s="2"/>
      <c r="K42" s="2"/>
      <c r="L42" s="2"/>
    </row>
    <row r="43" spans="1:13" x14ac:dyDescent="0.3">
      <c r="A43" s="2"/>
      <c r="B43" s="1" t="s">
        <v>328</v>
      </c>
      <c r="C43" s="2"/>
      <c r="D43" s="2"/>
      <c r="E43" s="2"/>
      <c r="F43" s="2"/>
      <c r="G43" s="2"/>
      <c r="H43" s="2"/>
      <c r="I43" s="2"/>
      <c r="J43" s="2"/>
      <c r="K43" s="2"/>
      <c r="L43" s="2"/>
    </row>
    <row r="44" spans="1:13" x14ac:dyDescent="0.3">
      <c r="A44" s="2"/>
      <c r="B44" s="1" t="s">
        <v>326</v>
      </c>
      <c r="C44" s="2"/>
      <c r="D44" s="2"/>
      <c r="E44" s="2"/>
      <c r="F44" s="2"/>
      <c r="G44" s="2"/>
      <c r="H44" s="2"/>
      <c r="I44" s="2"/>
      <c r="J44" s="2"/>
      <c r="K44" s="2"/>
      <c r="L44" s="2"/>
    </row>
    <row r="45" spans="1:13" x14ac:dyDescent="0.3">
      <c r="A45" s="2"/>
      <c r="B45" s="1" t="s">
        <v>327</v>
      </c>
      <c r="C45" s="2"/>
      <c r="D45" s="2"/>
      <c r="E45" s="2"/>
      <c r="F45" s="2"/>
      <c r="G45" s="2"/>
      <c r="H45" s="2"/>
      <c r="I45" s="2"/>
      <c r="J45" s="2"/>
      <c r="K45" s="2"/>
      <c r="L45" s="2"/>
    </row>
    <row r="46" spans="1:13" x14ac:dyDescent="0.3">
      <c r="M46" s="2"/>
    </row>
    <row r="47" spans="1:13" x14ac:dyDescent="0.3">
      <c r="A47" s="163" t="s">
        <v>154</v>
      </c>
      <c r="B47" s="163"/>
      <c r="C47" s="163"/>
      <c r="D47" s="163"/>
      <c r="E47" s="163"/>
      <c r="F47" s="163"/>
      <c r="G47" s="163"/>
      <c r="H47" s="163"/>
      <c r="I47" s="163"/>
      <c r="J47" s="163"/>
      <c r="K47" s="163"/>
      <c r="L47" s="163"/>
      <c r="M47" s="2"/>
    </row>
    <row r="48" spans="1:13" x14ac:dyDescent="0.3">
      <c r="A48" s="163"/>
      <c r="B48" s="163"/>
      <c r="C48" s="163"/>
      <c r="D48" s="163"/>
      <c r="E48" s="163"/>
      <c r="F48" s="163"/>
      <c r="G48" s="163"/>
      <c r="H48" s="163"/>
      <c r="I48" s="163"/>
      <c r="J48" s="163"/>
      <c r="K48" s="163"/>
      <c r="L48" s="163"/>
      <c r="M48" s="2"/>
    </row>
    <row r="49" spans="1:13" x14ac:dyDescent="0.3">
      <c r="M49" s="2"/>
    </row>
    <row r="50" spans="1:13" x14ac:dyDescent="0.3">
      <c r="A50" s="17" t="s">
        <v>2</v>
      </c>
      <c r="B50" s="4" t="s">
        <v>155</v>
      </c>
      <c r="C50" s="4"/>
      <c r="D50" s="4"/>
      <c r="E50" s="4"/>
      <c r="F50" s="4"/>
      <c r="G50" s="4"/>
      <c r="H50" s="4"/>
      <c r="I50" s="4"/>
      <c r="J50" s="4"/>
      <c r="K50" s="4"/>
      <c r="L50" s="4"/>
    </row>
    <row r="51" spans="1:13" x14ac:dyDescent="0.3">
      <c r="A51" s="2"/>
      <c r="B51" s="2"/>
      <c r="C51" s="2"/>
      <c r="D51" s="2"/>
      <c r="E51" s="2"/>
      <c r="F51" s="2"/>
      <c r="G51" s="2"/>
      <c r="H51" s="2"/>
      <c r="I51" s="2"/>
      <c r="J51" s="2"/>
      <c r="K51" s="2"/>
      <c r="L51" s="2"/>
    </row>
    <row r="52" spans="1:13" x14ac:dyDescent="0.3">
      <c r="A52" s="2" t="s">
        <v>1</v>
      </c>
      <c r="B52" s="2"/>
      <c r="C52" s="2"/>
      <c r="D52" s="2"/>
      <c r="E52" s="2"/>
      <c r="F52" s="2"/>
      <c r="G52" s="2"/>
      <c r="H52" s="2"/>
      <c r="I52" s="2"/>
      <c r="J52" s="2"/>
      <c r="K52" s="2"/>
      <c r="L52" s="2"/>
    </row>
    <row r="53" spans="1:13" x14ac:dyDescent="0.3">
      <c r="A53" s="2"/>
      <c r="B53" s="2"/>
      <c r="C53" s="2"/>
      <c r="D53" s="2"/>
      <c r="E53" s="2"/>
      <c r="F53" s="2"/>
      <c r="G53" s="2"/>
      <c r="H53" s="2"/>
      <c r="I53" s="2"/>
      <c r="J53" s="2"/>
      <c r="K53" s="2"/>
      <c r="L53" s="2"/>
    </row>
    <row r="54" spans="1:13" x14ac:dyDescent="0.3">
      <c r="A54" s="2"/>
      <c r="B54" s="160" t="s">
        <v>277</v>
      </c>
      <c r="C54" s="2"/>
      <c r="D54" s="2"/>
      <c r="E54" s="2"/>
      <c r="F54" s="2"/>
      <c r="G54" s="2"/>
      <c r="H54" s="2"/>
      <c r="I54" s="2"/>
      <c r="J54" s="2"/>
      <c r="K54" s="2"/>
      <c r="L54" s="2"/>
    </row>
    <row r="55" spans="1:13" x14ac:dyDescent="0.3">
      <c r="A55" s="2"/>
      <c r="B55" s="52" t="s">
        <v>415</v>
      </c>
      <c r="C55" s="2"/>
      <c r="D55" s="2"/>
      <c r="E55" s="2"/>
      <c r="F55" s="2"/>
      <c r="G55" s="2"/>
      <c r="H55" s="2"/>
      <c r="I55" s="2"/>
      <c r="J55" s="2"/>
      <c r="K55" s="2"/>
      <c r="L55" s="2"/>
    </row>
    <row r="56" spans="1:13" x14ac:dyDescent="0.3">
      <c r="A56" s="2"/>
      <c r="B56" s="2"/>
      <c r="C56" s="2"/>
      <c r="D56" s="2"/>
      <c r="E56" s="2"/>
      <c r="F56" s="2"/>
      <c r="G56" s="2"/>
      <c r="H56" s="2"/>
      <c r="I56" s="2"/>
      <c r="J56" s="2"/>
      <c r="K56" s="2"/>
      <c r="L56" s="2"/>
    </row>
    <row r="57" spans="1:13" x14ac:dyDescent="0.3">
      <c r="A57" s="2"/>
      <c r="B57" s="2" t="s">
        <v>329</v>
      </c>
      <c r="C57" s="2"/>
      <c r="D57" s="2"/>
      <c r="E57" s="2"/>
      <c r="F57" s="2"/>
      <c r="G57" s="2"/>
      <c r="H57" s="2"/>
      <c r="I57" s="2"/>
      <c r="J57" s="2"/>
      <c r="K57" s="2"/>
      <c r="L57" s="2"/>
    </row>
    <row r="58" spans="1:13" x14ac:dyDescent="0.3">
      <c r="B58" s="1" t="s">
        <v>374</v>
      </c>
    </row>
    <row r="60" spans="1:13" x14ac:dyDescent="0.3">
      <c r="B60" s="1" t="s">
        <v>416</v>
      </c>
    </row>
    <row r="61" spans="1:13" x14ac:dyDescent="0.3">
      <c r="B61" s="1" t="s">
        <v>330</v>
      </c>
    </row>
  </sheetData>
  <mergeCells count="5">
    <mergeCell ref="A34:L36"/>
    <mergeCell ref="B38:L39"/>
    <mergeCell ref="A47:L48"/>
    <mergeCell ref="A3:L4"/>
    <mergeCell ref="A6:L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0539-FC88-4D80-AE9B-5034FE8DAD91}">
  <dimension ref="A1:R85"/>
  <sheetViews>
    <sheetView zoomScaleNormal="100" workbookViewId="0"/>
  </sheetViews>
  <sheetFormatPr defaultRowHeight="15.6" x14ac:dyDescent="0.3"/>
  <cols>
    <col min="1" max="1" width="8.88671875" style="1" customWidth="1"/>
    <col min="2" max="3" width="14.77734375" style="1" customWidth="1"/>
    <col min="4" max="5" width="17.88671875" style="1" customWidth="1"/>
    <col min="6" max="7" width="16.77734375" style="1" customWidth="1"/>
    <col min="8" max="8" width="16.44140625" style="1" customWidth="1"/>
    <col min="9" max="16384" width="8.88671875" style="1"/>
  </cols>
  <sheetData>
    <row r="1" spans="1:18" ht="17.399999999999999" x14ac:dyDescent="0.3">
      <c r="A1" s="14" t="s">
        <v>156</v>
      </c>
      <c r="B1" s="4"/>
      <c r="C1" s="4" t="s">
        <v>157</v>
      </c>
      <c r="D1" s="4"/>
      <c r="E1" s="4"/>
      <c r="F1" s="4"/>
      <c r="G1" s="4"/>
      <c r="H1" s="4"/>
      <c r="I1" s="4"/>
      <c r="J1" s="4"/>
      <c r="K1" s="4"/>
      <c r="L1" s="15"/>
    </row>
    <row r="2" spans="1:18" x14ac:dyDescent="0.3">
      <c r="A2" s="4"/>
      <c r="B2" s="4"/>
      <c r="C2" s="4"/>
      <c r="D2" s="4"/>
      <c r="E2" s="4"/>
      <c r="F2" s="4"/>
      <c r="G2" s="4"/>
      <c r="H2" s="4"/>
      <c r="I2" s="4"/>
      <c r="J2" s="4"/>
      <c r="K2" s="4"/>
      <c r="L2" s="15"/>
    </row>
    <row r="3" spans="1:18" x14ac:dyDescent="0.3">
      <c r="A3" s="4" t="s">
        <v>158</v>
      </c>
      <c r="B3" s="4"/>
      <c r="C3" s="4"/>
      <c r="D3" s="4"/>
      <c r="E3" s="4"/>
      <c r="F3" s="4"/>
      <c r="G3" s="4"/>
      <c r="H3" s="4"/>
      <c r="I3" s="4"/>
      <c r="J3" s="4"/>
      <c r="K3" s="4"/>
      <c r="L3" s="15"/>
    </row>
    <row r="4" spans="1:18" x14ac:dyDescent="0.3">
      <c r="A4" s="2"/>
      <c r="B4" s="2"/>
      <c r="C4" s="2"/>
      <c r="D4" s="2"/>
      <c r="E4" s="2"/>
      <c r="F4" s="2"/>
      <c r="G4" s="2"/>
      <c r="H4" s="2"/>
      <c r="I4" s="2"/>
      <c r="J4" s="2"/>
      <c r="K4" s="2"/>
      <c r="L4" s="2"/>
    </row>
    <row r="5" spans="1:18" x14ac:dyDescent="0.3">
      <c r="A5" s="17" t="s">
        <v>4</v>
      </c>
      <c r="B5" s="4" t="s">
        <v>159</v>
      </c>
      <c r="C5" s="4"/>
      <c r="D5" s="4"/>
      <c r="E5" s="4"/>
      <c r="F5" s="4"/>
      <c r="G5" s="4"/>
      <c r="H5" s="4"/>
      <c r="I5" s="4"/>
      <c r="J5" s="4"/>
      <c r="K5" s="4"/>
      <c r="L5" s="4"/>
      <c r="M5" s="3"/>
      <c r="N5" s="3"/>
      <c r="O5" s="3"/>
      <c r="P5" s="3"/>
      <c r="Q5" s="3"/>
      <c r="R5" s="3"/>
    </row>
    <row r="6" spans="1:18" x14ac:dyDescent="0.3">
      <c r="A6" s="2"/>
      <c r="B6" s="2"/>
      <c r="C6" s="2"/>
      <c r="D6" s="2"/>
      <c r="E6" s="2"/>
      <c r="F6" s="2"/>
      <c r="G6" s="2"/>
      <c r="H6" s="2"/>
      <c r="I6" s="2"/>
      <c r="J6" s="2"/>
      <c r="K6" s="2"/>
      <c r="L6" s="2"/>
      <c r="M6" s="2"/>
    </row>
    <row r="7" spans="1:18" x14ac:dyDescent="0.3">
      <c r="A7" s="2" t="s">
        <v>1</v>
      </c>
      <c r="B7" s="2"/>
      <c r="C7" s="2"/>
      <c r="D7" s="2"/>
      <c r="E7" s="2"/>
      <c r="F7" s="2"/>
      <c r="G7" s="2"/>
      <c r="H7" s="2"/>
      <c r="I7" s="2"/>
      <c r="J7" s="2"/>
      <c r="K7" s="2"/>
      <c r="L7" s="2"/>
      <c r="M7" s="2"/>
    </row>
    <row r="8" spans="1:18" x14ac:dyDescent="0.3">
      <c r="A8" s="2"/>
      <c r="B8" s="2"/>
      <c r="C8" s="2"/>
      <c r="D8" s="2"/>
      <c r="E8" s="2"/>
      <c r="F8" s="2"/>
      <c r="G8" s="2"/>
      <c r="H8" s="2"/>
      <c r="I8" s="2"/>
      <c r="J8" s="2"/>
      <c r="K8" s="2"/>
      <c r="L8" s="2"/>
      <c r="M8" s="2"/>
    </row>
    <row r="9" spans="1:18" x14ac:dyDescent="0.3">
      <c r="A9" s="1" t="s">
        <v>375</v>
      </c>
      <c r="M9" s="3"/>
    </row>
    <row r="10" spans="1:18" x14ac:dyDescent="0.3">
      <c r="A10" s="1" t="s">
        <v>376</v>
      </c>
      <c r="M10" s="3"/>
    </row>
    <row r="11" spans="1:18" x14ac:dyDescent="0.3">
      <c r="M11" s="3"/>
    </row>
    <row r="12" spans="1:18" x14ac:dyDescent="0.3">
      <c r="A12" s="4"/>
      <c r="B12" s="4"/>
      <c r="C12" s="4"/>
      <c r="D12" s="4"/>
      <c r="E12" s="4"/>
      <c r="F12" s="4"/>
      <c r="G12" s="4"/>
      <c r="H12" s="4"/>
      <c r="I12" s="4"/>
      <c r="J12" s="4"/>
      <c r="K12" s="4"/>
      <c r="L12" s="4"/>
      <c r="M12" s="3"/>
    </row>
    <row r="13" spans="1:18" x14ac:dyDescent="0.3">
      <c r="A13" s="4" t="s">
        <v>160</v>
      </c>
      <c r="B13" s="4"/>
      <c r="C13" s="4"/>
      <c r="D13" s="4"/>
      <c r="E13" s="4"/>
      <c r="F13" s="4"/>
      <c r="G13" s="4"/>
      <c r="H13" s="4"/>
      <c r="I13" s="4"/>
      <c r="J13" s="4"/>
      <c r="K13" s="4"/>
      <c r="L13" s="4"/>
      <c r="M13" s="3"/>
    </row>
    <row r="14" spans="1:18" x14ac:dyDescent="0.3">
      <c r="M14" s="3"/>
    </row>
    <row r="15" spans="1:18" x14ac:dyDescent="0.3">
      <c r="A15" s="17" t="s">
        <v>5</v>
      </c>
      <c r="B15" s="4" t="s">
        <v>161</v>
      </c>
      <c r="C15" s="4"/>
      <c r="D15" s="4"/>
      <c r="E15" s="4"/>
      <c r="F15" s="4"/>
      <c r="G15" s="4"/>
      <c r="H15" s="4"/>
      <c r="I15" s="4"/>
      <c r="J15" s="4"/>
      <c r="K15" s="4"/>
      <c r="L15" s="4"/>
    </row>
    <row r="16" spans="1:18" x14ac:dyDescent="0.3">
      <c r="A16" s="2"/>
      <c r="B16" s="2"/>
      <c r="C16" s="2"/>
      <c r="D16" s="2"/>
      <c r="E16" s="2"/>
      <c r="F16" s="2"/>
      <c r="G16" s="2"/>
      <c r="H16" s="2"/>
      <c r="I16" s="2"/>
      <c r="J16" s="2"/>
      <c r="K16" s="2"/>
      <c r="L16" s="2"/>
    </row>
    <row r="17" spans="1:13" x14ac:dyDescent="0.3">
      <c r="A17" s="2" t="s">
        <v>1</v>
      </c>
      <c r="B17" s="2"/>
      <c r="C17" s="2"/>
      <c r="D17" s="2"/>
      <c r="E17" s="2"/>
      <c r="F17" s="2"/>
      <c r="G17" s="2"/>
      <c r="H17" s="2"/>
      <c r="I17" s="2"/>
      <c r="J17" s="2"/>
      <c r="K17" s="2"/>
      <c r="L17" s="2"/>
    </row>
    <row r="18" spans="1:13" x14ac:dyDescent="0.3">
      <c r="A18" s="2"/>
      <c r="B18" s="2"/>
      <c r="C18" s="2"/>
      <c r="D18" s="2"/>
      <c r="E18" s="2"/>
      <c r="F18" s="2"/>
      <c r="G18" s="2"/>
      <c r="H18" s="2"/>
      <c r="I18" s="2"/>
      <c r="J18" s="2"/>
      <c r="K18" s="2"/>
      <c r="L18" s="2"/>
    </row>
    <row r="19" spans="1:13" x14ac:dyDescent="0.3">
      <c r="A19" s="2" t="s">
        <v>377</v>
      </c>
      <c r="B19" s="2"/>
      <c r="C19" s="2"/>
      <c r="D19" s="2"/>
      <c r="E19" s="2"/>
      <c r="F19" s="2"/>
      <c r="G19" s="2"/>
      <c r="H19" s="2"/>
      <c r="I19" s="2"/>
      <c r="J19" s="2"/>
      <c r="K19" s="2"/>
      <c r="L19" s="2"/>
    </row>
    <row r="20" spans="1:13" x14ac:dyDescent="0.3">
      <c r="A20" s="1" t="s">
        <v>378</v>
      </c>
      <c r="M20" s="2"/>
    </row>
    <row r="22" spans="1:13" x14ac:dyDescent="0.3">
      <c r="A22" s="17" t="s">
        <v>0</v>
      </c>
      <c r="B22" s="4" t="s">
        <v>162</v>
      </c>
      <c r="C22" s="4"/>
      <c r="D22" s="4"/>
      <c r="E22" s="4"/>
      <c r="F22" s="4"/>
      <c r="G22" s="4"/>
      <c r="H22" s="4"/>
      <c r="I22" s="4"/>
      <c r="J22" s="4"/>
      <c r="K22" s="4"/>
      <c r="L22" s="4"/>
    </row>
    <row r="23" spans="1:13" x14ac:dyDescent="0.3">
      <c r="A23" s="2"/>
      <c r="B23" s="2"/>
      <c r="C23" s="2"/>
      <c r="D23" s="2"/>
      <c r="E23" s="2"/>
      <c r="F23" s="2"/>
      <c r="G23" s="2"/>
      <c r="H23" s="2"/>
      <c r="I23" s="2"/>
      <c r="J23" s="2"/>
      <c r="K23" s="2"/>
      <c r="L23" s="2"/>
    </row>
    <row r="24" spans="1:13" x14ac:dyDescent="0.3">
      <c r="A24" s="2" t="s">
        <v>1</v>
      </c>
      <c r="B24" s="2"/>
      <c r="C24" s="2"/>
      <c r="D24" s="2"/>
      <c r="E24" s="2"/>
      <c r="F24" s="2"/>
      <c r="G24" s="2"/>
      <c r="H24" s="2"/>
      <c r="I24" s="2"/>
      <c r="J24" s="2"/>
      <c r="K24" s="2"/>
      <c r="L24" s="2"/>
    </row>
    <row r="25" spans="1:13" x14ac:dyDescent="0.3">
      <c r="A25" s="2"/>
      <c r="B25" s="2"/>
      <c r="C25" s="2"/>
      <c r="D25" s="2"/>
      <c r="E25" s="2"/>
      <c r="F25" s="2"/>
      <c r="G25" s="2"/>
      <c r="H25" s="2"/>
      <c r="I25" s="2"/>
      <c r="J25" s="2"/>
      <c r="K25" s="2"/>
      <c r="L25" s="2"/>
    </row>
    <row r="26" spans="1:13" x14ac:dyDescent="0.3">
      <c r="A26" s="2" t="s">
        <v>331</v>
      </c>
      <c r="B26" s="2"/>
      <c r="C26" s="2"/>
      <c r="D26" s="2"/>
      <c r="E26" s="2"/>
      <c r="F26" s="2"/>
      <c r="G26" s="2"/>
      <c r="H26" s="2"/>
      <c r="I26" s="2"/>
      <c r="J26" s="2"/>
      <c r="K26" s="2"/>
      <c r="L26" s="2"/>
    </row>
    <row r="27" spans="1:13" x14ac:dyDescent="0.3">
      <c r="M27" s="2"/>
    </row>
    <row r="28" spans="1:13" x14ac:dyDescent="0.3">
      <c r="A28" s="17" t="s">
        <v>2</v>
      </c>
      <c r="B28" s="163" t="s">
        <v>163</v>
      </c>
      <c r="C28" s="163"/>
      <c r="D28" s="163"/>
      <c r="E28" s="163"/>
      <c r="F28" s="163"/>
      <c r="G28" s="163"/>
      <c r="H28" s="163"/>
      <c r="I28" s="163"/>
      <c r="J28" s="163"/>
      <c r="K28" s="163"/>
      <c r="L28" s="163"/>
    </row>
    <row r="29" spans="1:13" x14ac:dyDescent="0.3">
      <c r="A29" s="17"/>
      <c r="B29" s="163"/>
      <c r="C29" s="163"/>
      <c r="D29" s="163"/>
      <c r="E29" s="163"/>
      <c r="F29" s="163"/>
      <c r="G29" s="163"/>
      <c r="H29" s="163"/>
      <c r="I29" s="163"/>
      <c r="J29" s="163"/>
      <c r="K29" s="163"/>
      <c r="L29" s="163"/>
    </row>
    <row r="30" spans="1:13" x14ac:dyDescent="0.3">
      <c r="A30" s="2"/>
      <c r="B30" s="2"/>
      <c r="C30" s="2"/>
      <c r="D30" s="2"/>
      <c r="E30" s="2"/>
      <c r="F30" s="2"/>
      <c r="G30" s="2"/>
      <c r="H30" s="2"/>
      <c r="I30" s="2"/>
      <c r="J30" s="2"/>
      <c r="K30" s="2"/>
      <c r="L30" s="2"/>
    </row>
    <row r="31" spans="1:13" x14ac:dyDescent="0.3">
      <c r="A31" s="2" t="s">
        <v>1</v>
      </c>
      <c r="B31" s="2"/>
      <c r="C31" s="2"/>
      <c r="D31" s="2"/>
      <c r="E31" s="2"/>
      <c r="F31" s="2"/>
      <c r="G31" s="2"/>
      <c r="H31" s="2"/>
      <c r="I31" s="2"/>
      <c r="J31" s="2"/>
      <c r="K31" s="2"/>
      <c r="L31" s="2"/>
    </row>
    <row r="32" spans="1:13" x14ac:dyDescent="0.3">
      <c r="A32" s="2"/>
      <c r="B32" s="2"/>
      <c r="C32" s="2"/>
      <c r="D32" s="2"/>
      <c r="E32" s="2"/>
      <c r="F32" s="2"/>
      <c r="G32" s="2"/>
      <c r="H32" s="2"/>
      <c r="I32" s="2"/>
      <c r="J32" s="2"/>
      <c r="K32" s="2"/>
      <c r="L32" s="2"/>
    </row>
    <row r="33" spans="1:13" x14ac:dyDescent="0.3">
      <c r="A33" s="185" t="s">
        <v>417</v>
      </c>
      <c r="B33" s="2"/>
      <c r="C33" s="2"/>
      <c r="D33" s="2"/>
      <c r="E33" s="2"/>
      <c r="F33" s="2"/>
      <c r="G33" s="2"/>
      <c r="H33" s="2"/>
      <c r="I33" s="2"/>
      <c r="J33" s="2"/>
      <c r="K33" s="2"/>
      <c r="L33" s="2"/>
    </row>
    <row r="34" spans="1:13" x14ac:dyDescent="0.3">
      <c r="A34" s="2" t="s">
        <v>379</v>
      </c>
      <c r="B34" s="2"/>
      <c r="C34" s="2"/>
      <c r="D34" s="2"/>
      <c r="E34" s="2"/>
      <c r="F34" s="2"/>
      <c r="G34" s="2"/>
      <c r="H34" s="2"/>
      <c r="I34" s="2"/>
      <c r="J34" s="2"/>
      <c r="K34" s="2"/>
      <c r="L34" s="2"/>
    </row>
    <row r="35" spans="1:13" x14ac:dyDescent="0.3">
      <c r="A35" s="2" t="s">
        <v>380</v>
      </c>
      <c r="M35" s="2"/>
    </row>
    <row r="36" spans="1:13" x14ac:dyDescent="0.3">
      <c r="A36" s="2"/>
      <c r="M36" s="2"/>
    </row>
    <row r="37" spans="1:13" x14ac:dyDescent="0.3">
      <c r="A37" s="4"/>
      <c r="B37" s="4"/>
      <c r="C37" s="4"/>
      <c r="D37" s="4"/>
      <c r="E37" s="4"/>
      <c r="F37" s="4"/>
      <c r="G37" s="4"/>
      <c r="H37" s="4"/>
      <c r="I37" s="4"/>
      <c r="J37" s="4"/>
      <c r="K37" s="4"/>
      <c r="L37" s="4"/>
      <c r="M37" s="2"/>
    </row>
    <row r="38" spans="1:13" x14ac:dyDescent="0.3">
      <c r="A38" s="4" t="s">
        <v>187</v>
      </c>
      <c r="B38" s="4"/>
      <c r="C38" s="4"/>
      <c r="D38" s="4"/>
      <c r="E38" s="4"/>
      <c r="F38" s="4"/>
      <c r="G38" s="4"/>
      <c r="H38" s="4"/>
      <c r="I38" s="4"/>
      <c r="J38" s="4"/>
      <c r="K38" s="4"/>
      <c r="L38" s="4"/>
      <c r="M38" s="2"/>
    </row>
    <row r="39" spans="1:13" x14ac:dyDescent="0.3">
      <c r="A39" s="4"/>
      <c r="B39" s="4"/>
      <c r="C39" s="4"/>
      <c r="D39" s="4"/>
      <c r="E39" s="4"/>
      <c r="F39" s="4"/>
      <c r="G39" s="4"/>
      <c r="H39" s="4"/>
      <c r="I39" s="4"/>
      <c r="J39" s="4"/>
      <c r="K39" s="4"/>
      <c r="L39" s="4"/>
      <c r="M39" s="2"/>
    </row>
    <row r="40" spans="1:13" ht="65.400000000000006" customHeight="1" x14ac:dyDescent="0.3">
      <c r="A40" s="4"/>
      <c r="B40" s="30" t="s">
        <v>102</v>
      </c>
      <c r="C40" s="30" t="s">
        <v>36</v>
      </c>
      <c r="D40" s="30" t="s">
        <v>170</v>
      </c>
      <c r="E40" s="30" t="s">
        <v>164</v>
      </c>
      <c r="F40" s="30" t="s">
        <v>165</v>
      </c>
      <c r="G40" s="30" t="s">
        <v>166</v>
      </c>
      <c r="H40" s="4"/>
      <c r="I40" s="4"/>
      <c r="J40" s="4"/>
      <c r="K40" s="4"/>
      <c r="L40" s="4"/>
      <c r="M40" s="2"/>
    </row>
    <row r="41" spans="1:13" x14ac:dyDescent="0.3">
      <c r="A41" s="4"/>
      <c r="B41" s="20">
        <v>2019</v>
      </c>
      <c r="C41" s="21">
        <v>23378</v>
      </c>
      <c r="D41" s="21">
        <v>9269896</v>
      </c>
      <c r="E41" s="21">
        <v>9391874</v>
      </c>
      <c r="F41" s="20">
        <v>1.048</v>
      </c>
      <c r="G41" s="20">
        <v>1.032</v>
      </c>
      <c r="H41" s="4"/>
      <c r="I41" s="4"/>
      <c r="J41" s="4"/>
      <c r="K41" s="4"/>
      <c r="L41" s="4"/>
      <c r="M41" s="2"/>
    </row>
    <row r="42" spans="1:13" x14ac:dyDescent="0.3">
      <c r="A42" s="4"/>
      <c r="B42" s="20">
        <v>2020</v>
      </c>
      <c r="C42" s="21">
        <v>23579</v>
      </c>
      <c r="D42" s="21">
        <v>8885445</v>
      </c>
      <c r="E42" s="21">
        <v>9423176</v>
      </c>
      <c r="F42" s="20">
        <v>1.127</v>
      </c>
      <c r="G42" s="20">
        <v>1.0660000000000001</v>
      </c>
      <c r="H42" s="4"/>
      <c r="I42" s="4"/>
      <c r="J42" s="4"/>
      <c r="K42" s="4"/>
      <c r="L42" s="4"/>
      <c r="M42" s="2"/>
    </row>
    <row r="43" spans="1:13" x14ac:dyDescent="0.3">
      <c r="A43" s="4"/>
      <c r="B43" s="20">
        <v>2021</v>
      </c>
      <c r="C43" s="21">
        <v>23665</v>
      </c>
      <c r="D43" s="21">
        <v>8106189</v>
      </c>
      <c r="E43" s="21">
        <v>9086519</v>
      </c>
      <c r="F43" s="20">
        <v>1.304</v>
      </c>
      <c r="G43" s="20">
        <v>1.1679999999999999</v>
      </c>
      <c r="H43" s="4"/>
      <c r="I43" s="4"/>
      <c r="J43" s="4"/>
      <c r="K43" s="4"/>
      <c r="L43" s="4"/>
      <c r="M43" s="2"/>
    </row>
    <row r="44" spans="1:13" x14ac:dyDescent="0.3">
      <c r="A44" s="4"/>
      <c r="B44" s="20">
        <v>2022</v>
      </c>
      <c r="C44" s="21">
        <v>24095</v>
      </c>
      <c r="D44" s="21">
        <v>7217780</v>
      </c>
      <c r="E44" s="21">
        <v>8653058</v>
      </c>
      <c r="F44" s="20">
        <v>1.587</v>
      </c>
      <c r="G44" s="20">
        <v>1.3260000000000001</v>
      </c>
      <c r="H44" s="4"/>
      <c r="I44" s="4"/>
      <c r="J44" s="4"/>
      <c r="K44" s="4"/>
      <c r="L44" s="4"/>
      <c r="M44" s="2"/>
    </row>
    <row r="45" spans="1:13" x14ac:dyDescent="0.3">
      <c r="A45" s="4"/>
      <c r="B45" s="20">
        <v>2023</v>
      </c>
      <c r="C45" s="21">
        <v>24437</v>
      </c>
      <c r="D45" s="21">
        <v>5583814</v>
      </c>
      <c r="E45" s="21">
        <v>7498246</v>
      </c>
      <c r="F45" s="20">
        <v>2.1320000000000001</v>
      </c>
      <c r="G45" s="20">
        <v>1.611</v>
      </c>
      <c r="H45" s="4"/>
      <c r="I45" s="4"/>
      <c r="J45" s="4"/>
      <c r="K45" s="4"/>
      <c r="L45" s="4"/>
      <c r="M45" s="2"/>
    </row>
    <row r="46" spans="1:13" x14ac:dyDescent="0.3">
      <c r="A46" s="4"/>
      <c r="B46" s="20">
        <v>2024</v>
      </c>
      <c r="C46" s="21">
        <v>24978</v>
      </c>
      <c r="D46" s="21">
        <v>4117247</v>
      </c>
      <c r="E46" s="21">
        <v>6281172</v>
      </c>
      <c r="F46" s="20">
        <v>3.298</v>
      </c>
      <c r="G46" s="20">
        <v>2.1080000000000001</v>
      </c>
      <c r="H46" s="4"/>
      <c r="I46" s="4"/>
      <c r="J46" s="4"/>
      <c r="K46" s="4"/>
      <c r="L46" s="4"/>
      <c r="M46" s="2"/>
    </row>
    <row r="47" spans="1:13" x14ac:dyDescent="0.3">
      <c r="A47" s="4"/>
      <c r="B47" s="20">
        <v>2025</v>
      </c>
      <c r="C47" s="21">
        <v>24973</v>
      </c>
      <c r="D47" s="21">
        <v>1803097</v>
      </c>
      <c r="E47" s="21">
        <v>4260964</v>
      </c>
      <c r="F47" s="20">
        <v>6.8490000000000002</v>
      </c>
      <c r="G47" s="20">
        <v>3.0779999999999998</v>
      </c>
      <c r="H47" s="4"/>
      <c r="I47" s="4"/>
      <c r="J47" s="4"/>
      <c r="K47" s="4"/>
      <c r="L47" s="4"/>
      <c r="M47" s="2"/>
    </row>
    <row r="48" spans="1:13" x14ac:dyDescent="0.3">
      <c r="A48" s="4"/>
      <c r="B48" s="4"/>
      <c r="C48" s="4"/>
      <c r="D48" s="4"/>
      <c r="E48" s="4"/>
      <c r="F48" s="4"/>
      <c r="G48" s="4"/>
      <c r="H48" s="4"/>
      <c r="I48" s="4"/>
      <c r="J48" s="4"/>
      <c r="K48" s="4"/>
      <c r="L48" s="4"/>
      <c r="M48" s="2"/>
    </row>
    <row r="49" spans="1:13" x14ac:dyDescent="0.3">
      <c r="A49" s="4"/>
      <c r="B49" s="4" t="s">
        <v>171</v>
      </c>
      <c r="C49" s="4"/>
      <c r="D49" s="49">
        <v>0.05</v>
      </c>
      <c r="E49" s="4"/>
      <c r="F49" s="4"/>
      <c r="G49" s="4"/>
      <c r="H49" s="4"/>
      <c r="I49" s="4"/>
      <c r="J49" s="4"/>
      <c r="K49" s="4"/>
      <c r="L49" s="4"/>
      <c r="M49" s="2"/>
    </row>
    <row r="51" spans="1:13" x14ac:dyDescent="0.3">
      <c r="A51" s="17" t="s">
        <v>3</v>
      </c>
      <c r="B51" s="4" t="s">
        <v>167</v>
      </c>
      <c r="C51" s="4"/>
      <c r="D51" s="4"/>
      <c r="E51" s="4"/>
      <c r="F51" s="4"/>
      <c r="G51" s="4"/>
      <c r="H51" s="4"/>
      <c r="I51" s="4"/>
      <c r="J51" s="4"/>
      <c r="K51" s="4"/>
      <c r="L51" s="4"/>
    </row>
    <row r="52" spans="1:13" x14ac:dyDescent="0.3">
      <c r="A52" s="2"/>
      <c r="B52" s="2"/>
      <c r="C52" s="2"/>
      <c r="D52" s="2"/>
      <c r="E52" s="2"/>
      <c r="F52" s="2"/>
      <c r="G52" s="2"/>
      <c r="H52" s="2"/>
      <c r="I52" s="2"/>
      <c r="J52" s="2"/>
      <c r="K52" s="2"/>
      <c r="L52" s="2"/>
    </row>
    <row r="53" spans="1:13" x14ac:dyDescent="0.3">
      <c r="A53" s="2" t="s">
        <v>1</v>
      </c>
      <c r="B53" s="2"/>
      <c r="C53" s="2"/>
      <c r="D53" s="2"/>
      <c r="E53" s="2"/>
      <c r="F53" s="2"/>
      <c r="G53" s="2"/>
      <c r="H53" s="2"/>
      <c r="I53" s="2"/>
      <c r="J53" s="2"/>
      <c r="K53" s="2"/>
      <c r="L53" s="2"/>
    </row>
    <row r="54" spans="1:13" x14ac:dyDescent="0.3">
      <c r="A54" s="2"/>
      <c r="B54"/>
      <c r="C54" s="159"/>
      <c r="D54" s="159"/>
      <c r="E54" s="159"/>
      <c r="F54" s="159"/>
      <c r="G54" s="159"/>
      <c r="H54" s="159"/>
      <c r="I54" s="2"/>
      <c r="J54" s="2"/>
      <c r="K54" s="2"/>
      <c r="L54" s="2"/>
    </row>
    <row r="55" spans="1:13" x14ac:dyDescent="0.3">
      <c r="A55" s="2"/>
      <c r="B55"/>
      <c r="C55"/>
      <c r="D55" s="184" t="s">
        <v>332</v>
      </c>
      <c r="E55" s="184"/>
      <c r="F55"/>
      <c r="G55" s="184" t="s">
        <v>333</v>
      </c>
      <c r="H55" s="184"/>
      <c r="I55" s="2"/>
      <c r="J55" s="2"/>
      <c r="K55" s="2"/>
      <c r="L55" s="2"/>
    </row>
    <row r="56" spans="1:13" ht="31.2" x14ac:dyDescent="0.3">
      <c r="A56" s="2"/>
      <c r="B56" s="70" t="s">
        <v>109</v>
      </c>
      <c r="C56" s="70" t="s">
        <v>36</v>
      </c>
      <c r="D56" s="70" t="s">
        <v>334</v>
      </c>
      <c r="E56" s="70" t="s">
        <v>290</v>
      </c>
      <c r="F56" s="70" t="s">
        <v>341</v>
      </c>
      <c r="G56" s="70" t="s">
        <v>334</v>
      </c>
      <c r="H56" s="70" t="s">
        <v>290</v>
      </c>
      <c r="I56" s="2"/>
      <c r="J56" s="2"/>
      <c r="K56" s="2"/>
      <c r="L56" s="2"/>
    </row>
    <row r="57" spans="1:13" x14ac:dyDescent="0.3">
      <c r="A57" s="2"/>
      <c r="B57" s="72">
        <f>B41</f>
        <v>2019</v>
      </c>
      <c r="C57" s="59">
        <f>C41</f>
        <v>23378</v>
      </c>
      <c r="D57" s="59">
        <f>D41*F41</f>
        <v>9714851.0080000013</v>
      </c>
      <c r="E57" s="59">
        <f t="shared" ref="E57:E63" si="0">E41*G41</f>
        <v>9692413.9680000003</v>
      </c>
      <c r="F57" s="61">
        <f>F58*(1+$D$49)</f>
        <v>1.3400956406250004</v>
      </c>
      <c r="G57" s="124">
        <f t="shared" ref="G57:H63" si="1">D57/$C57*$F57</f>
        <v>556.88380037394961</v>
      </c>
      <c r="H57" s="124">
        <f t="shared" si="1"/>
        <v>555.59764332490647</v>
      </c>
      <c r="I57" s="2"/>
      <c r="J57" s="2"/>
      <c r="K57" s="2"/>
      <c r="L57" s="2"/>
    </row>
    <row r="58" spans="1:13" x14ac:dyDescent="0.3">
      <c r="A58" s="2"/>
      <c r="B58" s="72">
        <f t="shared" ref="B58:B63" si="2">B42</f>
        <v>2020</v>
      </c>
      <c r="C58" s="59">
        <f t="shared" ref="C58:C63" si="3">C42</f>
        <v>23579</v>
      </c>
      <c r="D58" s="59">
        <f t="shared" ref="D58:D63" si="4">D42*F42</f>
        <v>10013896.515000001</v>
      </c>
      <c r="E58" s="59">
        <f t="shared" si="0"/>
        <v>10045105.616</v>
      </c>
      <c r="F58" s="61">
        <f t="shared" ref="F58:F62" si="5">F59*(1+$D$49)</f>
        <v>1.2762815625000004</v>
      </c>
      <c r="G58" s="124">
        <f t="shared" si="1"/>
        <v>542.03110780260022</v>
      </c>
      <c r="H58" s="124">
        <f t="shared" si="1"/>
        <v>543.72039064701676</v>
      </c>
      <c r="I58" s="2"/>
      <c r="J58" s="2"/>
      <c r="K58" s="2"/>
      <c r="L58" s="2"/>
    </row>
    <row r="59" spans="1:13" x14ac:dyDescent="0.3">
      <c r="B59" s="72">
        <f t="shared" si="2"/>
        <v>2021</v>
      </c>
      <c r="C59" s="59">
        <f t="shared" si="3"/>
        <v>23665</v>
      </c>
      <c r="D59" s="59">
        <f t="shared" si="4"/>
        <v>10570470.456</v>
      </c>
      <c r="E59" s="59">
        <f t="shared" si="0"/>
        <v>10613054.192</v>
      </c>
      <c r="F59" s="61">
        <f t="shared" si="5"/>
        <v>1.2155062500000002</v>
      </c>
      <c r="G59" s="124">
        <f t="shared" si="1"/>
        <v>542.931455935278</v>
      </c>
      <c r="H59" s="124">
        <f t="shared" si="1"/>
        <v>545.11868590596669</v>
      </c>
      <c r="I59" s="2"/>
      <c r="J59" s="2"/>
      <c r="K59" s="2"/>
      <c r="L59" s="2"/>
    </row>
    <row r="60" spans="1:13" x14ac:dyDescent="0.3">
      <c r="B60" s="72">
        <f t="shared" si="2"/>
        <v>2022</v>
      </c>
      <c r="C60" s="59">
        <f t="shared" si="3"/>
        <v>24095</v>
      </c>
      <c r="D60" s="59">
        <f t="shared" si="4"/>
        <v>11454616.859999999</v>
      </c>
      <c r="E60" s="59">
        <f t="shared" si="0"/>
        <v>11473954.908</v>
      </c>
      <c r="F60" s="61">
        <f t="shared" si="5"/>
        <v>1.1576250000000001</v>
      </c>
      <c r="G60" s="124">
        <f t="shared" si="1"/>
        <v>550.32790382060591</v>
      </c>
      <c r="H60" s="124">
        <f t="shared" si="1"/>
        <v>551.2569848671302</v>
      </c>
      <c r="I60" s="2"/>
      <c r="J60" s="2"/>
      <c r="K60" s="2"/>
      <c r="L60" s="2"/>
    </row>
    <row r="61" spans="1:13" x14ac:dyDescent="0.3">
      <c r="B61" s="72">
        <f t="shared" si="2"/>
        <v>2023</v>
      </c>
      <c r="C61" s="59">
        <f t="shared" si="3"/>
        <v>24437</v>
      </c>
      <c r="D61" s="59">
        <f t="shared" si="4"/>
        <v>11904691.448000001</v>
      </c>
      <c r="E61" s="59">
        <f t="shared" si="0"/>
        <v>12079674.306</v>
      </c>
      <c r="F61" s="61">
        <f t="shared" si="5"/>
        <v>1.1025</v>
      </c>
      <c r="G61" s="124">
        <f t="shared" si="1"/>
        <v>537.09220941277579</v>
      </c>
      <c r="H61" s="124">
        <f t="shared" si="1"/>
        <v>544.98673823975946</v>
      </c>
      <c r="I61" s="2"/>
      <c r="J61" s="2"/>
      <c r="K61" s="2"/>
      <c r="L61" s="2"/>
    </row>
    <row r="62" spans="1:13" x14ac:dyDescent="0.3">
      <c r="B62" s="72">
        <f t="shared" si="2"/>
        <v>2024</v>
      </c>
      <c r="C62" s="59">
        <f t="shared" si="3"/>
        <v>24978</v>
      </c>
      <c r="D62" s="59">
        <f t="shared" si="4"/>
        <v>13578680.606000001</v>
      </c>
      <c r="E62" s="59">
        <f t="shared" si="0"/>
        <v>13240710.576000001</v>
      </c>
      <c r="F62" s="61">
        <f t="shared" si="5"/>
        <v>1.05</v>
      </c>
      <c r="G62" s="124">
        <f t="shared" si="1"/>
        <v>570.80689552005776</v>
      </c>
      <c r="H62" s="124">
        <f t="shared" si="1"/>
        <v>556.59965188565945</v>
      </c>
      <c r="I62" s="2"/>
      <c r="J62" s="2"/>
      <c r="K62" s="2"/>
      <c r="L62" s="2"/>
    </row>
    <row r="63" spans="1:13" x14ac:dyDescent="0.3">
      <c r="B63" s="72">
        <f t="shared" si="2"/>
        <v>2025</v>
      </c>
      <c r="C63" s="59">
        <f t="shared" si="3"/>
        <v>24973</v>
      </c>
      <c r="D63" s="59">
        <f t="shared" si="4"/>
        <v>12349411.353</v>
      </c>
      <c r="E63" s="59">
        <f t="shared" si="0"/>
        <v>13115247.192</v>
      </c>
      <c r="F63" s="61">
        <v>1</v>
      </c>
      <c r="G63" s="124">
        <f t="shared" si="1"/>
        <v>494.51052548752654</v>
      </c>
      <c r="H63" s="124">
        <f t="shared" si="1"/>
        <v>525.17707892523924</v>
      </c>
      <c r="I63" s="2"/>
      <c r="J63" s="2"/>
      <c r="K63" s="2"/>
      <c r="L63" s="2"/>
    </row>
    <row r="65" spans="1:12" x14ac:dyDescent="0.3">
      <c r="A65" s="17" t="s">
        <v>6</v>
      </c>
      <c r="B65" s="4" t="s">
        <v>168</v>
      </c>
      <c r="C65" s="4"/>
      <c r="D65" s="4"/>
      <c r="E65" s="4"/>
      <c r="F65" s="4"/>
      <c r="G65" s="4"/>
      <c r="H65" s="4"/>
      <c r="I65" s="4"/>
      <c r="J65" s="4"/>
      <c r="K65" s="4"/>
      <c r="L65" s="4"/>
    </row>
    <row r="66" spans="1:12" x14ac:dyDescent="0.3">
      <c r="A66" s="2"/>
      <c r="B66" s="2"/>
      <c r="C66" s="2"/>
      <c r="D66" s="2"/>
      <c r="E66" s="2"/>
      <c r="F66" s="2"/>
      <c r="G66" s="2"/>
      <c r="H66" s="2"/>
      <c r="I66" s="2"/>
      <c r="J66" s="2"/>
      <c r="K66" s="2"/>
      <c r="L66" s="2"/>
    </row>
    <row r="67" spans="1:12" x14ac:dyDescent="0.3">
      <c r="A67" s="2" t="s">
        <v>1</v>
      </c>
      <c r="B67" s="2"/>
      <c r="C67" s="2"/>
      <c r="D67" s="2"/>
      <c r="E67" s="2"/>
      <c r="F67" s="2"/>
      <c r="G67" s="2"/>
      <c r="H67" s="2"/>
      <c r="I67" s="2"/>
      <c r="J67" s="2"/>
      <c r="K67" s="2"/>
      <c r="L67" s="2"/>
    </row>
    <row r="68" spans="1:12" x14ac:dyDescent="0.3">
      <c r="A68" s="2"/>
      <c r="B68" s="2"/>
      <c r="C68" s="2"/>
      <c r="D68" s="2"/>
      <c r="E68" s="2"/>
      <c r="F68" s="2"/>
      <c r="G68" s="184" t="s">
        <v>333</v>
      </c>
      <c r="H68" s="184"/>
      <c r="I68" s="2"/>
      <c r="J68" s="2"/>
      <c r="K68" s="2"/>
      <c r="L68" s="2"/>
    </row>
    <row r="69" spans="1:12" x14ac:dyDescent="0.3">
      <c r="A69" s="2"/>
      <c r="B69" s="86" t="s">
        <v>335</v>
      </c>
      <c r="C69" s="86"/>
      <c r="D69" s="86"/>
      <c r="E69" s="86"/>
      <c r="F69" s="86"/>
      <c r="G69" s="70" t="s">
        <v>334</v>
      </c>
      <c r="H69" s="70" t="s">
        <v>290</v>
      </c>
      <c r="I69" s="2"/>
      <c r="J69" s="2"/>
      <c r="K69" s="2"/>
      <c r="L69" s="2"/>
    </row>
    <row r="70" spans="1:12" x14ac:dyDescent="0.3">
      <c r="A70" s="2"/>
      <c r="B70" s="1" t="s">
        <v>336</v>
      </c>
      <c r="G70" s="112">
        <f>AVERAGE(G57:G62)</f>
        <v>550.0122288108779</v>
      </c>
      <c r="H70" s="112">
        <f>AVERAGE(H57:H62)</f>
        <v>549.54668247840652</v>
      </c>
      <c r="I70" s="2"/>
      <c r="J70" s="2"/>
      <c r="K70" s="2"/>
      <c r="L70" s="2"/>
    </row>
    <row r="71" spans="1:12" x14ac:dyDescent="0.3">
      <c r="A71" s="2"/>
      <c r="B71" s="1" t="s">
        <v>337</v>
      </c>
      <c r="G71" s="112">
        <f>AVERAGE(G58:G62)</f>
        <v>548.63791449826363</v>
      </c>
      <c r="H71" s="112">
        <f>AVERAGE(H58:H62)</f>
        <v>548.33649030910647</v>
      </c>
      <c r="I71" s="2"/>
      <c r="J71" s="2"/>
      <c r="K71" s="2"/>
      <c r="L71" s="2"/>
    </row>
    <row r="72" spans="1:12" x14ac:dyDescent="0.3">
      <c r="A72" s="2"/>
      <c r="B72" s="1" t="s">
        <v>338</v>
      </c>
      <c r="G72" s="112">
        <f>(SUM(G57:G62)-MIN(G57:G62)-MAX(G57:G62))/4</f>
        <v>548.04356698310846</v>
      </c>
      <c r="H72" s="112">
        <f>(SUM(H57:H62)-MIN(H57:H62)-MAX(H57:H62))/4</f>
        <v>549.24001308444076</v>
      </c>
      <c r="I72" s="2"/>
      <c r="J72" s="2"/>
      <c r="K72" s="2"/>
      <c r="L72" s="2"/>
    </row>
    <row r="73" spans="1:12" x14ac:dyDescent="0.3">
      <c r="A73" s="2"/>
      <c r="B73" s="1" t="s">
        <v>339</v>
      </c>
      <c r="G73" s="112">
        <f>AVERAGE(G60:G62)</f>
        <v>552.74233625114641</v>
      </c>
      <c r="H73" s="112">
        <f>AVERAGE(H60:H62)</f>
        <v>550.94779166418311</v>
      </c>
      <c r="I73" s="2"/>
      <c r="J73" s="2"/>
      <c r="K73" s="2"/>
      <c r="L73" s="2"/>
    </row>
    <row r="74" spans="1:12" x14ac:dyDescent="0.3">
      <c r="A74" s="2"/>
      <c r="B74"/>
      <c r="C74"/>
      <c r="D74"/>
      <c r="E74"/>
      <c r="F74"/>
      <c r="G74" s="71"/>
      <c r="H74" s="71"/>
      <c r="I74" s="2"/>
      <c r="J74" s="2"/>
      <c r="K74" s="2"/>
      <c r="L74" s="2"/>
    </row>
    <row r="75" spans="1:12" x14ac:dyDescent="0.3">
      <c r="A75" s="2"/>
      <c r="B75" s="1" t="s">
        <v>266</v>
      </c>
      <c r="C75"/>
      <c r="G75" s="111">
        <f>H72</f>
        <v>549.24001308444076</v>
      </c>
      <c r="H75" s="150"/>
      <c r="I75" s="2"/>
      <c r="J75" s="2"/>
      <c r="K75" s="2"/>
      <c r="L75" s="2"/>
    </row>
    <row r="76" spans="1:12" x14ac:dyDescent="0.3">
      <c r="A76" s="2"/>
      <c r="G76" s="2"/>
      <c r="H76" s="71"/>
      <c r="I76" s="2"/>
      <c r="J76" s="2"/>
      <c r="K76" s="2"/>
      <c r="L76" s="2"/>
    </row>
    <row r="77" spans="1:12" x14ac:dyDescent="0.3">
      <c r="A77" s="2"/>
      <c r="B77" s="1" t="s">
        <v>267</v>
      </c>
      <c r="C77" s="1" t="s">
        <v>381</v>
      </c>
      <c r="G77" s="2"/>
      <c r="H77" s="71"/>
      <c r="I77" s="2"/>
      <c r="J77" s="2"/>
      <c r="K77" s="2"/>
      <c r="L77" s="2"/>
    </row>
    <row r="78" spans="1:12" x14ac:dyDescent="0.3">
      <c r="A78" s="2"/>
      <c r="C78" s="1" t="s">
        <v>382</v>
      </c>
      <c r="G78" s="2"/>
      <c r="H78" s="71"/>
      <c r="I78" s="2"/>
      <c r="J78" s="2"/>
      <c r="K78" s="2"/>
      <c r="L78" s="2"/>
    </row>
    <row r="79" spans="1:12" x14ac:dyDescent="0.3">
      <c r="F79" s="2"/>
      <c r="G79" s="2"/>
      <c r="H79" s="2"/>
      <c r="I79" s="2"/>
      <c r="J79" s="2"/>
      <c r="K79" s="2"/>
    </row>
    <row r="80" spans="1:12" ht="16.2" x14ac:dyDescent="0.35">
      <c r="A80" s="17" t="s">
        <v>7</v>
      </c>
      <c r="B80" s="4" t="s">
        <v>169</v>
      </c>
      <c r="C80" s="4"/>
      <c r="D80" s="4"/>
      <c r="E80" s="4"/>
      <c r="F80" s="151"/>
      <c r="G80" s="151"/>
      <c r="H80" s="151"/>
      <c r="I80" s="151"/>
      <c r="J80" s="151"/>
      <c r="K80" s="151"/>
      <c r="L80" s="4"/>
    </row>
    <row r="81" spans="1:12" x14ac:dyDescent="0.3">
      <c r="A81" s="2"/>
      <c r="B81" s="2"/>
      <c r="C81" s="2"/>
      <c r="D81" s="2"/>
      <c r="E81" s="2"/>
      <c r="F81" s="2"/>
      <c r="G81" s="2"/>
      <c r="H81" s="2"/>
      <c r="I81" s="2"/>
      <c r="J81" s="2"/>
      <c r="K81" s="2"/>
      <c r="L81" s="2"/>
    </row>
    <row r="82" spans="1:12" x14ac:dyDescent="0.3">
      <c r="A82" s="2" t="s">
        <v>1</v>
      </c>
      <c r="B82" s="2"/>
      <c r="C82" s="2"/>
      <c r="D82" s="2"/>
      <c r="E82" s="2"/>
      <c r="F82" s="2"/>
      <c r="G82" s="2"/>
      <c r="H82" s="2"/>
      <c r="I82" s="2"/>
      <c r="J82" s="2"/>
      <c r="K82" s="2"/>
      <c r="L82" s="2"/>
    </row>
    <row r="84" spans="1:12" x14ac:dyDescent="0.3">
      <c r="B84" s="1" t="s">
        <v>340</v>
      </c>
      <c r="E84" s="129">
        <f>G75/F61</f>
        <v>498.17688261627279</v>
      </c>
    </row>
    <row r="85" spans="1:12" x14ac:dyDescent="0.3">
      <c r="B85" s="1" t="s">
        <v>402</v>
      </c>
      <c r="E85" s="59">
        <f>E84*C45</f>
        <v>12173948.480493858</v>
      </c>
    </row>
  </sheetData>
  <mergeCells count="4">
    <mergeCell ref="B28:L29"/>
    <mergeCell ref="D55:E55"/>
    <mergeCell ref="G55:H55"/>
    <mergeCell ref="G68:H6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DCC6-D5F2-4987-B7FE-9A73EFFED2C5}">
  <dimension ref="A1:R67"/>
  <sheetViews>
    <sheetView zoomScaleNormal="100" workbookViewId="0"/>
  </sheetViews>
  <sheetFormatPr defaultRowHeight="15.6" x14ac:dyDescent="0.3"/>
  <cols>
    <col min="1" max="1" width="8.88671875" style="1" customWidth="1"/>
    <col min="2" max="2" width="17.77734375" style="1" customWidth="1"/>
    <col min="3" max="7" width="12.77734375" style="1" customWidth="1"/>
    <col min="8" max="8" width="8.88671875" style="1" customWidth="1"/>
    <col min="9" max="16384" width="8.88671875" style="1"/>
  </cols>
  <sheetData>
    <row r="1" spans="1:12" ht="17.399999999999999" x14ac:dyDescent="0.3">
      <c r="A1" s="14" t="s">
        <v>28</v>
      </c>
      <c r="B1" s="4"/>
      <c r="C1" s="4" t="s">
        <v>8</v>
      </c>
      <c r="D1" s="4"/>
      <c r="E1" s="4"/>
      <c r="F1" s="4"/>
      <c r="G1" s="4"/>
      <c r="H1" s="4"/>
      <c r="I1" s="4"/>
      <c r="J1" s="4"/>
      <c r="K1" s="4"/>
      <c r="L1" s="4"/>
    </row>
    <row r="2" spans="1:12" x14ac:dyDescent="0.3">
      <c r="A2" s="4"/>
      <c r="B2" s="4"/>
      <c r="C2" s="4"/>
      <c r="D2" s="4"/>
      <c r="E2" s="4"/>
      <c r="F2" s="4"/>
      <c r="G2" s="4"/>
      <c r="H2" s="4"/>
      <c r="I2" s="4"/>
      <c r="J2" s="4"/>
      <c r="K2" s="4"/>
      <c r="L2" s="4"/>
    </row>
    <row r="3" spans="1:12" x14ac:dyDescent="0.3">
      <c r="A3" s="4" t="s">
        <v>16</v>
      </c>
      <c r="B3" s="4"/>
      <c r="C3" s="4"/>
      <c r="D3" s="4"/>
      <c r="E3" s="4"/>
      <c r="F3" s="4"/>
      <c r="G3" s="4"/>
      <c r="H3" s="4"/>
      <c r="I3" s="4"/>
      <c r="J3" s="4"/>
      <c r="K3" s="4"/>
      <c r="L3" s="4"/>
    </row>
    <row r="4" spans="1:12" x14ac:dyDescent="0.3">
      <c r="A4" s="16"/>
      <c r="B4" s="4"/>
      <c r="C4" s="4"/>
      <c r="D4" s="4"/>
      <c r="E4" s="4"/>
      <c r="F4" s="4"/>
      <c r="G4" s="4"/>
      <c r="H4" s="4"/>
      <c r="I4" s="4"/>
      <c r="J4" s="4"/>
      <c r="K4" s="4"/>
      <c r="L4" s="4"/>
    </row>
    <row r="5" spans="1:12" x14ac:dyDescent="0.3">
      <c r="A5" s="16"/>
      <c r="B5" s="27" t="s">
        <v>29</v>
      </c>
      <c r="C5" s="161" t="s">
        <v>31</v>
      </c>
      <c r="D5" s="162"/>
      <c r="E5" s="162"/>
      <c r="F5" s="162"/>
      <c r="G5" s="162"/>
      <c r="H5" s="4"/>
      <c r="I5" s="4"/>
      <c r="J5" s="4"/>
      <c r="K5" s="4"/>
      <c r="L5" s="4"/>
    </row>
    <row r="6" spans="1:12" x14ac:dyDescent="0.3">
      <c r="A6" s="16"/>
      <c r="B6" s="28" t="s">
        <v>30</v>
      </c>
      <c r="C6" s="25">
        <v>12</v>
      </c>
      <c r="D6" s="23">
        <v>24</v>
      </c>
      <c r="E6" s="23">
        <v>36</v>
      </c>
      <c r="F6" s="23">
        <v>48</v>
      </c>
      <c r="G6" s="23">
        <v>60</v>
      </c>
      <c r="H6" s="4"/>
      <c r="I6" s="4"/>
      <c r="J6" s="4"/>
      <c r="K6" s="4"/>
      <c r="L6" s="4"/>
    </row>
    <row r="7" spans="1:12" x14ac:dyDescent="0.3">
      <c r="A7" s="16"/>
      <c r="B7" s="26">
        <v>2021</v>
      </c>
      <c r="C7" s="29">
        <v>400558</v>
      </c>
      <c r="D7" s="29">
        <v>603545</v>
      </c>
      <c r="E7" s="29">
        <v>779688</v>
      </c>
      <c r="F7" s="29">
        <v>852668</v>
      </c>
      <c r="G7" s="29">
        <v>881497</v>
      </c>
      <c r="H7" s="4"/>
      <c r="I7" s="4"/>
      <c r="J7" s="4"/>
      <c r="K7" s="4"/>
      <c r="L7" s="4"/>
    </row>
    <row r="8" spans="1:12" x14ac:dyDescent="0.3">
      <c r="A8" s="16"/>
      <c r="B8" s="24">
        <v>2022</v>
      </c>
      <c r="C8" s="29">
        <v>418143</v>
      </c>
      <c r="D8" s="29">
        <v>626463</v>
      </c>
      <c r="E8" s="29">
        <v>812172</v>
      </c>
      <c r="F8" s="29">
        <v>893525</v>
      </c>
      <c r="G8" s="24"/>
      <c r="H8" s="4"/>
      <c r="I8" s="4"/>
      <c r="J8" s="4"/>
      <c r="K8" s="4"/>
      <c r="L8" s="4"/>
    </row>
    <row r="9" spans="1:12" x14ac:dyDescent="0.3">
      <c r="A9" s="4"/>
      <c r="B9" s="24">
        <v>2023</v>
      </c>
      <c r="C9" s="29">
        <v>441674</v>
      </c>
      <c r="D9" s="29">
        <v>859929</v>
      </c>
      <c r="E9" s="29">
        <v>1053725</v>
      </c>
      <c r="F9" s="24"/>
      <c r="G9" s="24"/>
      <c r="H9" s="4"/>
      <c r="I9" s="4"/>
      <c r="J9" s="4"/>
      <c r="K9" s="4"/>
      <c r="L9" s="4"/>
    </row>
    <row r="10" spans="1:12" x14ac:dyDescent="0.3">
      <c r="A10" s="4"/>
      <c r="B10" s="24">
        <v>2024</v>
      </c>
      <c r="C10" s="29">
        <v>465005</v>
      </c>
      <c r="D10" s="29">
        <v>698840</v>
      </c>
      <c r="E10" s="24"/>
      <c r="F10" s="24"/>
      <c r="G10" s="24"/>
      <c r="H10" s="4"/>
      <c r="I10" s="4"/>
      <c r="J10" s="4"/>
      <c r="K10" s="4"/>
      <c r="L10" s="4"/>
    </row>
    <row r="11" spans="1:12" x14ac:dyDescent="0.3">
      <c r="A11" s="16"/>
      <c r="B11" s="24">
        <v>2025</v>
      </c>
      <c r="C11" s="29">
        <v>489816</v>
      </c>
      <c r="D11" s="24"/>
      <c r="E11" s="24"/>
      <c r="F11" s="24"/>
      <c r="G11" s="24"/>
      <c r="H11" s="4"/>
      <c r="I11" s="4"/>
      <c r="J11" s="4"/>
      <c r="K11" s="4"/>
      <c r="L11" s="4"/>
    </row>
    <row r="12" spans="1:12" x14ac:dyDescent="0.3">
      <c r="A12" s="4"/>
      <c r="B12" s="4"/>
      <c r="C12" s="4"/>
      <c r="D12" s="4"/>
      <c r="E12" s="4"/>
      <c r="F12" s="4"/>
      <c r="G12" s="4"/>
      <c r="H12" s="4"/>
      <c r="I12" s="4"/>
      <c r="J12" s="4"/>
      <c r="K12" s="4"/>
      <c r="L12" s="4"/>
    </row>
    <row r="13" spans="1:12" x14ac:dyDescent="0.3">
      <c r="A13" s="4"/>
      <c r="B13" s="19" t="s">
        <v>172</v>
      </c>
      <c r="C13" s="4"/>
      <c r="D13" s="4"/>
      <c r="E13" s="4"/>
      <c r="F13" s="4"/>
      <c r="G13" s="4"/>
      <c r="H13" s="4"/>
      <c r="I13" s="4"/>
      <c r="J13" s="4"/>
      <c r="K13" s="4"/>
      <c r="L13" s="4"/>
    </row>
    <row r="14" spans="1:12" x14ac:dyDescent="0.3">
      <c r="A14" s="4"/>
      <c r="B14" s="19" t="s">
        <v>32</v>
      </c>
      <c r="C14" s="4"/>
      <c r="D14" s="29">
        <v>200000</v>
      </c>
      <c r="E14" s="4" t="s">
        <v>173</v>
      </c>
      <c r="F14" s="4"/>
      <c r="G14" s="4"/>
      <c r="H14" s="4"/>
      <c r="I14" s="4"/>
      <c r="J14" s="4"/>
      <c r="K14" s="4"/>
      <c r="L14" s="4"/>
    </row>
    <row r="15" spans="1:12" x14ac:dyDescent="0.3">
      <c r="A15" s="4"/>
      <c r="B15" s="19" t="s">
        <v>174</v>
      </c>
      <c r="C15" s="4"/>
      <c r="D15" s="4"/>
      <c r="E15" s="4"/>
      <c r="F15" s="4"/>
      <c r="G15" s="4"/>
      <c r="H15" s="4"/>
      <c r="I15" s="4"/>
      <c r="J15" s="4"/>
      <c r="K15" s="4"/>
      <c r="L15" s="4"/>
    </row>
    <row r="16" spans="1:12" x14ac:dyDescent="0.3">
      <c r="A16" s="2"/>
      <c r="B16" s="2"/>
      <c r="C16" s="2"/>
      <c r="D16" s="2"/>
      <c r="E16" s="2"/>
      <c r="F16" s="2"/>
      <c r="G16" s="2"/>
      <c r="H16" s="2"/>
      <c r="I16" s="2"/>
      <c r="J16" s="2"/>
      <c r="K16" s="2"/>
      <c r="L16" s="2"/>
    </row>
    <row r="17" spans="1:18" x14ac:dyDescent="0.3">
      <c r="A17" s="17" t="s">
        <v>4</v>
      </c>
      <c r="B17" s="4" t="s">
        <v>175</v>
      </c>
      <c r="C17" s="4"/>
      <c r="D17" s="4"/>
      <c r="E17" s="4"/>
      <c r="F17" s="4"/>
      <c r="G17" s="4"/>
      <c r="H17" s="4"/>
      <c r="I17" s="4"/>
      <c r="J17" s="4"/>
      <c r="K17" s="4"/>
      <c r="L17" s="4"/>
      <c r="M17" s="3"/>
      <c r="N17" s="3"/>
      <c r="O17" s="3"/>
      <c r="P17" s="3"/>
      <c r="Q17" s="3"/>
      <c r="R17" s="3"/>
    </row>
    <row r="18" spans="1:18" x14ac:dyDescent="0.3">
      <c r="A18" s="2"/>
      <c r="B18" s="2"/>
      <c r="C18" s="2"/>
      <c r="D18" s="2"/>
      <c r="E18" s="2"/>
      <c r="F18" s="2"/>
      <c r="G18" s="2"/>
      <c r="H18" s="2"/>
      <c r="I18" s="2"/>
      <c r="J18" s="2"/>
      <c r="K18" s="2"/>
      <c r="L18" s="2"/>
      <c r="M18" s="2"/>
    </row>
    <row r="19" spans="1:18" x14ac:dyDescent="0.3">
      <c r="A19" s="2" t="s">
        <v>1</v>
      </c>
      <c r="B19" s="2"/>
      <c r="C19" s="2"/>
      <c r="D19" s="2"/>
      <c r="E19" s="2"/>
      <c r="F19" s="2"/>
      <c r="G19" s="2"/>
      <c r="H19" s="2"/>
      <c r="I19" s="2"/>
      <c r="J19" s="2"/>
      <c r="K19" s="2"/>
      <c r="L19" s="2"/>
      <c r="M19" s="2"/>
    </row>
    <row r="20" spans="1:18" x14ac:dyDescent="0.3">
      <c r="A20" s="2"/>
      <c r="B20" s="2"/>
      <c r="C20" s="2"/>
      <c r="D20" s="2"/>
      <c r="E20" s="2"/>
      <c r="F20" s="2"/>
      <c r="G20" s="2"/>
      <c r="H20" s="2"/>
      <c r="I20" s="2"/>
      <c r="J20" s="2"/>
      <c r="K20" s="2"/>
      <c r="L20" s="2"/>
      <c r="M20" s="2"/>
    </row>
    <row r="21" spans="1:18" x14ac:dyDescent="0.3">
      <c r="A21" s="1" t="s">
        <v>197</v>
      </c>
      <c r="M21" s="3"/>
    </row>
    <row r="22" spans="1:18" x14ac:dyDescent="0.3">
      <c r="A22" s="1" t="s">
        <v>198</v>
      </c>
      <c r="M22" s="3"/>
    </row>
    <row r="23" spans="1:18" x14ac:dyDescent="0.3">
      <c r="M23" s="3"/>
    </row>
    <row r="24" spans="1:18" x14ac:dyDescent="0.3">
      <c r="M24" s="3"/>
    </row>
    <row r="25" spans="1:18" x14ac:dyDescent="0.3">
      <c r="A25" s="17" t="s">
        <v>5</v>
      </c>
      <c r="B25" s="4" t="s">
        <v>176</v>
      </c>
      <c r="C25" s="4"/>
      <c r="D25" s="4"/>
      <c r="E25" s="4"/>
      <c r="F25" s="4"/>
      <c r="G25" s="4"/>
      <c r="H25" s="4"/>
      <c r="I25" s="4"/>
      <c r="J25" s="4"/>
      <c r="K25" s="4"/>
      <c r="L25" s="4"/>
    </row>
    <row r="26" spans="1:18" x14ac:dyDescent="0.3">
      <c r="A26" s="2"/>
      <c r="B26" s="2"/>
      <c r="C26" s="2"/>
      <c r="D26" s="2"/>
      <c r="E26" s="2"/>
      <c r="F26" s="2"/>
      <c r="G26" s="2"/>
      <c r="H26" s="2"/>
      <c r="I26" s="2"/>
      <c r="J26" s="2"/>
      <c r="K26" s="2"/>
      <c r="L26" s="2"/>
    </row>
    <row r="27" spans="1:18" x14ac:dyDescent="0.3">
      <c r="A27" s="2" t="s">
        <v>1</v>
      </c>
      <c r="B27" s="2"/>
      <c r="C27" s="2"/>
      <c r="D27" s="2"/>
      <c r="E27" s="2"/>
      <c r="F27" s="2"/>
      <c r="G27" s="2"/>
      <c r="H27" s="2"/>
      <c r="I27" s="2"/>
      <c r="J27" s="2"/>
      <c r="K27" s="2"/>
      <c r="L27" s="2"/>
    </row>
    <row r="28" spans="1:18" x14ac:dyDescent="0.3">
      <c r="A28" s="56"/>
      <c r="C28" s="54"/>
      <c r="D28" s="55"/>
      <c r="E28" s="55"/>
      <c r="F28" s="55"/>
      <c r="G28" s="55"/>
      <c r="H28" s="2"/>
      <c r="I28" s="2"/>
      <c r="J28" s="2"/>
      <c r="K28" s="2"/>
      <c r="L28" s="2"/>
    </row>
    <row r="29" spans="1:18" x14ac:dyDescent="0.3">
      <c r="A29" s="56"/>
      <c r="B29" s="57" t="s">
        <v>29</v>
      </c>
      <c r="C29" s="164" t="s">
        <v>205</v>
      </c>
      <c r="D29" s="165"/>
      <c r="E29" s="165"/>
      <c r="F29" s="165"/>
      <c r="H29" s="2"/>
      <c r="I29" s="2"/>
      <c r="J29" s="2"/>
      <c r="K29" s="2"/>
      <c r="L29" s="2"/>
    </row>
    <row r="30" spans="1:18" x14ac:dyDescent="0.3">
      <c r="A30" s="56"/>
      <c r="B30" s="58" t="s">
        <v>199</v>
      </c>
      <c r="C30" s="58">
        <v>12</v>
      </c>
      <c r="D30" s="58">
        <f t="shared" ref="D30:G30" si="0">C30+12</f>
        <v>24</v>
      </c>
      <c r="E30" s="58">
        <f t="shared" si="0"/>
        <v>36</v>
      </c>
      <c r="F30" s="58">
        <f t="shared" si="0"/>
        <v>48</v>
      </c>
      <c r="G30" s="58">
        <f t="shared" si="0"/>
        <v>60</v>
      </c>
      <c r="H30" s="2"/>
      <c r="I30" s="2"/>
      <c r="J30" s="2"/>
      <c r="K30" s="2"/>
      <c r="L30" s="2"/>
    </row>
    <row r="31" spans="1:18" x14ac:dyDescent="0.3">
      <c r="A31" s="56"/>
      <c r="B31" s="54">
        <f>$B$7</f>
        <v>2021</v>
      </c>
      <c r="C31" s="59">
        <f>C7</f>
        <v>400558</v>
      </c>
      <c r="D31" s="59">
        <f t="shared" ref="D31:F31" si="1">D7</f>
        <v>603545</v>
      </c>
      <c r="E31" s="59">
        <f t="shared" si="1"/>
        <v>779688</v>
      </c>
      <c r="F31" s="59">
        <f t="shared" si="1"/>
        <v>852668</v>
      </c>
      <c r="G31" s="59">
        <f>G7</f>
        <v>881497</v>
      </c>
      <c r="H31" s="2"/>
      <c r="I31" s="2"/>
      <c r="J31" s="2"/>
      <c r="K31" s="2"/>
      <c r="L31" s="2"/>
    </row>
    <row r="32" spans="1:18" x14ac:dyDescent="0.3">
      <c r="A32" s="56"/>
      <c r="B32" s="54">
        <f>B31+1</f>
        <v>2022</v>
      </c>
      <c r="C32" s="59">
        <f t="shared" ref="C32:F35" si="2">C8</f>
        <v>418143</v>
      </c>
      <c r="D32" s="59">
        <f t="shared" si="2"/>
        <v>626463</v>
      </c>
      <c r="E32" s="59">
        <f t="shared" si="2"/>
        <v>812172</v>
      </c>
      <c r="F32" s="59">
        <f t="shared" si="2"/>
        <v>893525</v>
      </c>
      <c r="G32" s="57"/>
      <c r="H32" s="2"/>
      <c r="I32" s="2"/>
      <c r="J32" s="2"/>
      <c r="K32" s="2"/>
      <c r="L32" s="2"/>
    </row>
    <row r="33" spans="1:12" ht="16.2" x14ac:dyDescent="0.35">
      <c r="A33" s="56"/>
      <c r="B33" s="54">
        <f t="shared" ref="B33:B35" si="3">B32+1</f>
        <v>2023</v>
      </c>
      <c r="C33" s="59">
        <f t="shared" si="2"/>
        <v>441674</v>
      </c>
      <c r="D33" s="64">
        <f>D9-$D$14</f>
        <v>659929</v>
      </c>
      <c r="E33" s="64">
        <f>E9-$D$14</f>
        <v>853725</v>
      </c>
      <c r="F33" s="59"/>
      <c r="G33" s="57"/>
      <c r="H33" s="2"/>
      <c r="I33" s="2"/>
      <c r="J33" s="2"/>
      <c r="K33" s="2"/>
      <c r="L33" s="2"/>
    </row>
    <row r="34" spans="1:12" x14ac:dyDescent="0.3">
      <c r="A34" s="56"/>
      <c r="B34" s="54">
        <f t="shared" si="3"/>
        <v>2024</v>
      </c>
      <c r="C34" s="59">
        <f t="shared" si="2"/>
        <v>465005</v>
      </c>
      <c r="D34" s="59">
        <f>D10</f>
        <v>698840</v>
      </c>
      <c r="E34" s="57"/>
      <c r="F34" s="57"/>
      <c r="G34" s="57"/>
      <c r="H34" s="2"/>
      <c r="I34" s="2"/>
      <c r="J34" s="2"/>
      <c r="K34" s="2"/>
      <c r="L34" s="2"/>
    </row>
    <row r="35" spans="1:12" x14ac:dyDescent="0.3">
      <c r="A35" s="56"/>
      <c r="B35" s="54">
        <f t="shared" si="3"/>
        <v>2025</v>
      </c>
      <c r="C35" s="59">
        <f t="shared" si="2"/>
        <v>489816</v>
      </c>
      <c r="D35" s="59"/>
      <c r="E35" s="59"/>
      <c r="F35" s="59"/>
      <c r="G35" s="57"/>
      <c r="H35" s="2"/>
      <c r="I35" s="2"/>
      <c r="J35" s="2"/>
      <c r="K35" s="2"/>
      <c r="L35" s="2"/>
    </row>
    <row r="36" spans="1:12" x14ac:dyDescent="0.3">
      <c r="A36" s="56"/>
      <c r="H36" s="2"/>
      <c r="I36" s="2"/>
      <c r="J36" s="2"/>
      <c r="K36" s="2"/>
      <c r="L36" s="2"/>
    </row>
    <row r="37" spans="1:12" x14ac:dyDescent="0.3">
      <c r="A37" s="56"/>
      <c r="B37" s="54"/>
      <c r="C37" s="55"/>
      <c r="H37" s="2"/>
      <c r="I37" s="2"/>
      <c r="J37" s="2"/>
      <c r="K37" s="2"/>
      <c r="L37" s="2"/>
    </row>
    <row r="38" spans="1:12" x14ac:dyDescent="0.3">
      <c r="A38" s="56"/>
      <c r="B38" s="57" t="s">
        <v>29</v>
      </c>
      <c r="C38" s="165" t="s">
        <v>206</v>
      </c>
      <c r="D38" s="165"/>
      <c r="E38" s="165"/>
      <c r="F38" s="165"/>
      <c r="H38" s="2"/>
      <c r="I38" s="2"/>
      <c r="J38" s="2"/>
      <c r="K38" s="2"/>
      <c r="L38" s="2"/>
    </row>
    <row r="39" spans="1:12" x14ac:dyDescent="0.3">
      <c r="A39" s="56"/>
      <c r="B39" s="58" t="s">
        <v>199</v>
      </c>
      <c r="C39" s="58" t="s">
        <v>200</v>
      </c>
      <c r="D39" s="58" t="s">
        <v>201</v>
      </c>
      <c r="E39" s="58" t="s">
        <v>202</v>
      </c>
      <c r="F39" s="58" t="s">
        <v>203</v>
      </c>
      <c r="G39" s="58" t="s">
        <v>204</v>
      </c>
      <c r="H39" s="2"/>
      <c r="I39" s="2"/>
      <c r="J39" s="2"/>
      <c r="K39" s="2"/>
      <c r="L39" s="2"/>
    </row>
    <row r="40" spans="1:12" x14ac:dyDescent="0.3">
      <c r="A40" s="56"/>
      <c r="B40" s="54">
        <f>$B$7</f>
        <v>2021</v>
      </c>
      <c r="C40" s="60">
        <f>D31/C31</f>
        <v>1.5067605690062362</v>
      </c>
      <c r="D40" s="60">
        <f>E31/D31</f>
        <v>1.2918473353271089</v>
      </c>
      <c r="E40" s="60">
        <f>F31/E31</f>
        <v>1.093601543181375</v>
      </c>
      <c r="F40" s="60">
        <f>G31/F31</f>
        <v>1.0338103458790526</v>
      </c>
      <c r="G40" s="60"/>
      <c r="H40" s="2"/>
      <c r="I40" s="2"/>
      <c r="J40" s="2"/>
      <c r="K40" s="2"/>
      <c r="L40" s="2"/>
    </row>
    <row r="41" spans="1:12" x14ac:dyDescent="0.3">
      <c r="A41" s="56"/>
      <c r="B41" s="54">
        <f>B40+1</f>
        <v>2022</v>
      </c>
      <c r="C41" s="60">
        <f>D32/C32</f>
        <v>1.4982027679525904</v>
      </c>
      <c r="D41" s="60">
        <f>E32/D32</f>
        <v>1.2964404920961015</v>
      </c>
      <c r="E41" s="60">
        <f>F32/E32</f>
        <v>1.1001672059612988</v>
      </c>
      <c r="F41" s="60"/>
      <c r="G41" s="60"/>
      <c r="H41" s="2"/>
      <c r="I41" s="2"/>
      <c r="J41" s="2"/>
      <c r="K41" s="2"/>
      <c r="L41" s="2"/>
    </row>
    <row r="42" spans="1:12" ht="16.2" x14ac:dyDescent="0.35">
      <c r="A42" s="56"/>
      <c r="B42" s="54">
        <f t="shared" ref="B42:B43" si="4">B41+1</f>
        <v>2023</v>
      </c>
      <c r="C42" s="65">
        <f>D33/C33</f>
        <v>1.4941540593288263</v>
      </c>
      <c r="D42" s="65">
        <f>E33/D33</f>
        <v>1.2936618939310138</v>
      </c>
      <c r="E42" s="60"/>
      <c r="F42" s="60"/>
      <c r="G42" s="60"/>
      <c r="H42" s="2"/>
      <c r="I42" s="2"/>
      <c r="J42" s="2"/>
      <c r="K42" s="2"/>
      <c r="L42" s="2"/>
    </row>
    <row r="43" spans="1:12" x14ac:dyDescent="0.3">
      <c r="A43" s="56"/>
      <c r="B43" s="54">
        <f t="shared" si="4"/>
        <v>2024</v>
      </c>
      <c r="C43" s="60">
        <f>D34/C34</f>
        <v>1.50286556058537</v>
      </c>
      <c r="D43" s="60"/>
      <c r="E43" s="60"/>
      <c r="F43" s="60"/>
      <c r="G43" s="60"/>
      <c r="H43" s="2"/>
      <c r="I43" s="2"/>
      <c r="J43" s="2"/>
      <c r="K43" s="2"/>
      <c r="L43" s="2"/>
    </row>
    <row r="44" spans="1:12" x14ac:dyDescent="0.3">
      <c r="B44" s="157" t="s">
        <v>207</v>
      </c>
      <c r="C44" s="60">
        <f>AVERAGE(C40:C43)</f>
        <v>1.5004957392182559</v>
      </c>
      <c r="D44" s="60">
        <f>AVERAGE(D40:D43)</f>
        <v>1.293983240451408</v>
      </c>
      <c r="E44" s="60">
        <f>AVERAGE(E40:E43)</f>
        <v>1.0968843745713368</v>
      </c>
      <c r="F44" s="60">
        <f>AVERAGE(F40:F43)</f>
        <v>1.0338103458790526</v>
      </c>
      <c r="G44" s="60">
        <f>F44</f>
        <v>1.0338103458790526</v>
      </c>
      <c r="H44" s="2"/>
      <c r="I44" s="2"/>
      <c r="J44" s="2"/>
      <c r="K44" s="2"/>
      <c r="L44" s="2"/>
    </row>
    <row r="45" spans="1:12" x14ac:dyDescent="0.3">
      <c r="B45" s="157" t="s">
        <v>403</v>
      </c>
      <c r="C45" s="61">
        <f>C44*D45</f>
        <v>2.2761769232428426</v>
      </c>
      <c r="D45" s="61">
        <f>D44*E45</f>
        <v>1.5169499411099356</v>
      </c>
      <c r="E45" s="61">
        <f>E44*F45</f>
        <v>1.1723103466013558</v>
      </c>
      <c r="F45" s="61">
        <f>F44*G45</f>
        <v>1.0687638312465664</v>
      </c>
      <c r="G45" s="61">
        <f>G44</f>
        <v>1.0338103458790526</v>
      </c>
      <c r="H45" s="2"/>
      <c r="I45" s="2"/>
      <c r="J45" s="2"/>
      <c r="K45" s="2"/>
      <c r="L45" s="2"/>
    </row>
    <row r="46" spans="1:12" x14ac:dyDescent="0.3">
      <c r="B46" s="157"/>
      <c r="C46" s="60"/>
      <c r="D46" s="60"/>
      <c r="E46" s="60"/>
      <c r="F46" s="60"/>
      <c r="G46" s="60"/>
      <c r="H46" s="2"/>
      <c r="I46" s="2"/>
      <c r="J46" s="2"/>
      <c r="K46" s="2"/>
      <c r="L46" s="2"/>
    </row>
    <row r="47" spans="1:12" s="2" customFormat="1" x14ac:dyDescent="0.3">
      <c r="A47" s="66"/>
      <c r="B47" s="2" t="s">
        <v>208</v>
      </c>
      <c r="C47" s="67"/>
      <c r="D47" s="67"/>
      <c r="E47" s="67"/>
      <c r="F47" s="67"/>
      <c r="G47" s="67"/>
    </row>
    <row r="48" spans="1:12" s="2" customFormat="1" x14ac:dyDescent="0.3">
      <c r="A48" s="66"/>
      <c r="B48" s="2" t="s">
        <v>209</v>
      </c>
      <c r="C48" s="67"/>
      <c r="D48" s="67"/>
      <c r="E48" s="67"/>
      <c r="F48" s="67"/>
      <c r="G48" s="67"/>
    </row>
    <row r="49" spans="1:12" x14ac:dyDescent="0.3">
      <c r="A49" s="62"/>
      <c r="H49" s="2"/>
      <c r="I49" s="2"/>
      <c r="J49" s="2"/>
      <c r="K49" s="2"/>
      <c r="L49" s="2"/>
    </row>
    <row r="50" spans="1:12" x14ac:dyDescent="0.3">
      <c r="B50" s="157" t="s">
        <v>353</v>
      </c>
      <c r="F50" s="55">
        <f>E33</f>
        <v>853725</v>
      </c>
      <c r="G50" s="152"/>
      <c r="H50" s="2"/>
      <c r="I50" s="2"/>
      <c r="J50" s="2"/>
      <c r="K50" s="2"/>
      <c r="L50" s="2"/>
    </row>
    <row r="51" spans="1:12" x14ac:dyDescent="0.3">
      <c r="B51" s="157" t="s">
        <v>210</v>
      </c>
      <c r="F51" s="63">
        <f>E45</f>
        <v>1.1723103466013558</v>
      </c>
      <c r="G51"/>
      <c r="H51" s="2"/>
      <c r="I51" s="2"/>
      <c r="J51" s="2"/>
      <c r="K51" s="2"/>
      <c r="L51" s="2"/>
    </row>
    <row r="52" spans="1:12" x14ac:dyDescent="0.3">
      <c r="B52" s="158" t="s">
        <v>354</v>
      </c>
      <c r="C52" s="86"/>
      <c r="D52" s="153"/>
      <c r="E52" s="86"/>
      <c r="F52" s="134">
        <f>F50*F51</f>
        <v>1000830.6506522425</v>
      </c>
      <c r="G52" s="152"/>
      <c r="H52" s="2"/>
      <c r="I52" s="2"/>
      <c r="J52" s="2"/>
      <c r="K52" s="2"/>
      <c r="L52" s="2"/>
    </row>
    <row r="53" spans="1:12" x14ac:dyDescent="0.3">
      <c r="B53" s="157" t="s">
        <v>355</v>
      </c>
      <c r="D53"/>
      <c r="F53" s="55">
        <f>F52-F50</f>
        <v>147105.65065224248</v>
      </c>
      <c r="G53" s="55"/>
      <c r="H53" s="2"/>
      <c r="I53" s="2"/>
      <c r="J53" s="2"/>
      <c r="K53" s="2"/>
      <c r="L53" s="2"/>
    </row>
    <row r="55" spans="1:12" x14ac:dyDescent="0.3">
      <c r="A55" s="17" t="s">
        <v>0</v>
      </c>
      <c r="B55" s="163" t="s">
        <v>177</v>
      </c>
      <c r="C55" s="163"/>
      <c r="D55" s="163"/>
      <c r="E55" s="163"/>
      <c r="F55" s="163"/>
      <c r="G55" s="163"/>
      <c r="H55" s="163"/>
      <c r="I55" s="163"/>
      <c r="J55" s="163"/>
      <c r="K55" s="163"/>
      <c r="L55" s="163"/>
    </row>
    <row r="56" spans="1:12" x14ac:dyDescent="0.3">
      <c r="A56" s="17"/>
      <c r="B56" s="163"/>
      <c r="C56" s="163"/>
      <c r="D56" s="163"/>
      <c r="E56" s="163"/>
      <c r="F56" s="163"/>
      <c r="G56" s="163"/>
      <c r="H56" s="163"/>
      <c r="I56" s="163"/>
      <c r="J56" s="163"/>
      <c r="K56" s="163"/>
      <c r="L56" s="163"/>
    </row>
    <row r="57" spans="1:12" x14ac:dyDescent="0.3">
      <c r="A57" s="2"/>
      <c r="B57" s="2"/>
      <c r="C57" s="2"/>
      <c r="D57" s="2"/>
      <c r="E57" s="2"/>
      <c r="F57" s="2"/>
      <c r="G57" s="2"/>
      <c r="H57" s="2"/>
      <c r="I57" s="2"/>
      <c r="J57" s="2"/>
      <c r="K57" s="2"/>
      <c r="L57" s="2"/>
    </row>
    <row r="58" spans="1:12" x14ac:dyDescent="0.3">
      <c r="A58" s="2" t="s">
        <v>1</v>
      </c>
      <c r="B58" s="2"/>
      <c r="C58" s="2"/>
      <c r="D58" s="2"/>
      <c r="E58" s="2"/>
      <c r="F58" s="2"/>
      <c r="G58" s="2"/>
      <c r="H58" s="2"/>
      <c r="I58" s="2"/>
      <c r="J58" s="2"/>
      <c r="K58" s="2"/>
      <c r="L58" s="2"/>
    </row>
    <row r="59" spans="1:12" x14ac:dyDescent="0.3">
      <c r="A59" s="2"/>
      <c r="B59" s="2"/>
      <c r="C59" s="2"/>
      <c r="D59" s="2"/>
      <c r="E59" s="2"/>
      <c r="F59" s="2"/>
      <c r="G59" s="2"/>
      <c r="H59" s="2"/>
      <c r="I59" s="2"/>
      <c r="J59" s="2"/>
      <c r="K59" s="2"/>
      <c r="L59" s="2"/>
    </row>
    <row r="60" spans="1:12" x14ac:dyDescent="0.3">
      <c r="A60" s="160" t="s">
        <v>277</v>
      </c>
      <c r="B60" s="2"/>
      <c r="C60" s="2"/>
      <c r="D60" s="2"/>
      <c r="E60" s="2"/>
      <c r="F60" s="2"/>
      <c r="G60" s="2"/>
      <c r="H60" s="2"/>
      <c r="I60" s="2"/>
      <c r="J60" s="2"/>
      <c r="K60" s="2"/>
      <c r="L60" s="2"/>
    </row>
    <row r="61" spans="1:12" x14ac:dyDescent="0.3">
      <c r="A61" s="52" t="s">
        <v>406</v>
      </c>
      <c r="B61" s="2"/>
      <c r="C61" s="2"/>
      <c r="D61" s="2"/>
      <c r="E61" s="2"/>
      <c r="F61" s="2"/>
      <c r="G61" s="2"/>
      <c r="H61" s="2"/>
      <c r="I61" s="2"/>
      <c r="J61" s="2"/>
      <c r="K61" s="2"/>
      <c r="L61" s="2"/>
    </row>
    <row r="62" spans="1:12" x14ac:dyDescent="0.3">
      <c r="A62" s="52"/>
      <c r="B62" s="2"/>
      <c r="C62" s="2"/>
      <c r="D62" s="2"/>
      <c r="E62" s="2"/>
      <c r="F62" s="2"/>
      <c r="G62" s="2"/>
      <c r="H62" s="2"/>
      <c r="I62" s="2"/>
      <c r="J62" s="2"/>
      <c r="K62" s="2"/>
      <c r="L62" s="2"/>
    </row>
    <row r="63" spans="1:12" x14ac:dyDescent="0.3">
      <c r="A63" s="2" t="s">
        <v>405</v>
      </c>
      <c r="B63" s="2"/>
      <c r="C63" s="2"/>
      <c r="D63" s="2"/>
      <c r="E63" s="2"/>
      <c r="F63" s="2"/>
      <c r="G63" s="2"/>
      <c r="H63" s="2"/>
      <c r="I63" s="2"/>
      <c r="J63" s="2"/>
      <c r="K63" s="2"/>
      <c r="L63" s="2"/>
    </row>
    <row r="64" spans="1:12" x14ac:dyDescent="0.3">
      <c r="A64" s="1" t="s">
        <v>404</v>
      </c>
    </row>
    <row r="65" spans="1:1" x14ac:dyDescent="0.3">
      <c r="A65" s="1" t="s">
        <v>211</v>
      </c>
    </row>
    <row r="66" spans="1:1" x14ac:dyDescent="0.3">
      <c r="A66" s="1" t="s">
        <v>212</v>
      </c>
    </row>
    <row r="67" spans="1:1" x14ac:dyDescent="0.3">
      <c r="A67" s="1" t="s">
        <v>213</v>
      </c>
    </row>
  </sheetData>
  <mergeCells count="4">
    <mergeCell ref="C5:G5"/>
    <mergeCell ref="B55:L56"/>
    <mergeCell ref="C29:F29"/>
    <mergeCell ref="C38:F38"/>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C2651-B3D2-427B-9BDD-5E0B057E3FFC}">
  <dimension ref="A1:R88"/>
  <sheetViews>
    <sheetView zoomScaleNormal="100" workbookViewId="0"/>
  </sheetViews>
  <sheetFormatPr defaultRowHeight="15.6" x14ac:dyDescent="0.3"/>
  <cols>
    <col min="1" max="1" width="8.88671875" style="1" customWidth="1"/>
    <col min="2" max="4" width="14.77734375" style="1" customWidth="1"/>
    <col min="5" max="5" width="20.77734375" style="1" customWidth="1"/>
    <col min="6" max="12" width="12.77734375" style="1" customWidth="1"/>
    <col min="13" max="16384" width="8.88671875" style="1"/>
  </cols>
  <sheetData>
    <row r="1" spans="1:12" ht="17.399999999999999" x14ac:dyDescent="0.3">
      <c r="A1" s="14" t="s">
        <v>33</v>
      </c>
      <c r="B1" s="4"/>
      <c r="C1" s="4" t="s">
        <v>34</v>
      </c>
      <c r="D1" s="4"/>
      <c r="E1" s="4"/>
      <c r="F1" s="4"/>
      <c r="G1" s="4"/>
      <c r="H1" s="4"/>
      <c r="I1" s="4"/>
      <c r="J1" s="4"/>
      <c r="K1" s="4"/>
      <c r="L1" s="15"/>
    </row>
    <row r="2" spans="1:12" x14ac:dyDescent="0.3">
      <c r="A2" s="4"/>
      <c r="B2" s="4"/>
      <c r="C2" s="4"/>
      <c r="D2" s="4"/>
      <c r="E2" s="4"/>
      <c r="F2" s="4"/>
      <c r="G2" s="4"/>
      <c r="H2" s="4"/>
      <c r="I2" s="4"/>
      <c r="J2" s="4"/>
      <c r="K2" s="4"/>
      <c r="L2" s="15"/>
    </row>
    <row r="3" spans="1:12" ht="15.6" customHeight="1" x14ac:dyDescent="0.3">
      <c r="A3" s="4" t="s">
        <v>189</v>
      </c>
      <c r="B3" s="4"/>
      <c r="C3" s="4"/>
      <c r="D3" s="4"/>
      <c r="E3" s="4"/>
      <c r="F3" s="4"/>
      <c r="G3" s="4"/>
      <c r="H3" s="4"/>
      <c r="I3" s="4"/>
      <c r="J3" s="4"/>
      <c r="K3" s="4"/>
      <c r="L3" s="4"/>
    </row>
    <row r="4" spans="1:12" ht="15.6" customHeight="1" x14ac:dyDescent="0.3">
      <c r="A4" s="4" t="s">
        <v>16</v>
      </c>
      <c r="B4" s="4"/>
      <c r="C4" s="4"/>
      <c r="D4" s="4"/>
      <c r="E4" s="4"/>
      <c r="F4" s="4"/>
      <c r="G4" s="4"/>
      <c r="H4" s="4"/>
      <c r="I4" s="4"/>
      <c r="J4" s="4"/>
      <c r="K4" s="4"/>
      <c r="L4" s="4"/>
    </row>
    <row r="5" spans="1:12" x14ac:dyDescent="0.3">
      <c r="A5" s="16"/>
      <c r="B5" s="4"/>
      <c r="C5" s="4"/>
      <c r="D5" s="4"/>
      <c r="E5" s="4"/>
      <c r="F5" s="4"/>
      <c r="G5" s="4"/>
      <c r="H5" s="4"/>
      <c r="I5" s="4"/>
      <c r="J5" s="4"/>
      <c r="K5" s="4"/>
      <c r="L5" s="4"/>
    </row>
    <row r="6" spans="1:12" ht="46.8" x14ac:dyDescent="0.3">
      <c r="A6" s="16"/>
      <c r="B6" s="30" t="s">
        <v>35</v>
      </c>
      <c r="C6" s="30" t="s">
        <v>36</v>
      </c>
      <c r="D6" s="30" t="s">
        <v>44</v>
      </c>
      <c r="E6" s="4"/>
      <c r="F6" s="4"/>
      <c r="G6" s="4"/>
      <c r="H6" s="4"/>
      <c r="I6" s="4"/>
      <c r="J6" s="4"/>
      <c r="K6" s="4"/>
      <c r="L6" s="4"/>
    </row>
    <row r="7" spans="1:12" x14ac:dyDescent="0.3">
      <c r="A7" s="16"/>
      <c r="B7" s="24">
        <v>2020</v>
      </c>
      <c r="C7" s="29">
        <v>4486</v>
      </c>
      <c r="D7" s="29">
        <v>4148980</v>
      </c>
      <c r="E7" s="4"/>
      <c r="F7" s="4"/>
      <c r="G7" s="4"/>
      <c r="H7" s="4"/>
      <c r="I7" s="4"/>
      <c r="J7" s="4"/>
      <c r="K7" s="4"/>
      <c r="L7" s="4"/>
    </row>
    <row r="8" spans="1:12" x14ac:dyDescent="0.3">
      <c r="A8" s="4"/>
      <c r="B8" s="24">
        <v>2021</v>
      </c>
      <c r="C8" s="29">
        <v>4719</v>
      </c>
      <c r="D8" s="29">
        <v>4615322</v>
      </c>
      <c r="E8" s="4"/>
      <c r="F8" s="4"/>
      <c r="G8" s="4"/>
      <c r="H8" s="4"/>
      <c r="I8" s="4"/>
      <c r="J8" s="4"/>
      <c r="K8" s="4"/>
      <c r="L8" s="4"/>
    </row>
    <row r="9" spans="1:12" x14ac:dyDescent="0.3">
      <c r="A9" s="4"/>
      <c r="B9" s="24">
        <v>2022</v>
      </c>
      <c r="C9" s="29">
        <v>4777</v>
      </c>
      <c r="D9" s="29">
        <v>5195342</v>
      </c>
      <c r="E9" s="4"/>
      <c r="F9" s="4"/>
      <c r="G9" s="4"/>
      <c r="H9" s="4"/>
      <c r="I9" s="4"/>
      <c r="J9" s="4"/>
      <c r="K9" s="4"/>
      <c r="L9" s="4"/>
    </row>
    <row r="10" spans="1:12" x14ac:dyDescent="0.3">
      <c r="A10" s="4"/>
      <c r="B10" s="24">
        <v>2023</v>
      </c>
      <c r="C10" s="29">
        <v>4885</v>
      </c>
      <c r="D10" s="29">
        <v>5678556</v>
      </c>
      <c r="E10" s="4"/>
      <c r="F10" s="4"/>
      <c r="G10" s="4"/>
      <c r="H10" s="4"/>
      <c r="I10" s="4"/>
      <c r="J10" s="4"/>
      <c r="K10" s="4"/>
      <c r="L10" s="4"/>
    </row>
    <row r="11" spans="1:12" x14ac:dyDescent="0.3">
      <c r="A11" s="4"/>
      <c r="B11" s="24">
        <v>2024</v>
      </c>
      <c r="C11" s="29">
        <v>4998</v>
      </c>
      <c r="D11" s="29">
        <v>6405964</v>
      </c>
      <c r="E11" s="4"/>
      <c r="F11" s="4"/>
      <c r="G11" s="4"/>
      <c r="H11" s="4"/>
      <c r="I11" s="4"/>
      <c r="J11" s="4"/>
      <c r="K11" s="4"/>
      <c r="L11" s="4"/>
    </row>
    <row r="12" spans="1:12" x14ac:dyDescent="0.3">
      <c r="A12" s="4"/>
      <c r="B12" s="24">
        <v>2025</v>
      </c>
      <c r="C12" s="29">
        <v>5221</v>
      </c>
      <c r="D12" s="29">
        <v>7265714</v>
      </c>
      <c r="E12" s="4"/>
      <c r="F12" s="4"/>
      <c r="G12" s="4"/>
      <c r="H12" s="4"/>
      <c r="I12" s="4"/>
      <c r="J12" s="4"/>
      <c r="K12" s="4"/>
      <c r="L12" s="4"/>
    </row>
    <row r="13" spans="1:12" x14ac:dyDescent="0.3">
      <c r="A13" s="4"/>
      <c r="B13" s="4"/>
      <c r="C13" s="4"/>
      <c r="D13" s="4"/>
      <c r="E13" s="4"/>
      <c r="F13" s="4"/>
      <c r="G13" s="4"/>
      <c r="H13" s="4"/>
      <c r="I13" s="4"/>
      <c r="J13" s="4"/>
      <c r="K13" s="4"/>
      <c r="L13" s="4"/>
    </row>
    <row r="14" spans="1:12" ht="62.4" x14ac:dyDescent="0.3">
      <c r="A14" s="4"/>
      <c r="B14" s="30" t="s">
        <v>37</v>
      </c>
      <c r="C14" s="30" t="s">
        <v>38</v>
      </c>
      <c r="D14" s="4"/>
      <c r="E14" s="4"/>
      <c r="F14" s="4"/>
      <c r="G14" s="4"/>
      <c r="H14" s="4"/>
      <c r="I14" s="4"/>
      <c r="J14" s="4"/>
      <c r="K14" s="4"/>
      <c r="L14" s="4"/>
    </row>
    <row r="15" spans="1:12" x14ac:dyDescent="0.3">
      <c r="A15" s="4"/>
      <c r="B15" s="24">
        <v>12</v>
      </c>
      <c r="C15" s="31">
        <v>2.5649999999999999</v>
      </c>
      <c r="D15" s="4"/>
      <c r="E15" s="4"/>
      <c r="F15" s="4"/>
      <c r="G15" s="4"/>
      <c r="H15" s="4"/>
      <c r="I15" s="4"/>
      <c r="J15" s="4"/>
      <c r="K15" s="4"/>
      <c r="L15" s="4"/>
    </row>
    <row r="16" spans="1:12" x14ac:dyDescent="0.3">
      <c r="A16" s="4"/>
      <c r="B16" s="24">
        <v>24</v>
      </c>
      <c r="C16" s="31">
        <v>1.5820000000000001</v>
      </c>
      <c r="D16" s="4"/>
      <c r="E16" s="4"/>
      <c r="F16" s="4"/>
      <c r="G16" s="4"/>
      <c r="H16" s="4"/>
      <c r="I16" s="4"/>
      <c r="J16" s="4"/>
      <c r="K16" s="4"/>
      <c r="L16" s="4"/>
    </row>
    <row r="17" spans="1:18" x14ac:dyDescent="0.3">
      <c r="A17" s="4"/>
      <c r="B17" s="24">
        <v>36</v>
      </c>
      <c r="C17" s="31">
        <v>1.1870000000000001</v>
      </c>
      <c r="D17" s="4"/>
      <c r="E17" s="4"/>
      <c r="F17" s="4"/>
      <c r="G17" s="4"/>
      <c r="H17" s="4"/>
      <c r="I17" s="4"/>
      <c r="J17" s="4"/>
      <c r="K17" s="4"/>
      <c r="L17" s="4"/>
    </row>
    <row r="18" spans="1:18" x14ac:dyDescent="0.3">
      <c r="A18" s="4"/>
      <c r="B18" s="24">
        <v>48</v>
      </c>
      <c r="C18" s="31">
        <v>1.0680000000000001</v>
      </c>
      <c r="D18" s="4"/>
      <c r="E18" s="4"/>
      <c r="F18" s="4"/>
      <c r="G18" s="4"/>
      <c r="H18" s="4"/>
      <c r="I18" s="4"/>
      <c r="J18" s="4"/>
      <c r="K18" s="4"/>
      <c r="L18" s="4"/>
    </row>
    <row r="19" spans="1:18" x14ac:dyDescent="0.3">
      <c r="A19" s="4"/>
      <c r="B19" s="24">
        <v>60</v>
      </c>
      <c r="C19" s="31">
        <v>1</v>
      </c>
      <c r="D19" s="4"/>
      <c r="E19" s="4"/>
      <c r="F19" s="4"/>
      <c r="G19" s="4"/>
      <c r="H19" s="4"/>
      <c r="I19" s="4"/>
      <c r="J19" s="4"/>
      <c r="K19" s="4"/>
      <c r="L19" s="4"/>
    </row>
    <row r="20" spans="1:18" x14ac:dyDescent="0.3">
      <c r="A20" s="4"/>
      <c r="B20" s="4"/>
      <c r="C20" s="4"/>
      <c r="D20" s="4"/>
      <c r="E20" s="4"/>
      <c r="F20" s="4"/>
      <c r="G20" s="4"/>
      <c r="H20" s="4"/>
      <c r="I20" s="4"/>
      <c r="J20" s="4"/>
      <c r="K20" s="4"/>
      <c r="L20" s="4"/>
    </row>
    <row r="21" spans="1:18" ht="31.2" x14ac:dyDescent="0.3">
      <c r="A21" s="16"/>
      <c r="B21" s="30" t="s">
        <v>39</v>
      </c>
      <c r="C21" s="30" t="s">
        <v>40</v>
      </c>
      <c r="D21" s="30" t="s">
        <v>41</v>
      </c>
      <c r="E21" s="30" t="s">
        <v>42</v>
      </c>
      <c r="F21" s="4"/>
      <c r="G21" s="4"/>
      <c r="H21" s="4"/>
      <c r="I21" s="4"/>
      <c r="J21" s="4"/>
      <c r="K21" s="4"/>
      <c r="L21" s="4"/>
    </row>
    <row r="22" spans="1:18" x14ac:dyDescent="0.3">
      <c r="A22" s="4"/>
      <c r="B22" s="24">
        <v>2022</v>
      </c>
      <c r="C22" s="29">
        <v>362500</v>
      </c>
      <c r="D22" s="29">
        <v>4475312</v>
      </c>
      <c r="E22" s="29">
        <v>4661511</v>
      </c>
      <c r="F22" s="4"/>
      <c r="G22" s="4"/>
      <c r="H22" s="4"/>
      <c r="I22" s="4"/>
      <c r="J22" s="4"/>
      <c r="K22" s="4"/>
      <c r="L22" s="4"/>
    </row>
    <row r="23" spans="1:18" x14ac:dyDescent="0.3">
      <c r="A23" s="4"/>
      <c r="B23" s="24">
        <v>2023</v>
      </c>
      <c r="C23" s="29">
        <v>412588</v>
      </c>
      <c r="D23" s="29">
        <v>4960917</v>
      </c>
      <c r="E23" s="29">
        <v>5152178</v>
      </c>
      <c r="F23" s="4"/>
      <c r="G23" s="4"/>
      <c r="H23" s="4"/>
      <c r="I23" s="4"/>
      <c r="J23" s="4"/>
      <c r="K23" s="4"/>
      <c r="L23" s="4"/>
    </row>
    <row r="24" spans="1:18" x14ac:dyDescent="0.3">
      <c r="A24" s="4"/>
      <c r="B24" s="24">
        <v>2024</v>
      </c>
      <c r="C24" s="29">
        <v>467712</v>
      </c>
      <c r="D24" s="29">
        <v>5529080</v>
      </c>
      <c r="E24" s="29">
        <v>5663308</v>
      </c>
      <c r="F24" s="4"/>
      <c r="G24" s="4"/>
      <c r="H24" s="4"/>
      <c r="I24" s="4"/>
      <c r="J24" s="4"/>
      <c r="K24" s="4"/>
      <c r="L24" s="4"/>
    </row>
    <row r="25" spans="1:18" x14ac:dyDescent="0.3">
      <c r="A25" s="4"/>
      <c r="B25" s="24">
        <v>2025</v>
      </c>
      <c r="C25" s="29">
        <v>531305</v>
      </c>
      <c r="D25" s="29">
        <v>6196672</v>
      </c>
      <c r="E25" s="24" t="s">
        <v>43</v>
      </c>
      <c r="F25" s="4"/>
      <c r="G25" s="4"/>
      <c r="H25" s="4"/>
      <c r="I25" s="4"/>
      <c r="J25" s="4"/>
      <c r="K25" s="4"/>
      <c r="L25" s="4"/>
    </row>
    <row r="26" spans="1:18" x14ac:dyDescent="0.3">
      <c r="A26" s="4"/>
      <c r="B26" s="4"/>
      <c r="C26" s="4"/>
      <c r="D26" s="4"/>
      <c r="E26" s="4"/>
      <c r="F26" s="4"/>
      <c r="G26" s="4"/>
      <c r="H26" s="4"/>
      <c r="I26" s="4"/>
      <c r="J26" s="4"/>
      <c r="K26" s="4"/>
      <c r="L26" s="4"/>
    </row>
    <row r="27" spans="1:18" x14ac:dyDescent="0.3">
      <c r="A27" s="4"/>
      <c r="B27" s="19" t="s">
        <v>178</v>
      </c>
      <c r="C27" s="4"/>
      <c r="D27" s="4"/>
      <c r="E27" s="21">
        <v>6987456</v>
      </c>
      <c r="F27" s="4"/>
      <c r="G27" s="4"/>
      <c r="H27" s="4"/>
      <c r="I27" s="4"/>
      <c r="J27" s="4"/>
      <c r="K27" s="4"/>
      <c r="L27" s="4"/>
    </row>
    <row r="28" spans="1:18" x14ac:dyDescent="0.3">
      <c r="A28" s="4"/>
      <c r="B28" s="19" t="s">
        <v>179</v>
      </c>
      <c r="C28" s="4"/>
      <c r="D28" s="4"/>
      <c r="E28" s="21">
        <v>2979334</v>
      </c>
      <c r="F28" s="4"/>
      <c r="G28" s="4"/>
      <c r="H28" s="4"/>
      <c r="I28" s="4"/>
      <c r="J28" s="4"/>
      <c r="K28" s="4"/>
      <c r="L28" s="4"/>
    </row>
    <row r="29" spans="1:18" x14ac:dyDescent="0.3">
      <c r="A29" s="4"/>
      <c r="B29" s="19" t="s">
        <v>46</v>
      </c>
      <c r="C29" s="4"/>
      <c r="D29" s="32">
        <v>0.25</v>
      </c>
      <c r="E29" s="4" t="s">
        <v>47</v>
      </c>
      <c r="F29" s="4"/>
      <c r="G29" s="4"/>
      <c r="H29" s="4"/>
      <c r="I29" s="4"/>
      <c r="J29" s="4"/>
      <c r="K29" s="4"/>
      <c r="L29" s="4"/>
    </row>
    <row r="30" spans="1:18" x14ac:dyDescent="0.3">
      <c r="A30" s="4"/>
      <c r="B30" s="18"/>
      <c r="C30" s="33" t="s">
        <v>48</v>
      </c>
      <c r="D30" s="32">
        <v>0.75</v>
      </c>
      <c r="E30" s="18" t="s">
        <v>45</v>
      </c>
      <c r="F30" s="4"/>
      <c r="G30" s="4"/>
      <c r="H30" s="4"/>
      <c r="I30" s="4"/>
      <c r="J30" s="4"/>
      <c r="K30" s="4"/>
      <c r="L30" s="4"/>
    </row>
    <row r="31" spans="1:18" x14ac:dyDescent="0.3">
      <c r="A31" s="2"/>
      <c r="B31" s="2"/>
      <c r="C31" s="2"/>
      <c r="D31" s="2"/>
      <c r="E31" s="2"/>
      <c r="F31" s="2"/>
      <c r="G31" s="2"/>
      <c r="H31" s="2"/>
      <c r="I31" s="2"/>
      <c r="J31" s="2"/>
      <c r="K31" s="2"/>
      <c r="L31" s="2"/>
    </row>
    <row r="32" spans="1:18" x14ac:dyDescent="0.3">
      <c r="A32" s="17" t="s">
        <v>4</v>
      </c>
      <c r="B32" s="4" t="s">
        <v>180</v>
      </c>
      <c r="C32" s="4"/>
      <c r="D32" s="4"/>
      <c r="E32" s="4"/>
      <c r="F32" s="4"/>
      <c r="G32" s="4"/>
      <c r="H32" s="4"/>
      <c r="I32" s="4"/>
      <c r="J32" s="4"/>
      <c r="K32" s="4"/>
      <c r="L32" s="4"/>
      <c r="M32" s="3"/>
      <c r="N32" s="3"/>
      <c r="O32" s="3"/>
      <c r="P32" s="3"/>
      <c r="Q32" s="3"/>
      <c r="R32" s="3"/>
    </row>
    <row r="33" spans="1:13" x14ac:dyDescent="0.3">
      <c r="A33" s="2"/>
      <c r="B33" s="2"/>
      <c r="C33" s="2"/>
      <c r="D33" s="2"/>
      <c r="E33" s="2"/>
      <c r="F33" s="2"/>
      <c r="G33" s="2"/>
      <c r="H33" s="2"/>
      <c r="I33" s="2"/>
      <c r="J33" s="2"/>
      <c r="K33" s="2"/>
      <c r="L33" s="2"/>
      <c r="M33" s="2"/>
    </row>
    <row r="34" spans="1:13" x14ac:dyDescent="0.3">
      <c r="A34" s="2" t="s">
        <v>1</v>
      </c>
      <c r="B34" s="2"/>
      <c r="C34" s="2"/>
      <c r="D34" s="2"/>
      <c r="E34" s="2"/>
      <c r="F34" s="2"/>
      <c r="G34" s="2"/>
      <c r="H34" s="2"/>
      <c r="I34" s="2"/>
      <c r="J34" s="2"/>
      <c r="K34" s="2"/>
      <c r="L34" s="2"/>
      <c r="M34" s="2"/>
    </row>
    <row r="35" spans="1:13" x14ac:dyDescent="0.3">
      <c r="A35" s="2"/>
      <c r="B35" s="2"/>
      <c r="C35" s="2"/>
      <c r="D35" s="2"/>
      <c r="E35" s="2"/>
      <c r="F35" s="2"/>
      <c r="G35" s="2"/>
      <c r="H35" s="2"/>
      <c r="I35" s="2"/>
      <c r="J35" s="2"/>
      <c r="K35" s="2"/>
      <c r="L35" s="2"/>
      <c r="M35" s="2"/>
    </row>
    <row r="36" spans="1:13" ht="62.4" x14ac:dyDescent="0.3">
      <c r="A36" s="70" t="str">
        <f t="shared" ref="A36:B41" si="0">B14</f>
        <v>Maturity Age in Months</v>
      </c>
      <c r="B36" s="70" t="str">
        <f t="shared" si="0"/>
        <v>Reported Age-to Ultimate Development Factors</v>
      </c>
      <c r="C36" s="70" t="s">
        <v>214</v>
      </c>
      <c r="D36" s="70" t="s">
        <v>215</v>
      </c>
      <c r="E36" s="71"/>
      <c r="F36" s="2"/>
      <c r="G36" s="2"/>
      <c r="H36" s="2"/>
      <c r="I36" s="2"/>
      <c r="J36" s="2"/>
      <c r="K36" s="2"/>
      <c r="L36" s="2"/>
      <c r="M36" s="2"/>
    </row>
    <row r="37" spans="1:13" x14ac:dyDescent="0.3">
      <c r="A37" s="72">
        <f t="shared" si="0"/>
        <v>12</v>
      </c>
      <c r="B37" s="73">
        <f t="shared" si="0"/>
        <v>2.5649999999999999</v>
      </c>
      <c r="C37" s="74">
        <f>1/B37</f>
        <v>0.38986354775828463</v>
      </c>
      <c r="D37" s="75">
        <f>C37</f>
        <v>0.38986354775828463</v>
      </c>
      <c r="E37" s="71"/>
      <c r="F37" s="2"/>
      <c r="G37" s="2"/>
      <c r="H37" s="2"/>
      <c r="I37" s="2"/>
      <c r="J37" s="2"/>
      <c r="K37" s="2"/>
      <c r="L37" s="2"/>
      <c r="M37" s="2"/>
    </row>
    <row r="38" spans="1:13" x14ac:dyDescent="0.3">
      <c r="A38" s="72">
        <f t="shared" si="0"/>
        <v>24</v>
      </c>
      <c r="B38" s="73">
        <f t="shared" si="0"/>
        <v>1.5820000000000001</v>
      </c>
      <c r="C38" s="74">
        <f t="shared" ref="C38:C41" si="1">1/B38</f>
        <v>0.63211125158027814</v>
      </c>
      <c r="D38" s="75">
        <f>C38-C37</f>
        <v>0.24224770382199351</v>
      </c>
      <c r="E38" s="71"/>
      <c r="F38" s="2"/>
      <c r="G38" s="2"/>
      <c r="H38" s="2"/>
      <c r="I38" s="2"/>
      <c r="J38" s="2"/>
      <c r="K38" s="2"/>
      <c r="L38" s="2"/>
      <c r="M38" s="2"/>
    </row>
    <row r="39" spans="1:13" x14ac:dyDescent="0.3">
      <c r="A39" s="72">
        <f t="shared" si="0"/>
        <v>36</v>
      </c>
      <c r="B39" s="73">
        <f t="shared" si="0"/>
        <v>1.1870000000000001</v>
      </c>
      <c r="C39" s="74">
        <f t="shared" si="1"/>
        <v>0.84245998315080028</v>
      </c>
      <c r="D39" s="75">
        <f t="shared" ref="D39:D41" si="2">C39-C38</f>
        <v>0.21034873157052214</v>
      </c>
      <c r="E39" s="71"/>
      <c r="F39" s="2"/>
      <c r="G39" s="2"/>
      <c r="H39" s="2"/>
      <c r="I39" s="2"/>
      <c r="J39" s="2"/>
      <c r="K39" s="2"/>
      <c r="L39" s="2"/>
      <c r="M39" s="2"/>
    </row>
    <row r="40" spans="1:13" x14ac:dyDescent="0.3">
      <c r="A40" s="72">
        <f t="shared" si="0"/>
        <v>48</v>
      </c>
      <c r="B40" s="73">
        <f t="shared" si="0"/>
        <v>1.0680000000000001</v>
      </c>
      <c r="C40" s="74">
        <f t="shared" si="1"/>
        <v>0.93632958801498123</v>
      </c>
      <c r="D40" s="75">
        <f t="shared" si="2"/>
        <v>9.3869604864180944E-2</v>
      </c>
      <c r="E40" s="71"/>
      <c r="F40" s="2"/>
      <c r="G40" s="2"/>
      <c r="H40" s="2"/>
      <c r="I40" s="2"/>
      <c r="J40" s="2"/>
      <c r="K40" s="2"/>
      <c r="L40" s="2"/>
      <c r="M40" s="2"/>
    </row>
    <row r="41" spans="1:13" x14ac:dyDescent="0.3">
      <c r="A41" s="72">
        <f t="shared" si="0"/>
        <v>60</v>
      </c>
      <c r="B41" s="73">
        <f t="shared" si="0"/>
        <v>1</v>
      </c>
      <c r="C41" s="74">
        <f t="shared" si="1"/>
        <v>1</v>
      </c>
      <c r="D41" s="75">
        <f t="shared" si="2"/>
        <v>6.3670411985018771E-2</v>
      </c>
      <c r="E41" s="71"/>
      <c r="F41" s="2"/>
      <c r="G41" s="2"/>
      <c r="H41" s="2"/>
      <c r="I41" s="2"/>
      <c r="J41" s="2"/>
      <c r="K41" s="2"/>
      <c r="L41" s="2"/>
      <c r="M41" s="2"/>
    </row>
    <row r="42" spans="1:13" x14ac:dyDescent="0.3">
      <c r="A42" s="57"/>
      <c r="B42" s="57"/>
      <c r="C42" s="68"/>
      <c r="D42" s="69"/>
      <c r="E42" s="57"/>
      <c r="F42" s="2"/>
      <c r="G42" s="2"/>
      <c r="H42" s="2"/>
      <c r="I42" s="2"/>
      <c r="J42" s="2"/>
      <c r="K42" s="2"/>
      <c r="L42" s="2"/>
      <c r="M42" s="2"/>
    </row>
    <row r="43" spans="1:13" ht="46.8" x14ac:dyDescent="0.3">
      <c r="A43" s="70" t="str">
        <f t="shared" ref="A43:A49" si="3">B6</f>
        <v>Report Year</v>
      </c>
      <c r="B43" s="70" t="str">
        <f t="shared" ref="B43:B49" si="4">D6</f>
        <v>Estimated Ultimate Claims</v>
      </c>
      <c r="C43" s="70" t="s">
        <v>231</v>
      </c>
      <c r="D43" s="70" t="s">
        <v>216</v>
      </c>
      <c r="E43" s="70" t="s">
        <v>217</v>
      </c>
      <c r="F43" s="2"/>
      <c r="G43" s="2"/>
      <c r="H43" s="2"/>
      <c r="I43" s="2"/>
      <c r="J43" s="2"/>
      <c r="K43" s="2"/>
      <c r="L43" s="2"/>
      <c r="M43" s="2"/>
    </row>
    <row r="44" spans="1:13" x14ac:dyDescent="0.3">
      <c r="A44" s="72">
        <f t="shared" si="3"/>
        <v>2020</v>
      </c>
      <c r="B44" s="76">
        <f t="shared" si="4"/>
        <v>4148980</v>
      </c>
      <c r="C44" s="71"/>
      <c r="D44" s="71"/>
      <c r="E44" s="76"/>
      <c r="F44" s="2"/>
      <c r="G44" s="2"/>
      <c r="H44" s="2"/>
      <c r="I44" s="2"/>
      <c r="J44" s="2"/>
      <c r="K44" s="2"/>
      <c r="L44" s="2"/>
      <c r="M44" s="2"/>
    </row>
    <row r="45" spans="1:13" x14ac:dyDescent="0.3">
      <c r="A45" s="72">
        <f t="shared" si="3"/>
        <v>2021</v>
      </c>
      <c r="B45" s="76">
        <f t="shared" si="4"/>
        <v>4615322</v>
      </c>
      <c r="C45" s="72" t="s">
        <v>218</v>
      </c>
      <c r="D45" s="75">
        <f>D41</f>
        <v>6.3670411985018771E-2</v>
      </c>
      <c r="E45" s="76">
        <f>B45*D45</f>
        <v>293859.45318352082</v>
      </c>
      <c r="F45" s="2"/>
      <c r="G45" s="2"/>
      <c r="H45" s="2"/>
      <c r="I45" s="2"/>
      <c r="J45" s="2"/>
      <c r="K45" s="2"/>
      <c r="L45" s="2"/>
      <c r="M45" s="2"/>
    </row>
    <row r="46" spans="1:13" x14ac:dyDescent="0.3">
      <c r="A46" s="72">
        <f t="shared" si="3"/>
        <v>2022</v>
      </c>
      <c r="B46" s="76">
        <f t="shared" si="4"/>
        <v>5195342</v>
      </c>
      <c r="C46" s="72" t="s">
        <v>219</v>
      </c>
      <c r="D46" s="75">
        <f>D40</f>
        <v>9.3869604864180944E-2</v>
      </c>
      <c r="E46" s="76">
        <f>B46*D46</f>
        <v>487684.70067428355</v>
      </c>
      <c r="F46" s="2"/>
      <c r="G46" s="2"/>
      <c r="H46" s="2"/>
      <c r="I46" s="2"/>
      <c r="J46" s="2"/>
      <c r="K46" s="2"/>
      <c r="L46" s="2"/>
      <c r="M46" s="2"/>
    </row>
    <row r="47" spans="1:13" x14ac:dyDescent="0.3">
      <c r="A47" s="72">
        <f t="shared" si="3"/>
        <v>2023</v>
      </c>
      <c r="B47" s="76">
        <f t="shared" si="4"/>
        <v>5678556</v>
      </c>
      <c r="C47" s="72" t="s">
        <v>220</v>
      </c>
      <c r="D47" s="75">
        <f>D39</f>
        <v>0.21034873157052214</v>
      </c>
      <c r="E47" s="76">
        <f>B47*D47</f>
        <v>1194477.051752178</v>
      </c>
      <c r="F47" s="2"/>
      <c r="G47" s="2"/>
      <c r="H47" s="2"/>
      <c r="I47" s="2"/>
      <c r="J47" s="2"/>
      <c r="K47" s="2"/>
      <c r="L47" s="2"/>
      <c r="M47" s="2"/>
    </row>
    <row r="48" spans="1:13" x14ac:dyDescent="0.3">
      <c r="A48" s="72">
        <f t="shared" si="3"/>
        <v>2024</v>
      </c>
      <c r="B48" s="76">
        <f t="shared" si="4"/>
        <v>6405964</v>
      </c>
      <c r="C48" s="72" t="s">
        <v>221</v>
      </c>
      <c r="D48" s="75">
        <f>D38</f>
        <v>0.24224770382199351</v>
      </c>
      <c r="E48" s="76">
        <f>B48*D48</f>
        <v>1551830.0697663529</v>
      </c>
      <c r="F48" s="2"/>
      <c r="G48" s="2"/>
      <c r="H48" s="2"/>
      <c r="I48" s="2"/>
      <c r="J48" s="2"/>
      <c r="K48" s="2"/>
      <c r="L48" s="2"/>
      <c r="M48" s="2"/>
    </row>
    <row r="49" spans="1:13" x14ac:dyDescent="0.3">
      <c r="A49" s="77">
        <f t="shared" si="3"/>
        <v>2025</v>
      </c>
      <c r="B49" s="78">
        <f t="shared" si="4"/>
        <v>7265714</v>
      </c>
      <c r="C49" s="77" t="s">
        <v>222</v>
      </c>
      <c r="D49" s="79">
        <f>D37</f>
        <v>0.38986354775828463</v>
      </c>
      <c r="E49" s="78">
        <f>B49*D49</f>
        <v>2832637.0370370373</v>
      </c>
      <c r="F49" s="2"/>
      <c r="G49" s="2"/>
      <c r="H49" s="2"/>
      <c r="I49" s="2"/>
      <c r="J49" s="2"/>
      <c r="K49" s="2"/>
      <c r="L49" s="2"/>
      <c r="M49" s="2"/>
    </row>
    <row r="50" spans="1:13" x14ac:dyDescent="0.3">
      <c r="A50" s="72" t="s">
        <v>139</v>
      </c>
      <c r="B50" s="76"/>
      <c r="C50" s="71"/>
      <c r="D50" s="71"/>
      <c r="E50" s="76">
        <f>SUM(E44:E49)</f>
        <v>6360488.3124133721</v>
      </c>
      <c r="F50" s="2"/>
      <c r="G50" s="2"/>
      <c r="H50" s="2"/>
      <c r="I50" s="2"/>
      <c r="J50" s="2"/>
      <c r="K50" s="2"/>
      <c r="L50" s="2"/>
      <c r="M50" s="2"/>
    </row>
    <row r="51" spans="1:13" x14ac:dyDescent="0.3">
      <c r="M51" s="3"/>
    </row>
    <row r="52" spans="1:13" x14ac:dyDescent="0.3">
      <c r="A52" s="17" t="s">
        <v>5</v>
      </c>
      <c r="B52" s="163" t="s">
        <v>49</v>
      </c>
      <c r="C52" s="163"/>
      <c r="D52" s="163"/>
      <c r="E52" s="163"/>
      <c r="F52" s="163"/>
      <c r="G52" s="163"/>
      <c r="H52" s="163"/>
      <c r="I52" s="163"/>
      <c r="J52" s="163"/>
      <c r="K52" s="163"/>
      <c r="L52" s="163"/>
    </row>
    <row r="53" spans="1:13" x14ac:dyDescent="0.3">
      <c r="A53" s="17"/>
      <c r="B53" s="163"/>
      <c r="C53" s="163"/>
      <c r="D53" s="163"/>
      <c r="E53" s="163"/>
      <c r="F53" s="163"/>
      <c r="G53" s="163"/>
      <c r="H53" s="163"/>
      <c r="I53" s="163"/>
      <c r="J53" s="163"/>
      <c r="K53" s="163"/>
      <c r="L53" s="163"/>
    </row>
    <row r="54" spans="1:13" x14ac:dyDescent="0.3">
      <c r="A54" s="2"/>
      <c r="B54" s="2"/>
      <c r="C54" s="2"/>
      <c r="D54" s="2"/>
      <c r="E54" s="2"/>
      <c r="F54" s="2"/>
      <c r="G54" s="2"/>
      <c r="H54" s="2"/>
      <c r="I54" s="2"/>
      <c r="J54" s="2"/>
      <c r="K54" s="2"/>
      <c r="L54" s="2"/>
    </row>
    <row r="55" spans="1:13" x14ac:dyDescent="0.3">
      <c r="A55" s="2" t="s">
        <v>1</v>
      </c>
      <c r="B55" s="2"/>
      <c r="C55" s="2"/>
      <c r="D55" s="2"/>
      <c r="E55" s="2"/>
      <c r="F55" s="2"/>
      <c r="G55" s="2"/>
      <c r="H55" s="2"/>
      <c r="I55" s="2"/>
      <c r="J55" s="2"/>
      <c r="K55" s="2"/>
      <c r="L55" s="2"/>
    </row>
    <row r="56" spans="1:13" x14ac:dyDescent="0.3">
      <c r="A56" s="2"/>
      <c r="B56" s="159"/>
      <c r="C56" s="159"/>
      <c r="D56" s="159"/>
      <c r="E56" s="159"/>
      <c r="F56" s="2"/>
      <c r="G56" s="2"/>
      <c r="H56" s="2"/>
      <c r="I56" s="2"/>
      <c r="J56" s="2"/>
      <c r="K56" s="2"/>
      <c r="L56" s="2"/>
    </row>
    <row r="57" spans="1:13" ht="46.8" x14ac:dyDescent="0.3">
      <c r="A57" s="70" t="str">
        <f t="shared" ref="A57:D60" si="5">B21</f>
        <v>Calendar Year</v>
      </c>
      <c r="B57" s="70" t="str">
        <f t="shared" si="5"/>
        <v>Paid ULAE</v>
      </c>
      <c r="C57" s="70" t="str">
        <f t="shared" si="5"/>
        <v>Expected Paid Claims</v>
      </c>
      <c r="D57" s="70" t="str">
        <f t="shared" si="5"/>
        <v>Expected Reported Claims</v>
      </c>
      <c r="E57" s="70" t="s">
        <v>223</v>
      </c>
      <c r="F57"/>
      <c r="G57" s="2"/>
      <c r="H57" s="2"/>
      <c r="I57" s="2"/>
      <c r="J57" s="2"/>
      <c r="K57" s="2"/>
      <c r="L57" s="2"/>
    </row>
    <row r="58" spans="1:13" x14ac:dyDescent="0.3">
      <c r="A58" s="72">
        <f t="shared" si="5"/>
        <v>2022</v>
      </c>
      <c r="B58" s="76">
        <f t="shared" si="5"/>
        <v>362500</v>
      </c>
      <c r="C58" s="76">
        <f t="shared" si="5"/>
        <v>4475312</v>
      </c>
      <c r="D58" s="76">
        <f t="shared" si="5"/>
        <v>4661511</v>
      </c>
      <c r="E58" s="74">
        <f>B58/AVERAGE(C58:D58)</f>
        <v>7.9349244261380569E-2</v>
      </c>
      <c r="F58"/>
      <c r="G58" s="2"/>
      <c r="H58" s="2"/>
      <c r="I58" s="2"/>
      <c r="J58" s="2"/>
      <c r="K58" s="2"/>
      <c r="L58" s="2"/>
    </row>
    <row r="59" spans="1:13" x14ac:dyDescent="0.3">
      <c r="A59" s="72">
        <f t="shared" si="5"/>
        <v>2023</v>
      </c>
      <c r="B59" s="76">
        <f t="shared" si="5"/>
        <v>412588</v>
      </c>
      <c r="C59" s="76">
        <f t="shared" si="5"/>
        <v>4960917</v>
      </c>
      <c r="D59" s="76">
        <f t="shared" si="5"/>
        <v>5152178</v>
      </c>
      <c r="E59" s="74">
        <f t="shared" ref="E59:E62" si="6">B59/AVERAGE(C59:D59)</f>
        <v>8.1594803569035992E-2</v>
      </c>
      <c r="F59"/>
      <c r="G59" s="2"/>
      <c r="H59" s="2"/>
      <c r="I59" s="2"/>
      <c r="J59" s="2"/>
      <c r="K59" s="2"/>
      <c r="L59" s="2"/>
    </row>
    <row r="60" spans="1:13" x14ac:dyDescent="0.3">
      <c r="A60" s="72">
        <f t="shared" si="5"/>
        <v>2024</v>
      </c>
      <c r="B60" s="76">
        <f t="shared" si="5"/>
        <v>467712</v>
      </c>
      <c r="C60" s="76">
        <f t="shared" si="5"/>
        <v>5529080</v>
      </c>
      <c r="D60" s="76">
        <f t="shared" si="5"/>
        <v>5663308</v>
      </c>
      <c r="E60" s="74">
        <f t="shared" si="6"/>
        <v>8.35768023767582E-2</v>
      </c>
      <c r="F60"/>
      <c r="G60" s="2"/>
      <c r="H60" s="2"/>
      <c r="I60" s="2"/>
      <c r="J60" s="2"/>
      <c r="K60" s="2"/>
      <c r="L60" s="2"/>
    </row>
    <row r="61" spans="1:13" ht="16.2" x14ac:dyDescent="0.35">
      <c r="A61" s="77">
        <f>B25</f>
        <v>2025</v>
      </c>
      <c r="B61" s="78">
        <f>C25</f>
        <v>531305</v>
      </c>
      <c r="C61" s="78">
        <f>D25</f>
        <v>6196672</v>
      </c>
      <c r="D61" s="80">
        <f>E50</f>
        <v>6360488.3124133721</v>
      </c>
      <c r="E61" s="81">
        <f t="shared" si="6"/>
        <v>8.4621839139025531E-2</v>
      </c>
      <c r="F61"/>
      <c r="G61" s="2"/>
      <c r="H61" s="2"/>
      <c r="I61" s="2"/>
      <c r="J61" s="2"/>
      <c r="K61" s="2"/>
      <c r="L61" s="2"/>
    </row>
    <row r="62" spans="1:13" x14ac:dyDescent="0.3">
      <c r="A62" s="72" t="s">
        <v>139</v>
      </c>
      <c r="B62" s="76">
        <f>SUM(B58:B61)</f>
        <v>1774105</v>
      </c>
      <c r="C62" s="76">
        <f t="shared" ref="C62:D62" si="7">SUM(C58:C61)</f>
        <v>21161981</v>
      </c>
      <c r="D62" s="76">
        <f t="shared" si="7"/>
        <v>21837485.312413372</v>
      </c>
      <c r="E62" s="74">
        <f t="shared" si="6"/>
        <v>8.2517535781035475E-2</v>
      </c>
      <c r="F62"/>
      <c r="G62" s="2"/>
      <c r="H62" s="2"/>
      <c r="I62" s="2"/>
      <c r="J62" s="2"/>
      <c r="K62" s="2"/>
      <c r="L62" s="2"/>
    </row>
    <row r="63" spans="1:13" x14ac:dyDescent="0.3">
      <c r="A63" s="2"/>
      <c r="B63" s="2"/>
      <c r="C63" s="2"/>
      <c r="F63"/>
      <c r="G63" s="2"/>
      <c r="H63" s="2"/>
      <c r="I63" s="2"/>
      <c r="J63" s="2"/>
      <c r="K63" s="2"/>
      <c r="L63" s="2"/>
    </row>
    <row r="64" spans="1:13" x14ac:dyDescent="0.3">
      <c r="A64" s="2"/>
      <c r="B64" s="2"/>
      <c r="C64" s="2"/>
      <c r="D64" s="2" t="s">
        <v>224</v>
      </c>
      <c r="E64" s="75">
        <f>AVERAGE(E59:E61)</f>
        <v>8.3264481694939899E-2</v>
      </c>
      <c r="F64" s="71"/>
      <c r="G64" s="2"/>
      <c r="H64" s="2"/>
      <c r="I64" s="2"/>
      <c r="J64" s="2"/>
      <c r="K64" s="2"/>
      <c r="L64" s="2"/>
    </row>
    <row r="65" spans="1:13" x14ac:dyDescent="0.3">
      <c r="A65" s="2"/>
      <c r="B65" s="2"/>
      <c r="C65" s="2"/>
      <c r="D65" s="2"/>
      <c r="E65" s="75"/>
      <c r="F65" s="71"/>
      <c r="G65" s="2"/>
      <c r="H65" s="2"/>
      <c r="I65" s="2"/>
      <c r="J65" s="2"/>
      <c r="K65" s="2"/>
      <c r="L65" s="2"/>
    </row>
    <row r="66" spans="1:13" x14ac:dyDescent="0.3">
      <c r="A66" s="2" t="s">
        <v>225</v>
      </c>
      <c r="B66" s="2"/>
      <c r="D66" s="2"/>
      <c r="E66" s="82">
        <f>E64</f>
        <v>8.3264481694939899E-2</v>
      </c>
      <c r="F66" s="71"/>
      <c r="G66" s="2"/>
      <c r="H66" s="2"/>
      <c r="I66" s="2"/>
      <c r="J66" s="2"/>
      <c r="K66" s="2"/>
      <c r="L66" s="2"/>
    </row>
    <row r="67" spans="1:13" x14ac:dyDescent="0.3">
      <c r="A67" s="2" t="s">
        <v>232</v>
      </c>
      <c r="B67" s="2"/>
      <c r="C67" s="2"/>
      <c r="D67" s="2"/>
      <c r="E67" s="2"/>
      <c r="F67" s="2"/>
      <c r="G67" s="2"/>
      <c r="H67" s="2"/>
      <c r="I67" s="2"/>
      <c r="J67" s="2"/>
      <c r="K67" s="2"/>
      <c r="L67" s="2"/>
    </row>
    <row r="68" spans="1:13" x14ac:dyDescent="0.3">
      <c r="A68" s="2"/>
      <c r="B68" s="2"/>
      <c r="C68" s="2"/>
      <c r="D68" s="2"/>
      <c r="E68" s="2"/>
      <c r="F68" s="2"/>
      <c r="G68" s="2"/>
      <c r="H68" s="2"/>
      <c r="I68" s="2"/>
      <c r="J68" s="2"/>
      <c r="K68" s="2"/>
      <c r="L68" s="2"/>
    </row>
    <row r="69" spans="1:13" x14ac:dyDescent="0.3">
      <c r="A69" s="2" t="s">
        <v>357</v>
      </c>
      <c r="B69" s="2"/>
      <c r="C69" s="2"/>
      <c r="D69" s="2"/>
      <c r="E69" s="2"/>
      <c r="F69" s="2"/>
      <c r="G69" s="2"/>
      <c r="H69" s="2"/>
      <c r="I69" s="2"/>
      <c r="J69" s="2"/>
      <c r="K69" s="2"/>
      <c r="L69" s="2"/>
    </row>
    <row r="70" spans="1:13" x14ac:dyDescent="0.3">
      <c r="A70" s="2" t="s">
        <v>225</v>
      </c>
      <c r="B70" s="2"/>
      <c r="D70" s="2"/>
      <c r="E70" s="82">
        <f>AVERAGE(E60:E61)</f>
        <v>8.4099320757891866E-2</v>
      </c>
      <c r="F70" s="2"/>
      <c r="G70" s="2"/>
      <c r="H70" s="2"/>
      <c r="I70" s="2"/>
      <c r="J70" s="2"/>
      <c r="K70" s="2"/>
      <c r="L70" s="2"/>
    </row>
    <row r="71" spans="1:13" x14ac:dyDescent="0.3">
      <c r="A71" s="2" t="s">
        <v>356</v>
      </c>
      <c r="B71" s="2"/>
      <c r="C71" s="2"/>
      <c r="D71" s="2"/>
      <c r="E71" s="2"/>
    </row>
    <row r="72" spans="1:13" x14ac:dyDescent="0.3">
      <c r="A72" s="2"/>
      <c r="B72" s="2"/>
      <c r="C72" s="2"/>
      <c r="D72" s="2"/>
      <c r="E72" s="2"/>
    </row>
    <row r="73" spans="1:13" x14ac:dyDescent="0.3">
      <c r="A73" s="17" t="s">
        <v>0</v>
      </c>
      <c r="B73" s="4" t="s">
        <v>181</v>
      </c>
      <c r="C73" s="4"/>
      <c r="D73" s="4"/>
      <c r="E73" s="4"/>
      <c r="F73" s="4"/>
      <c r="G73" s="4"/>
      <c r="H73" s="4"/>
      <c r="I73" s="4"/>
      <c r="J73" s="4"/>
      <c r="K73" s="4"/>
      <c r="L73" s="4"/>
    </row>
    <row r="74" spans="1:13" x14ac:dyDescent="0.3">
      <c r="A74" s="2"/>
      <c r="B74" s="2"/>
      <c r="C74" s="2"/>
      <c r="D74" s="2"/>
      <c r="E74" s="2"/>
      <c r="F74" s="2"/>
      <c r="G74" s="2"/>
      <c r="H74" s="2"/>
      <c r="I74" s="2"/>
      <c r="J74" s="2"/>
      <c r="K74" s="2"/>
      <c r="L74" s="2"/>
    </row>
    <row r="75" spans="1:13" x14ac:dyDescent="0.3">
      <c r="A75" s="2" t="s">
        <v>1</v>
      </c>
      <c r="B75" s="2"/>
      <c r="C75" s="2"/>
      <c r="D75" s="2"/>
      <c r="E75" s="2"/>
      <c r="F75" s="2"/>
      <c r="G75" s="2"/>
      <c r="H75" s="2"/>
      <c r="I75" s="2"/>
      <c r="J75" s="2"/>
      <c r="K75" s="2"/>
      <c r="L75" s="2"/>
    </row>
    <row r="76" spans="1:13" x14ac:dyDescent="0.3">
      <c r="A76" s="2"/>
      <c r="B76" s="2"/>
      <c r="C76" s="2"/>
      <c r="D76" s="2"/>
      <c r="E76" s="2"/>
      <c r="F76" s="2"/>
      <c r="G76" s="2"/>
      <c r="H76" s="2"/>
      <c r="I76" s="2"/>
      <c r="J76" s="2"/>
      <c r="K76" s="2"/>
      <c r="L76" s="2"/>
    </row>
    <row r="77" spans="1:13" x14ac:dyDescent="0.3">
      <c r="A77" s="1" t="s">
        <v>226</v>
      </c>
      <c r="D77" s="83">
        <f>E66*E27+D30*E66*E28</f>
        <v>767861.42818578205</v>
      </c>
      <c r="H77"/>
    </row>
    <row r="79" spans="1:13" x14ac:dyDescent="0.3">
      <c r="A79" s="4" t="s">
        <v>50</v>
      </c>
      <c r="B79" s="4"/>
      <c r="C79" s="4"/>
      <c r="D79" s="4"/>
      <c r="E79" s="4"/>
      <c r="F79" s="4"/>
      <c r="G79" s="4"/>
      <c r="H79" s="4"/>
      <c r="I79" s="4"/>
      <c r="J79" s="4"/>
      <c r="K79" s="4"/>
      <c r="L79" s="4"/>
      <c r="M79" s="2"/>
    </row>
    <row r="80" spans="1:13" x14ac:dyDescent="0.3">
      <c r="M80" s="2"/>
    </row>
    <row r="81" spans="1:12" x14ac:dyDescent="0.3">
      <c r="A81" s="17" t="s">
        <v>2</v>
      </c>
      <c r="B81" s="4" t="s">
        <v>188</v>
      </c>
      <c r="C81" s="4"/>
      <c r="D81" s="4"/>
      <c r="E81" s="4"/>
      <c r="F81" s="4"/>
      <c r="G81" s="4"/>
      <c r="H81" s="4"/>
      <c r="I81" s="4"/>
      <c r="J81" s="4"/>
      <c r="K81" s="4"/>
      <c r="L81" s="4"/>
    </row>
    <row r="82" spans="1:12" x14ac:dyDescent="0.3">
      <c r="A82" s="2"/>
      <c r="B82" s="2"/>
      <c r="C82" s="2"/>
      <c r="D82" s="2"/>
      <c r="E82" s="2"/>
      <c r="F82" s="2"/>
      <c r="G82" s="2"/>
      <c r="H82" s="2"/>
      <c r="I82" s="2"/>
      <c r="J82" s="2"/>
      <c r="K82" s="2"/>
      <c r="L82" s="2"/>
    </row>
    <row r="83" spans="1:12" x14ac:dyDescent="0.3">
      <c r="A83" s="2" t="s">
        <v>1</v>
      </c>
      <c r="B83" s="2"/>
      <c r="C83" s="2"/>
      <c r="D83" s="2"/>
      <c r="E83" s="2"/>
      <c r="F83" s="2"/>
      <c r="G83" s="2"/>
      <c r="H83" s="2"/>
      <c r="I83" s="2"/>
      <c r="J83" s="2"/>
      <c r="K83" s="2"/>
      <c r="L83" s="2"/>
    </row>
    <row r="85" spans="1:12" x14ac:dyDescent="0.3">
      <c r="A85" s="1" t="s">
        <v>227</v>
      </c>
    </row>
    <row r="86" spans="1:12" x14ac:dyDescent="0.3">
      <c r="A86" s="1" t="s">
        <v>228</v>
      </c>
    </row>
    <row r="87" spans="1:12" x14ac:dyDescent="0.3">
      <c r="A87" s="1" t="s">
        <v>229</v>
      </c>
    </row>
    <row r="88" spans="1:12" x14ac:dyDescent="0.3">
      <c r="A88" s="1" t="s">
        <v>230</v>
      </c>
    </row>
  </sheetData>
  <mergeCells count="1">
    <mergeCell ref="B52:L5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5ABE-F079-4EF1-9596-B16BE1DD7A26}">
  <dimension ref="A1:R38"/>
  <sheetViews>
    <sheetView zoomScaleNormal="100" workbookViewId="0"/>
  </sheetViews>
  <sheetFormatPr defaultRowHeight="15.6" x14ac:dyDescent="0.3"/>
  <cols>
    <col min="1" max="12" width="10.77734375" style="1" customWidth="1"/>
    <col min="13" max="16384" width="8.88671875" style="1"/>
  </cols>
  <sheetData>
    <row r="1" spans="1:18" ht="17.399999999999999" x14ac:dyDescent="0.3">
      <c r="A1" s="14" t="s">
        <v>51</v>
      </c>
      <c r="B1" s="4"/>
      <c r="C1" s="4" t="s">
        <v>52</v>
      </c>
      <c r="D1" s="4"/>
      <c r="E1" s="4"/>
      <c r="F1" s="4"/>
      <c r="G1" s="4"/>
      <c r="H1" s="4"/>
      <c r="I1" s="4"/>
      <c r="J1" s="4"/>
      <c r="K1" s="4"/>
      <c r="L1" s="15"/>
    </row>
    <row r="2" spans="1:18" x14ac:dyDescent="0.3">
      <c r="A2" s="4"/>
      <c r="B2" s="4"/>
      <c r="C2" s="4"/>
      <c r="D2" s="4"/>
      <c r="E2" s="4"/>
      <c r="F2" s="4"/>
      <c r="G2" s="4"/>
      <c r="H2" s="4"/>
      <c r="I2" s="4"/>
      <c r="J2" s="4"/>
      <c r="K2" s="4"/>
      <c r="L2" s="15"/>
    </row>
    <row r="3" spans="1:18" x14ac:dyDescent="0.3">
      <c r="A3" s="18" t="s">
        <v>53</v>
      </c>
      <c r="B3" s="4"/>
      <c r="C3" s="4"/>
      <c r="D3" s="4"/>
      <c r="E3" s="4"/>
      <c r="F3" s="4"/>
      <c r="G3" s="4"/>
      <c r="H3" s="4"/>
      <c r="I3" s="4"/>
      <c r="J3" s="4"/>
      <c r="K3" s="4"/>
      <c r="L3" s="15"/>
    </row>
    <row r="4" spans="1:18" x14ac:dyDescent="0.3">
      <c r="A4" s="18"/>
      <c r="B4" s="4"/>
      <c r="C4" s="4"/>
      <c r="D4" s="4"/>
      <c r="E4" s="4"/>
      <c r="F4" s="4"/>
      <c r="G4" s="4"/>
      <c r="H4" s="4"/>
      <c r="I4" s="4"/>
      <c r="J4" s="4"/>
      <c r="K4" s="4"/>
      <c r="L4" s="4"/>
    </row>
    <row r="5" spans="1:18" x14ac:dyDescent="0.3">
      <c r="A5" s="4" t="s">
        <v>54</v>
      </c>
      <c r="B5" s="4"/>
      <c r="C5" s="4"/>
      <c r="D5" s="4"/>
      <c r="E5" s="4"/>
      <c r="F5" s="4"/>
      <c r="G5" s="4"/>
      <c r="H5" s="4"/>
      <c r="I5" s="4"/>
      <c r="J5" s="4"/>
      <c r="K5" s="4"/>
      <c r="L5" s="4"/>
    </row>
    <row r="6" spans="1:18" x14ac:dyDescent="0.3">
      <c r="A6" s="2"/>
      <c r="B6" s="2"/>
      <c r="C6" s="2"/>
      <c r="D6" s="2"/>
      <c r="E6" s="2"/>
      <c r="F6" s="2"/>
      <c r="G6" s="2"/>
      <c r="H6" s="2"/>
      <c r="I6" s="2"/>
      <c r="J6" s="2"/>
      <c r="K6" s="2"/>
      <c r="L6" s="2"/>
    </row>
    <row r="7" spans="1:18" x14ac:dyDescent="0.3">
      <c r="A7" s="17" t="s">
        <v>4</v>
      </c>
      <c r="B7" s="4" t="s">
        <v>55</v>
      </c>
      <c r="C7" s="4"/>
      <c r="D7" s="4"/>
      <c r="E7" s="4"/>
      <c r="F7" s="4"/>
      <c r="G7" s="4"/>
      <c r="H7" s="4"/>
      <c r="I7" s="4"/>
      <c r="J7" s="4"/>
      <c r="K7" s="4"/>
      <c r="L7" s="4"/>
      <c r="M7" s="3"/>
      <c r="N7" s="3"/>
      <c r="O7" s="3"/>
      <c r="P7" s="3"/>
      <c r="Q7" s="3"/>
      <c r="R7" s="3"/>
    </row>
    <row r="8" spans="1:18" x14ac:dyDescent="0.3">
      <c r="A8" s="2"/>
      <c r="B8" s="2"/>
      <c r="C8" s="2"/>
      <c r="D8" s="2"/>
      <c r="E8" s="2"/>
      <c r="F8" s="2"/>
      <c r="G8" s="2"/>
      <c r="H8" s="2"/>
      <c r="I8" s="2"/>
      <c r="J8" s="2"/>
      <c r="K8" s="2"/>
      <c r="L8" s="2"/>
      <c r="M8" s="2"/>
    </row>
    <row r="9" spans="1:18" x14ac:dyDescent="0.3">
      <c r="A9" s="2" t="s">
        <v>1</v>
      </c>
      <c r="B9" s="2"/>
      <c r="C9" s="2"/>
      <c r="D9" s="2"/>
      <c r="E9" s="2"/>
      <c r="F9" s="2"/>
      <c r="G9" s="2"/>
      <c r="H9" s="2"/>
      <c r="I9" s="2"/>
      <c r="J9" s="2"/>
      <c r="K9" s="2"/>
      <c r="L9" s="2"/>
      <c r="M9" s="2"/>
    </row>
    <row r="10" spans="1:18" x14ac:dyDescent="0.3">
      <c r="A10" s="2"/>
      <c r="B10" s="2"/>
      <c r="C10" s="2"/>
      <c r="D10" s="2"/>
      <c r="E10" s="2"/>
      <c r="F10" s="2"/>
      <c r="G10" s="2"/>
      <c r="H10" s="2"/>
      <c r="I10" s="2"/>
      <c r="J10" s="2"/>
      <c r="K10" s="2"/>
      <c r="L10" s="2"/>
      <c r="M10" s="2"/>
    </row>
    <row r="11" spans="1:18" x14ac:dyDescent="0.3">
      <c r="A11" s="1" t="s">
        <v>383</v>
      </c>
      <c r="M11" s="3"/>
    </row>
    <row r="12" spans="1:18" x14ac:dyDescent="0.3">
      <c r="A12" s="1" t="s">
        <v>384</v>
      </c>
      <c r="M12" s="3"/>
    </row>
    <row r="13" spans="1:18" x14ac:dyDescent="0.3">
      <c r="M13" s="3"/>
    </row>
    <row r="14" spans="1:18" x14ac:dyDescent="0.3">
      <c r="A14" s="17" t="s">
        <v>5</v>
      </c>
      <c r="B14" s="4" t="s">
        <v>57</v>
      </c>
      <c r="C14" s="4"/>
      <c r="D14" s="4"/>
      <c r="E14" s="4"/>
      <c r="F14" s="4"/>
      <c r="G14" s="4"/>
      <c r="H14" s="4"/>
      <c r="I14" s="4"/>
      <c r="J14" s="4"/>
      <c r="K14" s="4"/>
      <c r="L14" s="4"/>
    </row>
    <row r="15" spans="1:18" x14ac:dyDescent="0.3">
      <c r="A15" s="2"/>
      <c r="B15" s="2"/>
      <c r="C15" s="2"/>
      <c r="D15" s="2"/>
      <c r="E15" s="2"/>
      <c r="F15" s="2"/>
      <c r="G15" s="2"/>
      <c r="H15" s="2"/>
      <c r="I15" s="2"/>
      <c r="J15" s="2"/>
      <c r="K15" s="2"/>
      <c r="L15" s="2"/>
    </row>
    <row r="16" spans="1:18" x14ac:dyDescent="0.3">
      <c r="A16" s="2" t="s">
        <v>1</v>
      </c>
      <c r="B16" s="2"/>
      <c r="C16" s="2"/>
      <c r="D16" s="2"/>
      <c r="E16" s="2"/>
      <c r="F16" s="2"/>
      <c r="G16" s="2"/>
      <c r="H16" s="2"/>
      <c r="I16" s="2"/>
      <c r="J16" s="2"/>
      <c r="K16" s="2"/>
      <c r="L16" s="2"/>
    </row>
    <row r="17" spans="1:13" x14ac:dyDescent="0.3">
      <c r="A17" s="2"/>
      <c r="B17" s="2"/>
      <c r="C17" s="2"/>
      <c r="D17" s="2"/>
      <c r="E17" s="2"/>
      <c r="F17" s="2"/>
      <c r="G17" s="2"/>
      <c r="H17" s="2"/>
      <c r="I17" s="2"/>
      <c r="J17" s="2"/>
      <c r="K17" s="2"/>
      <c r="L17" s="2"/>
    </row>
    <row r="18" spans="1:13" x14ac:dyDescent="0.3">
      <c r="A18" s="1" t="s">
        <v>233</v>
      </c>
      <c r="B18" s="2"/>
      <c r="C18" s="2"/>
      <c r="D18" s="2"/>
      <c r="E18" s="2"/>
      <c r="F18" s="2"/>
      <c r="G18" s="2"/>
      <c r="H18" s="2"/>
      <c r="I18" s="2"/>
      <c r="J18" s="2"/>
      <c r="K18" s="2"/>
      <c r="L18" s="2"/>
    </row>
    <row r="19" spans="1:13" x14ac:dyDescent="0.3">
      <c r="A19" s="1" t="s">
        <v>234</v>
      </c>
      <c r="B19" s="2"/>
      <c r="C19" s="2"/>
      <c r="D19" s="2"/>
      <c r="E19" s="2"/>
      <c r="F19" s="2"/>
      <c r="G19" s="2"/>
      <c r="H19" s="2"/>
      <c r="I19" s="2"/>
      <c r="J19" s="2"/>
      <c r="K19" s="2"/>
      <c r="L19" s="2"/>
    </row>
    <row r="20" spans="1:13" x14ac:dyDescent="0.3">
      <c r="A20" s="1" t="s">
        <v>235</v>
      </c>
      <c r="B20" s="2"/>
      <c r="C20" s="2"/>
      <c r="D20" s="2"/>
      <c r="E20" s="2"/>
      <c r="F20" s="2"/>
      <c r="G20" s="2"/>
      <c r="H20" s="2"/>
      <c r="I20" s="2"/>
      <c r="J20" s="2"/>
      <c r="K20" s="2"/>
      <c r="L20" s="2"/>
    </row>
    <row r="21" spans="1:13" x14ac:dyDescent="0.3">
      <c r="A21" s="1" t="s">
        <v>236</v>
      </c>
      <c r="M21" s="2"/>
    </row>
    <row r="22" spans="1:13" x14ac:dyDescent="0.3">
      <c r="A22" s="1" t="s">
        <v>237</v>
      </c>
    </row>
    <row r="23" spans="1:13" x14ac:dyDescent="0.3">
      <c r="A23" s="147" t="s">
        <v>385</v>
      </c>
    </row>
    <row r="24" spans="1:13" x14ac:dyDescent="0.3">
      <c r="A24" s="147" t="s">
        <v>386</v>
      </c>
    </row>
    <row r="26" spans="1:13" x14ac:dyDescent="0.3">
      <c r="A26" s="17" t="s">
        <v>0</v>
      </c>
      <c r="B26" s="4" t="s">
        <v>56</v>
      </c>
      <c r="C26" s="4"/>
      <c r="D26" s="4"/>
      <c r="E26" s="4"/>
      <c r="F26" s="4"/>
      <c r="G26" s="4"/>
      <c r="H26" s="4"/>
      <c r="I26" s="4"/>
      <c r="J26" s="4"/>
      <c r="K26" s="4"/>
      <c r="L26" s="4"/>
    </row>
    <row r="27" spans="1:13" x14ac:dyDescent="0.3">
      <c r="A27" s="2"/>
      <c r="B27" s="2"/>
      <c r="C27" s="2"/>
      <c r="D27" s="2"/>
      <c r="E27" s="2"/>
      <c r="F27" s="2"/>
      <c r="G27" s="2"/>
      <c r="H27" s="2"/>
      <c r="I27" s="2"/>
      <c r="J27" s="2"/>
      <c r="K27" s="2"/>
      <c r="L27" s="2"/>
    </row>
    <row r="28" spans="1:13" x14ac:dyDescent="0.3">
      <c r="A28" s="2" t="s">
        <v>1</v>
      </c>
      <c r="B28" s="2"/>
      <c r="C28" s="2"/>
      <c r="D28" s="2"/>
      <c r="E28" s="2"/>
      <c r="F28" s="2"/>
      <c r="G28" s="2"/>
      <c r="H28" s="2"/>
      <c r="I28" s="2"/>
      <c r="J28" s="2"/>
      <c r="K28" s="2"/>
      <c r="L28" s="2"/>
    </row>
    <row r="29" spans="1:13" x14ac:dyDescent="0.3">
      <c r="A29" s="2"/>
      <c r="B29" s="2"/>
      <c r="C29" s="2"/>
      <c r="D29" s="2"/>
      <c r="E29" s="2"/>
      <c r="F29" s="2"/>
      <c r="G29" s="2"/>
      <c r="H29" s="2"/>
      <c r="I29" s="2"/>
      <c r="J29" s="2"/>
      <c r="K29" s="2"/>
      <c r="L29" s="2"/>
    </row>
    <row r="30" spans="1:13" x14ac:dyDescent="0.3">
      <c r="A30" s="1" t="s">
        <v>387</v>
      </c>
      <c r="B30" s="2"/>
      <c r="C30" s="2"/>
      <c r="D30" s="2"/>
      <c r="E30" s="2"/>
      <c r="F30" s="2"/>
      <c r="G30" s="2"/>
      <c r="H30" s="2"/>
      <c r="I30" s="2"/>
      <c r="J30" s="2"/>
      <c r="K30" s="2"/>
      <c r="L30" s="2"/>
    </row>
    <row r="31" spans="1:13" x14ac:dyDescent="0.3">
      <c r="A31" s="1" t="s">
        <v>388</v>
      </c>
      <c r="B31" s="2"/>
      <c r="C31" s="2"/>
      <c r="D31" s="2"/>
      <c r="E31" s="2"/>
      <c r="F31" s="2"/>
      <c r="G31" s="2"/>
      <c r="H31" s="2"/>
      <c r="I31" s="2"/>
      <c r="J31" s="2"/>
      <c r="K31" s="2"/>
      <c r="L31" s="2"/>
    </row>
    <row r="32" spans="1:13" x14ac:dyDescent="0.3">
      <c r="M32" s="2"/>
    </row>
    <row r="33" spans="1:12" x14ac:dyDescent="0.3">
      <c r="A33" s="17" t="s">
        <v>2</v>
      </c>
      <c r="B33" s="4" t="s">
        <v>58</v>
      </c>
      <c r="C33" s="4"/>
      <c r="D33" s="4"/>
      <c r="E33" s="4"/>
      <c r="F33" s="4"/>
      <c r="G33" s="4"/>
      <c r="H33" s="4"/>
      <c r="I33" s="4"/>
      <c r="J33" s="4"/>
      <c r="K33" s="4"/>
      <c r="L33" s="4"/>
    </row>
    <row r="34" spans="1:12" x14ac:dyDescent="0.3">
      <c r="A34" s="2"/>
      <c r="B34" s="2"/>
      <c r="C34" s="2"/>
      <c r="D34" s="2"/>
      <c r="E34" s="2"/>
      <c r="F34" s="2"/>
      <c r="G34" s="2"/>
      <c r="H34" s="2"/>
      <c r="I34" s="2"/>
      <c r="J34" s="2"/>
      <c r="K34" s="2"/>
      <c r="L34" s="2"/>
    </row>
    <row r="35" spans="1:12" x14ac:dyDescent="0.3">
      <c r="A35" s="2" t="s">
        <v>1</v>
      </c>
      <c r="B35" s="2"/>
      <c r="C35" s="2"/>
      <c r="D35" s="2"/>
      <c r="E35" s="2"/>
      <c r="F35" s="2"/>
      <c r="G35" s="2"/>
      <c r="H35" s="2"/>
      <c r="I35" s="2"/>
      <c r="J35" s="2"/>
      <c r="K35" s="2"/>
      <c r="L35" s="2"/>
    </row>
    <row r="36" spans="1:12" x14ac:dyDescent="0.3">
      <c r="A36" s="2"/>
      <c r="B36" s="2"/>
      <c r="C36" s="2"/>
      <c r="D36" s="2"/>
      <c r="E36" s="2"/>
      <c r="F36" s="2"/>
      <c r="G36" s="2"/>
      <c r="H36" s="2"/>
      <c r="I36" s="2"/>
      <c r="J36" s="2"/>
      <c r="K36" s="2"/>
      <c r="L36" s="2"/>
    </row>
    <row r="37" spans="1:12" x14ac:dyDescent="0.3">
      <c r="A37" s="2" t="s">
        <v>239</v>
      </c>
      <c r="B37" s="2"/>
      <c r="C37" s="2"/>
      <c r="D37" s="2"/>
      <c r="E37" s="2"/>
      <c r="F37" s="2"/>
      <c r="G37" s="2"/>
      <c r="H37" s="2"/>
      <c r="I37" s="2"/>
      <c r="J37" s="2"/>
      <c r="K37" s="2"/>
      <c r="L37" s="2"/>
    </row>
    <row r="38" spans="1:12" x14ac:dyDescent="0.3">
      <c r="A38" s="1" t="s">
        <v>238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A8E2-2045-4EBD-ABFD-634979968624}">
  <dimension ref="A1:Y76"/>
  <sheetViews>
    <sheetView zoomScaleNormal="100" workbookViewId="0"/>
  </sheetViews>
  <sheetFormatPr defaultRowHeight="15.6" x14ac:dyDescent="0.3"/>
  <cols>
    <col min="1" max="2" width="10.77734375" style="1" customWidth="1"/>
    <col min="3" max="6" width="12.77734375" style="1" customWidth="1"/>
    <col min="7" max="7" width="10.77734375" style="1" customWidth="1"/>
    <col min="8" max="12" width="11.77734375" style="1" customWidth="1"/>
    <col min="13" max="13" width="8.88671875" style="1"/>
    <col min="14" max="25" width="4" style="1" customWidth="1"/>
    <col min="26" max="16384" width="8.88671875" style="1"/>
  </cols>
  <sheetData>
    <row r="1" spans="1:25" ht="17.399999999999999" x14ac:dyDescent="0.3">
      <c r="A1" s="14" t="s">
        <v>59</v>
      </c>
      <c r="B1" s="4"/>
      <c r="C1" s="4" t="s">
        <v>34</v>
      </c>
      <c r="D1" s="4"/>
      <c r="E1" s="4"/>
      <c r="F1" s="4"/>
      <c r="G1" s="4"/>
      <c r="H1" s="4"/>
      <c r="I1" s="4"/>
      <c r="J1" s="4"/>
      <c r="K1" s="4"/>
      <c r="L1" s="15"/>
    </row>
    <row r="2" spans="1:25" x14ac:dyDescent="0.3">
      <c r="A2" s="4"/>
      <c r="B2" s="4"/>
      <c r="C2" s="4"/>
      <c r="D2" s="4"/>
      <c r="E2" s="4"/>
      <c r="F2" s="4"/>
      <c r="G2" s="4"/>
      <c r="H2" s="4"/>
      <c r="I2" s="4"/>
      <c r="J2" s="4"/>
      <c r="K2" s="4"/>
      <c r="L2" s="15"/>
    </row>
    <row r="3" spans="1:25" x14ac:dyDescent="0.3">
      <c r="A3" s="4" t="s">
        <v>60</v>
      </c>
      <c r="B3" s="4"/>
      <c r="C3" s="4"/>
      <c r="D3" s="4"/>
      <c r="E3" s="4"/>
      <c r="F3" s="4"/>
      <c r="G3" s="4"/>
      <c r="H3" s="4"/>
      <c r="I3" s="4"/>
      <c r="J3" s="4"/>
      <c r="K3" s="4"/>
      <c r="L3" s="15"/>
    </row>
    <row r="4" spans="1:25" x14ac:dyDescent="0.3">
      <c r="A4" s="16"/>
      <c r="B4" s="4"/>
      <c r="C4" s="4"/>
      <c r="D4" s="4"/>
      <c r="E4" s="4"/>
      <c r="F4" s="4"/>
      <c r="G4" s="4"/>
      <c r="H4" s="4"/>
      <c r="I4" s="4"/>
      <c r="J4" s="4"/>
      <c r="K4" s="4"/>
      <c r="L4" s="4"/>
    </row>
    <row r="5" spans="1:25" x14ac:dyDescent="0.3">
      <c r="A5" s="16"/>
      <c r="B5" s="19" t="s">
        <v>61</v>
      </c>
      <c r="C5" s="4"/>
      <c r="D5" s="4"/>
      <c r="E5" s="4"/>
      <c r="F5" s="4"/>
      <c r="G5" s="4"/>
      <c r="H5" s="4"/>
      <c r="I5" s="4"/>
      <c r="J5" s="4"/>
      <c r="K5" s="4"/>
      <c r="L5" s="4"/>
    </row>
    <row r="6" spans="1:25" x14ac:dyDescent="0.3">
      <c r="A6" s="16"/>
      <c r="B6" s="34"/>
      <c r="C6" s="34" t="s">
        <v>62</v>
      </c>
      <c r="D6" s="4"/>
      <c r="E6" s="4"/>
      <c r="F6" s="4"/>
      <c r="G6" s="4"/>
      <c r="H6" s="4"/>
      <c r="I6" s="4"/>
      <c r="J6" s="4"/>
      <c r="K6" s="4"/>
      <c r="L6" s="4"/>
    </row>
    <row r="7" spans="1:25" x14ac:dyDescent="0.3">
      <c r="A7" s="16"/>
      <c r="B7" s="34"/>
      <c r="C7" s="34" t="s">
        <v>63</v>
      </c>
      <c r="D7" s="4"/>
      <c r="E7" s="4"/>
      <c r="F7" s="4"/>
      <c r="G7" s="4"/>
      <c r="H7" s="4"/>
      <c r="I7" s="4"/>
      <c r="J7" s="4"/>
      <c r="K7" s="4"/>
      <c r="L7" s="4"/>
    </row>
    <row r="8" spans="1:25" x14ac:dyDescent="0.3">
      <c r="A8" s="16"/>
      <c r="B8" s="19" t="s">
        <v>68</v>
      </c>
      <c r="C8" s="4"/>
      <c r="D8" s="4"/>
      <c r="E8" s="4"/>
      <c r="F8" s="4"/>
      <c r="G8" s="4"/>
      <c r="H8" s="4"/>
      <c r="I8" s="4"/>
      <c r="J8" s="4"/>
      <c r="K8" s="21">
        <v>340000</v>
      </c>
      <c r="L8" s="4"/>
    </row>
    <row r="9" spans="1:25" x14ac:dyDescent="0.3">
      <c r="A9" s="4"/>
      <c r="B9" s="19" t="s">
        <v>64</v>
      </c>
      <c r="C9" s="4"/>
      <c r="D9" s="4"/>
      <c r="E9" s="4"/>
      <c r="F9" s="4"/>
      <c r="G9" s="4"/>
      <c r="H9" s="4"/>
      <c r="I9" s="4"/>
      <c r="J9" s="4"/>
      <c r="K9" s="4"/>
      <c r="L9" s="4"/>
    </row>
    <row r="10" spans="1:25" x14ac:dyDescent="0.3">
      <c r="A10" s="4"/>
      <c r="B10" s="4"/>
      <c r="C10" s="4"/>
      <c r="D10" s="4"/>
      <c r="E10" s="4"/>
      <c r="F10" s="4"/>
      <c r="G10" s="4"/>
      <c r="H10" s="4"/>
      <c r="I10" s="4"/>
      <c r="J10" s="4"/>
      <c r="K10" s="4"/>
      <c r="L10" s="4"/>
    </row>
    <row r="11" spans="1:25" x14ac:dyDescent="0.3">
      <c r="A11" s="2"/>
      <c r="B11" s="2"/>
      <c r="C11" s="2"/>
      <c r="D11" s="2"/>
      <c r="E11" s="2"/>
      <c r="F11" s="2"/>
      <c r="G11" s="2"/>
      <c r="H11" s="2"/>
      <c r="I11" s="2"/>
      <c r="J11" s="2"/>
      <c r="K11" s="2"/>
      <c r="L11" s="2"/>
    </row>
    <row r="12" spans="1:25" x14ac:dyDescent="0.3">
      <c r="A12" s="17" t="s">
        <v>4</v>
      </c>
      <c r="B12" s="4" t="s">
        <v>65</v>
      </c>
      <c r="C12" s="4"/>
      <c r="D12" s="4"/>
      <c r="E12" s="4"/>
      <c r="F12" s="4"/>
      <c r="G12" s="4"/>
      <c r="H12" s="4"/>
      <c r="I12" s="4"/>
      <c r="J12" s="4"/>
      <c r="K12" s="4"/>
      <c r="L12" s="4"/>
      <c r="M12" s="3"/>
      <c r="N12" s="3"/>
      <c r="O12" s="3"/>
      <c r="P12" s="3"/>
      <c r="Q12" s="3"/>
      <c r="R12" s="3"/>
    </row>
    <row r="13" spans="1:25" ht="16.2" x14ac:dyDescent="0.35">
      <c r="A13" s="2"/>
      <c r="B13" s="2"/>
      <c r="C13" s="2"/>
      <c r="D13" s="2"/>
      <c r="E13" s="2"/>
      <c r="F13" s="2"/>
      <c r="G13" s="2"/>
      <c r="H13" s="2"/>
      <c r="I13" s="2"/>
      <c r="J13" s="2"/>
      <c r="K13" s="2"/>
      <c r="L13" s="2"/>
      <c r="M13" s="2"/>
      <c r="N13" s="5" t="s">
        <v>9</v>
      </c>
    </row>
    <row r="14" spans="1:25" x14ac:dyDescent="0.3">
      <c r="A14" s="2" t="s">
        <v>1</v>
      </c>
      <c r="B14" s="2"/>
      <c r="C14" s="2"/>
      <c r="D14" s="2"/>
      <c r="E14" s="2"/>
      <c r="F14" s="2"/>
      <c r="G14" s="2"/>
      <c r="H14" s="2"/>
      <c r="I14" s="2"/>
      <c r="J14" s="2"/>
      <c r="K14" s="2"/>
      <c r="L14" s="2"/>
      <c r="M14" s="2"/>
      <c r="N14" s="169">
        <v>2023</v>
      </c>
      <c r="O14" s="169"/>
      <c r="P14" s="169"/>
      <c r="Q14" s="169"/>
      <c r="R14" s="169">
        <f>N14+1</f>
        <v>2024</v>
      </c>
      <c r="S14" s="169"/>
      <c r="T14" s="169"/>
      <c r="U14" s="169"/>
      <c r="V14" s="169">
        <f>R14+1</f>
        <v>2025</v>
      </c>
      <c r="W14" s="169"/>
      <c r="X14" s="169"/>
      <c r="Y14" s="169"/>
    </row>
    <row r="15" spans="1:25" ht="19.95" customHeight="1" x14ac:dyDescent="0.3">
      <c r="H15" s="2"/>
      <c r="I15" s="2"/>
      <c r="J15" s="2"/>
      <c r="K15" s="2"/>
      <c r="L15" s="2"/>
      <c r="M15" s="2"/>
      <c r="N15" s="85"/>
      <c r="O15" s="84"/>
      <c r="P15" s="84"/>
      <c r="Q15" s="84"/>
      <c r="R15" s="85"/>
      <c r="S15" s="84"/>
      <c r="T15" s="100"/>
      <c r="U15" s="101"/>
      <c r="V15" s="84"/>
      <c r="W15" s="84"/>
      <c r="X15" s="84"/>
      <c r="Y15" s="102"/>
    </row>
    <row r="16" spans="1:25" ht="19.95" customHeight="1" x14ac:dyDescent="0.3">
      <c r="B16" s="1" t="s">
        <v>248</v>
      </c>
      <c r="F16" s="55">
        <f>0.5*K8</f>
        <v>170000</v>
      </c>
      <c r="M16" s="3"/>
      <c r="N16" s="56"/>
      <c r="R16" s="56"/>
      <c r="T16" s="103"/>
      <c r="U16" s="104"/>
      <c r="Y16" s="105"/>
    </row>
    <row r="17" spans="1:25" ht="19.95" customHeight="1" x14ac:dyDescent="0.3">
      <c r="B17" s="1" t="s">
        <v>389</v>
      </c>
      <c r="F17" s="99">
        <f>0.5*0.5*0.5/0.5</f>
        <v>0.25</v>
      </c>
      <c r="M17" s="3"/>
      <c r="N17" s="56"/>
      <c r="R17" s="56"/>
      <c r="T17" s="103"/>
      <c r="U17" s="104"/>
      <c r="Y17" s="105"/>
    </row>
    <row r="18" spans="1:25" ht="19.95" customHeight="1" x14ac:dyDescent="0.3">
      <c r="B18" s="1" t="s">
        <v>250</v>
      </c>
      <c r="F18" s="55">
        <f>F17*F16</f>
        <v>42500</v>
      </c>
      <c r="M18" s="3"/>
      <c r="N18" s="87"/>
      <c r="O18" s="86"/>
      <c r="P18" s="86"/>
      <c r="Q18" s="86"/>
      <c r="R18" s="87"/>
      <c r="S18" s="86"/>
      <c r="T18" s="106"/>
      <c r="U18" s="107"/>
      <c r="V18" s="86"/>
      <c r="W18" s="86"/>
      <c r="X18" s="86"/>
      <c r="Y18" s="108"/>
    </row>
    <row r="19" spans="1:25" ht="15.6" customHeight="1" x14ac:dyDescent="0.3">
      <c r="M19" s="3"/>
      <c r="N19" s="3"/>
      <c r="O19" s="3"/>
      <c r="P19" s="3"/>
      <c r="Q19" s="3"/>
      <c r="R19" s="3"/>
      <c r="S19" s="3"/>
      <c r="T19" s="3"/>
      <c r="U19" s="3"/>
      <c r="V19" s="3"/>
      <c r="W19" s="3"/>
      <c r="X19" s="3"/>
      <c r="Y19" s="3"/>
    </row>
    <row r="20" spans="1:25" ht="15.6" customHeight="1" x14ac:dyDescent="0.3">
      <c r="B20" s="1" t="s">
        <v>249</v>
      </c>
      <c r="F20" s="55">
        <f>F16</f>
        <v>170000</v>
      </c>
      <c r="M20" s="3"/>
      <c r="N20" s="3"/>
      <c r="O20" s="3"/>
      <c r="P20" s="3"/>
      <c r="Q20" s="3"/>
      <c r="R20" s="3"/>
      <c r="S20" s="3"/>
      <c r="T20" s="3"/>
      <c r="U20" s="3"/>
      <c r="V20" s="3"/>
      <c r="W20" s="3"/>
      <c r="X20" s="3"/>
      <c r="Y20" s="3"/>
    </row>
    <row r="21" spans="1:25" ht="15.6" customHeight="1" x14ac:dyDescent="0.3">
      <c r="B21" s="1" t="s">
        <v>389</v>
      </c>
      <c r="F21" s="99">
        <v>0.5</v>
      </c>
      <c r="M21" s="3"/>
      <c r="N21" s="3"/>
      <c r="O21" s="3"/>
      <c r="P21" s="3"/>
      <c r="Q21" s="3"/>
      <c r="R21" s="3"/>
      <c r="S21" s="3"/>
      <c r="T21" s="3"/>
      <c r="U21" s="3"/>
      <c r="V21" s="3"/>
      <c r="W21" s="3"/>
      <c r="X21" s="3"/>
      <c r="Y21" s="3"/>
    </row>
    <row r="22" spans="1:25" ht="15.6" customHeight="1" x14ac:dyDescent="0.3">
      <c r="B22" s="1" t="s">
        <v>250</v>
      </c>
      <c r="F22" s="55">
        <f>F21*F20</f>
        <v>85000</v>
      </c>
      <c r="M22" s="3"/>
      <c r="N22" s="3"/>
      <c r="O22" s="3"/>
      <c r="P22" s="3"/>
      <c r="Q22" s="3"/>
      <c r="R22" s="3"/>
      <c r="S22" s="3"/>
      <c r="T22" s="3"/>
      <c r="U22" s="3"/>
      <c r="V22" s="3"/>
      <c r="W22" s="3"/>
      <c r="X22" s="3"/>
      <c r="Y22" s="3"/>
    </row>
    <row r="23" spans="1:25" ht="15.6" customHeight="1" x14ac:dyDescent="0.3">
      <c r="M23" s="3"/>
      <c r="N23" s="3"/>
      <c r="O23" s="3"/>
      <c r="P23" s="3"/>
      <c r="Q23" s="3"/>
      <c r="R23" s="3"/>
      <c r="S23" s="3"/>
      <c r="T23" s="3"/>
      <c r="U23" s="3"/>
      <c r="V23" s="3"/>
      <c r="W23" s="3"/>
      <c r="X23" s="3"/>
      <c r="Y23" s="3"/>
    </row>
    <row r="24" spans="1:25" ht="15.6" customHeight="1" x14ac:dyDescent="0.3">
      <c r="B24" s="1" t="s">
        <v>251</v>
      </c>
      <c r="F24" s="55">
        <f>F22+F18</f>
        <v>127500</v>
      </c>
      <c r="M24" s="3"/>
      <c r="N24" s="3"/>
      <c r="O24" s="3"/>
      <c r="P24" s="3"/>
      <c r="Q24" s="3"/>
      <c r="R24" s="3"/>
      <c r="S24" s="3"/>
      <c r="T24" s="3"/>
      <c r="U24" s="3"/>
      <c r="V24" s="3"/>
      <c r="W24" s="3"/>
      <c r="X24" s="3"/>
      <c r="Y24" s="3"/>
    </row>
    <row r="25" spans="1:25" x14ac:dyDescent="0.3">
      <c r="M25" s="3"/>
    </row>
    <row r="26" spans="1:25" x14ac:dyDescent="0.3">
      <c r="A26" s="4"/>
      <c r="B26" s="4"/>
      <c r="C26" s="4"/>
      <c r="D26" s="4"/>
      <c r="E26" s="4"/>
      <c r="F26" s="4"/>
      <c r="G26" s="4"/>
      <c r="H26" s="4"/>
      <c r="I26" s="4"/>
      <c r="J26" s="4"/>
      <c r="K26" s="4"/>
      <c r="L26" s="4"/>
      <c r="M26" s="3"/>
    </row>
    <row r="27" spans="1:25" x14ac:dyDescent="0.3">
      <c r="A27" s="18" t="s">
        <v>66</v>
      </c>
      <c r="B27" s="4"/>
      <c r="C27" s="4"/>
      <c r="D27" s="4"/>
      <c r="E27" s="4"/>
      <c r="F27" s="4"/>
      <c r="G27" s="4"/>
      <c r="H27" s="4"/>
      <c r="I27" s="4"/>
      <c r="J27" s="4"/>
      <c r="K27" s="4"/>
      <c r="L27" s="4"/>
      <c r="M27" s="3"/>
    </row>
    <row r="28" spans="1:25" x14ac:dyDescent="0.3">
      <c r="A28" s="19"/>
      <c r="B28" s="19" t="s">
        <v>69</v>
      </c>
      <c r="C28" s="4"/>
      <c r="D28" s="4"/>
      <c r="E28" s="4"/>
      <c r="F28" s="4"/>
      <c r="G28" s="21">
        <v>1350000</v>
      </c>
      <c r="H28" s="4"/>
      <c r="I28" s="4"/>
      <c r="J28" s="4"/>
      <c r="K28" s="4"/>
      <c r="L28" s="4"/>
      <c r="M28" s="3"/>
    </row>
    <row r="29" spans="1:25" x14ac:dyDescent="0.3">
      <c r="A29" s="19"/>
      <c r="B29" s="19" t="s">
        <v>70</v>
      </c>
      <c r="C29" s="4"/>
      <c r="D29" s="4"/>
      <c r="E29" s="4"/>
      <c r="F29" s="4"/>
      <c r="G29" s="21">
        <v>840000</v>
      </c>
      <c r="H29" s="4"/>
      <c r="I29" s="4"/>
      <c r="J29" s="4"/>
      <c r="K29" s="4"/>
      <c r="L29" s="4"/>
      <c r="M29" s="3"/>
    </row>
    <row r="30" spans="1:25" x14ac:dyDescent="0.3">
      <c r="A30" s="19"/>
      <c r="B30" s="19" t="s">
        <v>71</v>
      </c>
      <c r="C30" s="4"/>
      <c r="D30" s="4"/>
      <c r="E30" s="4"/>
      <c r="F30" s="4"/>
      <c r="G30" s="4"/>
      <c r="H30" s="4"/>
      <c r="I30" s="32">
        <v>0.08</v>
      </c>
      <c r="J30" s="4"/>
      <c r="K30" s="4"/>
      <c r="L30" s="4"/>
      <c r="M30" s="3"/>
    </row>
    <row r="31" spans="1:25" x14ac:dyDescent="0.3">
      <c r="A31" s="19"/>
      <c r="B31" s="19" t="s">
        <v>67</v>
      </c>
      <c r="C31" s="4"/>
      <c r="D31" s="4"/>
      <c r="E31" s="4"/>
      <c r="F31" s="4"/>
      <c r="G31" s="4"/>
      <c r="H31" s="4"/>
      <c r="I31" s="4"/>
      <c r="J31" s="4"/>
      <c r="K31" s="4"/>
      <c r="L31" s="4"/>
      <c r="M31" s="3"/>
    </row>
    <row r="32" spans="1:25" x14ac:dyDescent="0.3">
      <c r="A32" s="19"/>
      <c r="B32" s="19" t="s">
        <v>64</v>
      </c>
      <c r="C32" s="4"/>
      <c r="D32" s="4"/>
      <c r="E32" s="4"/>
      <c r="F32" s="4"/>
      <c r="G32" s="4"/>
      <c r="H32" s="4"/>
      <c r="I32" s="4"/>
      <c r="J32" s="4"/>
      <c r="K32" s="4"/>
      <c r="L32" s="4"/>
      <c r="M32" s="3"/>
    </row>
    <row r="33" spans="1:25" x14ac:dyDescent="0.3">
      <c r="M33" s="3"/>
    </row>
    <row r="34" spans="1:25" x14ac:dyDescent="0.3">
      <c r="A34" s="17" t="s">
        <v>5</v>
      </c>
      <c r="B34" s="4" t="s">
        <v>185</v>
      </c>
      <c r="C34" s="4"/>
      <c r="D34" s="4"/>
      <c r="E34" s="4"/>
      <c r="F34" s="4"/>
      <c r="G34" s="4"/>
      <c r="H34" s="4"/>
      <c r="I34" s="4"/>
      <c r="J34" s="4"/>
      <c r="K34" s="4"/>
      <c r="L34" s="4"/>
    </row>
    <row r="35" spans="1:25" x14ac:dyDescent="0.3">
      <c r="A35" s="2"/>
      <c r="B35" s="2"/>
      <c r="C35" s="2"/>
      <c r="D35" s="2"/>
      <c r="E35" s="2"/>
      <c r="F35" s="2"/>
      <c r="G35" s="2"/>
      <c r="H35" s="2"/>
      <c r="I35" s="2"/>
      <c r="J35" s="2"/>
      <c r="K35" s="2"/>
      <c r="L35" s="2"/>
    </row>
    <row r="36" spans="1:25" x14ac:dyDescent="0.3">
      <c r="A36" s="2" t="s">
        <v>1</v>
      </c>
      <c r="B36" s="2"/>
      <c r="C36" s="2"/>
      <c r="D36" s="2"/>
      <c r="E36" s="2"/>
      <c r="F36" s="2"/>
      <c r="G36" s="2"/>
      <c r="H36" s="2"/>
      <c r="I36" s="2"/>
      <c r="J36" s="2"/>
      <c r="K36" s="2"/>
      <c r="L36" s="2"/>
      <c r="N36" s="169">
        <v>2023</v>
      </c>
      <c r="O36" s="169"/>
      <c r="P36" s="169"/>
      <c r="Q36" s="169"/>
      <c r="R36" s="169">
        <f>N36+1</f>
        <v>2024</v>
      </c>
      <c r="S36" s="169"/>
      <c r="T36" s="169"/>
      <c r="U36" s="169"/>
      <c r="V36" s="169">
        <f>R36+1</f>
        <v>2025</v>
      </c>
      <c r="W36" s="169"/>
      <c r="X36" s="169"/>
      <c r="Y36" s="169"/>
    </row>
    <row r="37" spans="1:25" ht="19.95" customHeight="1" x14ac:dyDescent="0.3">
      <c r="A37"/>
      <c r="B37"/>
      <c r="C37"/>
      <c r="D37"/>
      <c r="E37"/>
      <c r="F37"/>
      <c r="G37"/>
      <c r="H37"/>
      <c r="I37"/>
      <c r="J37" s="2"/>
      <c r="K37" s="2"/>
      <c r="L37" s="2"/>
      <c r="N37" s="85"/>
      <c r="O37" s="84"/>
      <c r="P37" s="84"/>
      <c r="Q37" s="84"/>
      <c r="R37" s="85"/>
      <c r="S37" s="84"/>
      <c r="T37" s="84"/>
      <c r="U37" s="102"/>
      <c r="V37" s="84"/>
      <c r="W37" s="84"/>
      <c r="X37" s="84"/>
      <c r="Y37" s="102"/>
    </row>
    <row r="38" spans="1:25" ht="19.95" customHeight="1" x14ac:dyDescent="0.3">
      <c r="A38"/>
      <c r="B38"/>
      <c r="C38"/>
      <c r="D38"/>
      <c r="E38"/>
      <c r="F38"/>
      <c r="G38"/>
      <c r="H38"/>
      <c r="I38"/>
      <c r="J38" s="2"/>
      <c r="K38" s="2"/>
      <c r="L38" s="2"/>
      <c r="M38" s="93" t="s">
        <v>240</v>
      </c>
      <c r="N38" s="56"/>
      <c r="R38" s="56"/>
      <c r="S38" s="1">
        <v>1</v>
      </c>
      <c r="U38" s="105"/>
      <c r="Y38" s="105"/>
    </row>
    <row r="39" spans="1:25" ht="19.95" customHeight="1" x14ac:dyDescent="0.3">
      <c r="A39"/>
      <c r="B39"/>
      <c r="C39"/>
      <c r="D39"/>
      <c r="E39"/>
      <c r="F39"/>
      <c r="G39"/>
      <c r="H39"/>
      <c r="I39"/>
      <c r="M39" s="93"/>
      <c r="N39" s="56"/>
      <c r="R39" s="56"/>
      <c r="U39" s="105"/>
      <c r="X39" s="167">
        <f>1+$I$30</f>
        <v>1.08</v>
      </c>
      <c r="Y39" s="168"/>
    </row>
    <row r="40" spans="1:25" ht="19.95" customHeight="1" x14ac:dyDescent="0.3">
      <c r="A40" s="62"/>
      <c r="B40"/>
      <c r="C40"/>
      <c r="F40"/>
      <c r="M40" s="93"/>
      <c r="N40" s="87"/>
      <c r="O40" s="86"/>
      <c r="P40" s="86"/>
      <c r="Q40" s="86"/>
      <c r="R40" s="87"/>
      <c r="S40" s="86"/>
      <c r="T40" s="86"/>
      <c r="U40" s="109"/>
      <c r="V40" s="86"/>
      <c r="W40" s="86"/>
      <c r="X40" s="86"/>
      <c r="Y40" s="108"/>
    </row>
    <row r="41" spans="1:25" ht="15.6" customHeight="1" x14ac:dyDescent="0.3">
      <c r="A41" s="62"/>
      <c r="B41"/>
      <c r="C41"/>
      <c r="F41"/>
      <c r="M41" s="93"/>
      <c r="T41" s="110">
        <f>I30</f>
        <v>0.08</v>
      </c>
    </row>
    <row r="42" spans="1:25" ht="15.6" customHeight="1" x14ac:dyDescent="0.3">
      <c r="N42" s="169">
        <v>2023</v>
      </c>
      <c r="O42" s="169"/>
      <c r="P42" s="169"/>
      <c r="Q42" s="169"/>
      <c r="R42" s="169">
        <f>N42+1</f>
        <v>2024</v>
      </c>
      <c r="S42" s="169"/>
      <c r="T42" s="169"/>
      <c r="U42" s="169"/>
      <c r="V42" s="169">
        <f>R42+1</f>
        <v>2025</v>
      </c>
      <c r="W42" s="169"/>
      <c r="X42" s="169"/>
      <c r="Y42" s="169"/>
    </row>
    <row r="43" spans="1:25" ht="19.95" customHeight="1" x14ac:dyDescent="0.3">
      <c r="M43" s="93"/>
      <c r="N43" s="85"/>
      <c r="O43" s="84"/>
      <c r="P43" s="84"/>
      <c r="Q43" s="84"/>
      <c r="R43" s="85"/>
      <c r="S43" s="84"/>
      <c r="T43" s="84"/>
      <c r="U43" s="102"/>
      <c r="V43" s="84"/>
      <c r="W43" s="84"/>
      <c r="X43" s="84"/>
      <c r="Y43" s="102"/>
    </row>
    <row r="44" spans="1:25" ht="19.95" customHeight="1" x14ac:dyDescent="0.3">
      <c r="B44" s="1" t="s">
        <v>254</v>
      </c>
      <c r="E44" s="98">
        <v>4</v>
      </c>
      <c r="M44" s="93" t="s">
        <v>241</v>
      </c>
      <c r="N44" s="56"/>
      <c r="R44" s="56"/>
      <c r="S44" s="1">
        <v>1</v>
      </c>
      <c r="U44" s="105"/>
      <c r="Y44" s="105"/>
    </row>
    <row r="45" spans="1:25" ht="19.95" customHeight="1" x14ac:dyDescent="0.3">
      <c r="B45" s="1" t="s">
        <v>253</v>
      </c>
      <c r="E45" s="51">
        <f>E44/12</f>
        <v>0.33333333333333331</v>
      </c>
      <c r="N45" s="56"/>
      <c r="R45" s="56"/>
      <c r="U45" s="105"/>
      <c r="X45" s="167">
        <f>1+$I$30</f>
        <v>1.08</v>
      </c>
      <c r="Y45" s="168"/>
    </row>
    <row r="46" spans="1:25" ht="19.95" customHeight="1" x14ac:dyDescent="0.3">
      <c r="N46" s="87"/>
      <c r="O46" s="86"/>
      <c r="P46" s="86"/>
      <c r="Q46" s="86"/>
      <c r="R46" s="87"/>
      <c r="S46" s="86"/>
      <c r="T46" s="86"/>
      <c r="U46" s="109"/>
      <c r="V46" s="86"/>
      <c r="W46" s="86"/>
      <c r="X46" s="86"/>
      <c r="Y46" s="108"/>
    </row>
    <row r="47" spans="1:25" ht="15.6" customHeight="1" x14ac:dyDescent="0.3">
      <c r="T47" s="110">
        <f>I30</f>
        <v>0.08</v>
      </c>
    </row>
    <row r="48" spans="1:25" x14ac:dyDescent="0.3">
      <c r="D48" s="166" t="s">
        <v>242</v>
      </c>
      <c r="E48" s="166"/>
      <c r="N48" s="3"/>
      <c r="O48" s="3"/>
      <c r="P48" s="3"/>
      <c r="Q48" s="3"/>
      <c r="R48" s="3"/>
      <c r="S48" s="3"/>
      <c r="T48" s="3"/>
      <c r="U48" s="3"/>
      <c r="V48" s="3"/>
      <c r="W48" s="3"/>
      <c r="X48" s="3"/>
      <c r="Y48" s="3"/>
    </row>
    <row r="49" spans="1:25" ht="31.2" x14ac:dyDescent="0.3">
      <c r="C49" s="89" t="s">
        <v>243</v>
      </c>
      <c r="D49" s="89" t="s">
        <v>244</v>
      </c>
      <c r="E49" s="89" t="s">
        <v>245</v>
      </c>
      <c r="N49" s="3"/>
      <c r="O49" s="3"/>
      <c r="P49" s="3"/>
      <c r="Q49" s="3"/>
      <c r="R49" s="3"/>
      <c r="S49" s="3"/>
      <c r="T49" s="3"/>
      <c r="U49" s="3"/>
      <c r="V49" s="3"/>
      <c r="W49" s="3"/>
      <c r="X49" s="3"/>
      <c r="Y49" s="3"/>
    </row>
    <row r="50" spans="1:25" ht="15.6" customHeight="1" x14ac:dyDescent="0.3">
      <c r="C50" s="88">
        <v>1</v>
      </c>
      <c r="D50" s="90">
        <f>1-D51</f>
        <v>0.94444444444444442</v>
      </c>
      <c r="E50" s="90">
        <f>1-E51</f>
        <v>0.88888888888888884</v>
      </c>
      <c r="N50" s="3"/>
      <c r="O50" s="3"/>
      <c r="P50" s="3"/>
      <c r="Q50" s="3"/>
      <c r="R50" s="3"/>
      <c r="S50" s="3"/>
      <c r="T50" s="3"/>
      <c r="U50" s="3"/>
      <c r="V50" s="3"/>
      <c r="W50" s="3"/>
      <c r="X50" s="3"/>
      <c r="Y50" s="3"/>
    </row>
    <row r="51" spans="1:25" ht="15.6" customHeight="1" x14ac:dyDescent="0.3">
      <c r="C51" s="91">
        <f>1+I30</f>
        <v>1.08</v>
      </c>
      <c r="D51" s="92">
        <f>0.5*E45*E45</f>
        <v>5.5555555555555552E-2</v>
      </c>
      <c r="E51" s="92">
        <f>0.5*E45*2*E45</f>
        <v>0.1111111111111111</v>
      </c>
      <c r="N51" s="3"/>
      <c r="O51" s="3"/>
      <c r="P51" s="3"/>
      <c r="Q51" s="3"/>
      <c r="R51" s="3"/>
      <c r="S51" s="3"/>
      <c r="T51" s="3"/>
      <c r="U51" s="3"/>
      <c r="V51" s="3"/>
      <c r="W51" s="3"/>
      <c r="X51" s="3"/>
      <c r="Y51" s="3"/>
    </row>
    <row r="52" spans="1:25" ht="15.6" customHeight="1" x14ac:dyDescent="0.3">
      <c r="C52" s="93" t="s">
        <v>257</v>
      </c>
      <c r="D52" s="94">
        <f>SUMPRODUCT($C$50:$C$51,D50:D51)</f>
        <v>1.0044444444444445</v>
      </c>
      <c r="E52" s="94">
        <f>SUMPRODUCT($C$50:$C$51,E50:E51)</f>
        <v>1.0088888888888889</v>
      </c>
      <c r="N52" s="3"/>
      <c r="O52" s="3"/>
      <c r="P52" s="3"/>
      <c r="Q52" s="3"/>
      <c r="R52" s="3"/>
      <c r="S52" s="3"/>
      <c r="T52" s="3"/>
      <c r="U52" s="3"/>
      <c r="V52" s="3"/>
      <c r="W52" s="3"/>
      <c r="X52" s="3"/>
      <c r="Y52" s="3"/>
    </row>
    <row r="53" spans="1:25" ht="15.6" customHeight="1" x14ac:dyDescent="0.3">
      <c r="C53" s="93" t="s">
        <v>246</v>
      </c>
      <c r="D53" s="94">
        <f>$C$51/D52</f>
        <v>1.0752212389380531</v>
      </c>
      <c r="E53" s="94">
        <f>$C$51/E52</f>
        <v>1.0704845814977975</v>
      </c>
      <c r="N53" s="3"/>
      <c r="O53" s="3"/>
      <c r="P53" s="3"/>
      <c r="Q53" s="3"/>
      <c r="R53" s="3"/>
      <c r="S53" s="3"/>
      <c r="T53" s="3"/>
      <c r="U53" s="3"/>
      <c r="V53" s="3"/>
      <c r="W53" s="3"/>
      <c r="X53" s="3"/>
      <c r="Y53" s="3"/>
    </row>
    <row r="54" spans="1:25" ht="15.6" customHeight="1" x14ac:dyDescent="0.3">
      <c r="C54" s="93"/>
      <c r="D54" s="94"/>
      <c r="E54" s="94"/>
      <c r="F54" s="58" t="s">
        <v>139</v>
      </c>
      <c r="N54" s="3"/>
      <c r="O54" s="3"/>
      <c r="P54" s="3"/>
      <c r="Q54" s="3"/>
      <c r="R54" s="3"/>
      <c r="S54" s="3"/>
      <c r="T54" s="3"/>
      <c r="U54" s="3"/>
      <c r="V54" s="3"/>
      <c r="W54" s="3"/>
      <c r="X54" s="3"/>
      <c r="Y54" s="3"/>
    </row>
    <row r="55" spans="1:25" ht="15.6" customHeight="1" x14ac:dyDescent="0.3">
      <c r="C55" s="93" t="s">
        <v>252</v>
      </c>
      <c r="D55" s="59">
        <f>D53*G28</f>
        <v>1451548.6725663717</v>
      </c>
      <c r="E55" s="59">
        <f>E53*G29</f>
        <v>899207.04845814989</v>
      </c>
      <c r="F55" s="59">
        <f>SUM(D55:E55)</f>
        <v>2350755.7210245216</v>
      </c>
      <c r="N55" s="3"/>
      <c r="O55" s="3"/>
      <c r="P55" s="3"/>
      <c r="Q55" s="3"/>
      <c r="R55" s="3"/>
      <c r="S55" s="3"/>
      <c r="T55" s="3"/>
      <c r="U55" s="3"/>
      <c r="V55" s="3"/>
      <c r="W55" s="3"/>
      <c r="X55" s="3"/>
      <c r="Y55" s="3"/>
    </row>
    <row r="56" spans="1:25" ht="15.6" customHeight="1" x14ac:dyDescent="0.3"/>
    <row r="57" spans="1:25" x14ac:dyDescent="0.3">
      <c r="A57" s="17" t="s">
        <v>0</v>
      </c>
      <c r="B57" s="4" t="s">
        <v>190</v>
      </c>
      <c r="C57" s="4"/>
      <c r="D57" s="4"/>
      <c r="E57" s="4"/>
      <c r="F57" s="4"/>
      <c r="G57" s="4"/>
      <c r="H57" s="4"/>
      <c r="I57" s="4"/>
      <c r="J57" s="4"/>
      <c r="K57" s="4"/>
      <c r="L57" s="4"/>
    </row>
    <row r="58" spans="1:25" x14ac:dyDescent="0.3">
      <c r="A58" s="2"/>
      <c r="B58" s="2"/>
      <c r="C58" s="2"/>
      <c r="D58" s="2"/>
      <c r="E58" s="2"/>
      <c r="F58" s="2"/>
      <c r="G58" s="2"/>
      <c r="H58" s="2"/>
      <c r="I58" s="2"/>
      <c r="J58" s="2"/>
      <c r="K58" s="2"/>
      <c r="L58" s="2"/>
    </row>
    <row r="59" spans="1:25" x14ac:dyDescent="0.3">
      <c r="A59" s="2" t="s">
        <v>1</v>
      </c>
      <c r="B59" s="2"/>
      <c r="C59" s="2"/>
      <c r="D59" s="2"/>
      <c r="E59" s="2"/>
      <c r="F59" s="2"/>
      <c r="G59" s="2"/>
      <c r="H59" s="2"/>
      <c r="I59" s="2"/>
      <c r="J59" s="2"/>
      <c r="K59" s="2"/>
      <c r="L59" s="2"/>
      <c r="N59" s="169">
        <v>2023</v>
      </c>
      <c r="O59" s="169"/>
      <c r="P59" s="169"/>
      <c r="Q59" s="169"/>
      <c r="R59" s="169">
        <f>N59+1</f>
        <v>2024</v>
      </c>
      <c r="S59" s="169"/>
      <c r="T59" s="169"/>
      <c r="U59" s="169"/>
      <c r="V59" s="169">
        <f>R59+1</f>
        <v>2025</v>
      </c>
      <c r="W59" s="169"/>
      <c r="X59" s="169"/>
      <c r="Y59" s="169"/>
    </row>
    <row r="60" spans="1:25" ht="19.95" customHeight="1" x14ac:dyDescent="0.3">
      <c r="B60" s="160" t="s">
        <v>277</v>
      </c>
      <c r="F60" s="2"/>
      <c r="G60" s="2"/>
      <c r="H60" s="2"/>
      <c r="I60" s="2"/>
      <c r="J60" s="2"/>
      <c r="K60" s="2"/>
      <c r="L60" s="2"/>
      <c r="N60" s="6"/>
      <c r="O60" s="7"/>
      <c r="P60" s="7"/>
      <c r="Q60" s="8"/>
      <c r="R60" s="6"/>
      <c r="S60" s="7"/>
      <c r="T60" s="7"/>
      <c r="U60" s="8"/>
      <c r="V60" s="6"/>
      <c r="W60" s="7"/>
      <c r="X60" s="7"/>
      <c r="Y60" s="8"/>
    </row>
    <row r="61" spans="1:25" x14ac:dyDescent="0.3">
      <c r="B61" s="52" t="s">
        <v>407</v>
      </c>
      <c r="K61" s="2"/>
      <c r="L61" s="2"/>
      <c r="N61" s="9"/>
      <c r="O61" s="3"/>
      <c r="P61" s="3"/>
      <c r="Q61" s="10"/>
      <c r="R61" s="9"/>
      <c r="S61" s="3"/>
      <c r="T61" s="3"/>
      <c r="U61" s="10"/>
      <c r="V61" s="9"/>
      <c r="W61" s="3"/>
      <c r="X61" s="3"/>
      <c r="Y61" s="10"/>
    </row>
    <row r="62" spans="1:25" x14ac:dyDescent="0.3">
      <c r="M62" s="2"/>
      <c r="N62" s="9"/>
      <c r="O62" s="3"/>
      <c r="P62" s="3"/>
      <c r="Q62" s="10"/>
      <c r="R62" s="9"/>
      <c r="S62" s="3"/>
      <c r="T62" s="3"/>
      <c r="U62" s="10"/>
      <c r="V62" s="9"/>
      <c r="W62" s="3"/>
      <c r="X62" s="3"/>
      <c r="Y62" s="10"/>
    </row>
    <row r="63" spans="1:25" ht="19.95" customHeight="1" x14ac:dyDescent="0.3">
      <c r="B63" s="2"/>
      <c r="C63" s="2"/>
      <c r="D63" s="166" t="s">
        <v>247</v>
      </c>
      <c r="E63" s="166"/>
      <c r="F63" s="2"/>
      <c r="G63" s="2"/>
      <c r="H63" s="2"/>
      <c r="I63" s="2"/>
      <c r="J63" s="2"/>
      <c r="N63" s="11"/>
      <c r="O63" s="12"/>
      <c r="P63" s="12"/>
      <c r="Q63" s="13"/>
      <c r="R63" s="11"/>
      <c r="S63" s="12"/>
      <c r="T63" s="12"/>
      <c r="U63" s="13"/>
      <c r="V63" s="11"/>
      <c r="W63" s="12"/>
      <c r="X63" s="12"/>
      <c r="Y63" s="13"/>
    </row>
    <row r="64" spans="1:25" ht="31.2" x14ac:dyDescent="0.3">
      <c r="B64" s="2"/>
      <c r="C64" s="89" t="s">
        <v>243</v>
      </c>
      <c r="D64" s="89" t="s">
        <v>244</v>
      </c>
      <c r="E64" s="89" t="s">
        <v>245</v>
      </c>
    </row>
    <row r="65" spans="1:7" x14ac:dyDescent="0.3">
      <c r="C65" s="88">
        <f>C50</f>
        <v>1</v>
      </c>
      <c r="D65" s="90">
        <f>0.5*(1-E45)*(1-E45)</f>
        <v>0.22222222222222227</v>
      </c>
      <c r="E65" s="90">
        <f>0.5*(6-E44)/12*2*(6-E44)/12</f>
        <v>2.7777777777777776E-2</v>
      </c>
      <c r="G65" s="154" t="s">
        <v>390</v>
      </c>
    </row>
    <row r="66" spans="1:7" x14ac:dyDescent="0.3">
      <c r="C66" s="91">
        <f>C51</f>
        <v>1.08</v>
      </c>
      <c r="D66" s="92">
        <f>1-D65</f>
        <v>0.77777777777777768</v>
      </c>
      <c r="E66" s="92">
        <f>1-E65</f>
        <v>0.97222222222222221</v>
      </c>
    </row>
    <row r="67" spans="1:7" x14ac:dyDescent="0.3">
      <c r="C67" s="93" t="s">
        <v>255</v>
      </c>
      <c r="D67" s="94">
        <f>SUMPRODUCT($C$65:$C$66,D65:D66)</f>
        <v>1.0622222222222222</v>
      </c>
      <c r="E67" s="94">
        <f>SUMPRODUCT($C$65:$C$66,E65:E66)</f>
        <v>1.0777777777777777</v>
      </c>
    </row>
    <row r="68" spans="1:7" x14ac:dyDescent="0.3">
      <c r="B68" s="2"/>
      <c r="C68" s="95" t="s">
        <v>256</v>
      </c>
      <c r="D68" s="96">
        <f>D52</f>
        <v>1.0044444444444445</v>
      </c>
      <c r="E68" s="96">
        <f>E52</f>
        <v>1.0088888888888889</v>
      </c>
      <c r="F68" s="97"/>
    </row>
    <row r="69" spans="1:7" x14ac:dyDescent="0.3">
      <c r="C69" s="93" t="s">
        <v>246</v>
      </c>
      <c r="D69" s="94">
        <f>D67/D68</f>
        <v>1.0575221238938053</v>
      </c>
      <c r="E69" s="94">
        <f>E67/E68</f>
        <v>1.0682819383259912</v>
      </c>
    </row>
    <row r="70" spans="1:7" x14ac:dyDescent="0.3">
      <c r="C70" s="93"/>
      <c r="D70" s="94"/>
      <c r="E70" s="94"/>
      <c r="F70" s="58" t="s">
        <v>139</v>
      </c>
    </row>
    <row r="71" spans="1:7" x14ac:dyDescent="0.3">
      <c r="C71" s="93" t="s">
        <v>252</v>
      </c>
      <c r="D71" s="59">
        <f>D69*G28</f>
        <v>1427654.8672566372</v>
      </c>
      <c r="E71" s="59">
        <f>E69*G29</f>
        <v>897356.82819383254</v>
      </c>
      <c r="F71" s="59">
        <f>SUM(D71:E71)</f>
        <v>2325011.6954504699</v>
      </c>
    </row>
    <row r="74" spans="1:7" x14ac:dyDescent="0.3">
      <c r="A74"/>
      <c r="C74"/>
      <c r="D74"/>
    </row>
    <row r="75" spans="1:7" x14ac:dyDescent="0.3">
      <c r="C75"/>
      <c r="D75"/>
    </row>
    <row r="76" spans="1:7" x14ac:dyDescent="0.3">
      <c r="B76"/>
      <c r="C76"/>
      <c r="D76"/>
    </row>
  </sheetData>
  <mergeCells count="16">
    <mergeCell ref="N14:Q14"/>
    <mergeCell ref="R14:U14"/>
    <mergeCell ref="V14:Y14"/>
    <mergeCell ref="N36:Q36"/>
    <mergeCell ref="R36:U36"/>
    <mergeCell ref="V36:Y36"/>
    <mergeCell ref="D48:E48"/>
    <mergeCell ref="X45:Y45"/>
    <mergeCell ref="X39:Y39"/>
    <mergeCell ref="D63:E63"/>
    <mergeCell ref="N59:Q59"/>
    <mergeCell ref="R59:U59"/>
    <mergeCell ref="V59:Y59"/>
    <mergeCell ref="N42:Q42"/>
    <mergeCell ref="R42:U42"/>
    <mergeCell ref="V42:Y42"/>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4559-8114-43D1-8C36-9579662D0942}">
  <dimension ref="A1:R66"/>
  <sheetViews>
    <sheetView zoomScaleNormal="100" workbookViewId="0"/>
  </sheetViews>
  <sheetFormatPr defaultRowHeight="15.6" x14ac:dyDescent="0.3"/>
  <cols>
    <col min="1" max="1" width="8.88671875" style="1" customWidth="1"/>
    <col min="2" max="2" width="12.77734375" style="1" customWidth="1"/>
    <col min="3" max="4" width="20.77734375" style="1" customWidth="1"/>
    <col min="5" max="5" width="17.88671875" style="1" customWidth="1"/>
    <col min="6" max="6" width="15.77734375" style="1" customWidth="1"/>
    <col min="7" max="12" width="10.77734375" style="1" customWidth="1"/>
    <col min="13" max="16384" width="8.88671875" style="1"/>
  </cols>
  <sheetData>
    <row r="1" spans="1:18" ht="17.399999999999999" x14ac:dyDescent="0.3">
      <c r="A1" s="14" t="s">
        <v>72</v>
      </c>
      <c r="B1" s="4"/>
      <c r="C1" s="4" t="s">
        <v>8</v>
      </c>
      <c r="D1" s="4"/>
      <c r="E1" s="4"/>
      <c r="F1" s="4"/>
      <c r="G1" s="4"/>
      <c r="H1" s="4"/>
      <c r="I1" s="4"/>
      <c r="J1" s="4"/>
      <c r="K1" s="4"/>
      <c r="L1" s="15"/>
    </row>
    <row r="2" spans="1:18" x14ac:dyDescent="0.3">
      <c r="A2" s="4"/>
      <c r="B2" s="4"/>
      <c r="C2" s="4"/>
      <c r="D2" s="4"/>
      <c r="E2" s="4"/>
      <c r="F2" s="4"/>
      <c r="G2" s="4"/>
      <c r="H2" s="4"/>
      <c r="I2" s="4"/>
      <c r="J2" s="4"/>
      <c r="K2" s="4"/>
      <c r="L2" s="15"/>
    </row>
    <row r="3" spans="1:18" x14ac:dyDescent="0.3">
      <c r="A3" s="4" t="s">
        <v>73</v>
      </c>
      <c r="B3" s="4"/>
      <c r="C3" s="4"/>
      <c r="D3" s="4"/>
      <c r="E3" s="4"/>
      <c r="F3" s="4"/>
      <c r="G3" s="4"/>
      <c r="H3" s="4"/>
      <c r="I3" s="4"/>
      <c r="J3" s="4"/>
      <c r="K3" s="4"/>
      <c r="L3" s="15"/>
    </row>
    <row r="4" spans="1:18" x14ac:dyDescent="0.3">
      <c r="A4" s="16"/>
      <c r="B4" s="4"/>
      <c r="C4" s="4"/>
      <c r="D4" s="4"/>
      <c r="E4" s="4"/>
      <c r="F4" s="4"/>
      <c r="G4" s="4"/>
      <c r="H4" s="4"/>
      <c r="I4" s="4"/>
      <c r="J4" s="4"/>
      <c r="K4" s="4"/>
      <c r="L4" s="4"/>
    </row>
    <row r="5" spans="1:18" ht="62.4" x14ac:dyDescent="0.3">
      <c r="A5" s="16"/>
      <c r="B5" s="30" t="s">
        <v>74</v>
      </c>
      <c r="C5" s="30" t="s">
        <v>75</v>
      </c>
      <c r="D5" s="30" t="s">
        <v>76</v>
      </c>
      <c r="E5" s="35"/>
      <c r="F5" s="4"/>
      <c r="G5" s="4"/>
      <c r="H5" s="4"/>
      <c r="I5" s="4"/>
      <c r="J5" s="4"/>
      <c r="K5" s="4"/>
      <c r="L5" s="4"/>
    </row>
    <row r="6" spans="1:18" x14ac:dyDescent="0.3">
      <c r="A6" s="16"/>
      <c r="B6" s="37">
        <v>2019</v>
      </c>
      <c r="C6" s="37">
        <v>817</v>
      </c>
      <c r="D6" s="38">
        <v>13416784</v>
      </c>
      <c r="E6" s="36"/>
      <c r="F6" s="4"/>
      <c r="G6" s="4"/>
      <c r="H6" s="4"/>
      <c r="I6" s="4"/>
      <c r="J6" s="4"/>
      <c r="K6" s="4"/>
      <c r="L6" s="4"/>
    </row>
    <row r="7" spans="1:18" x14ac:dyDescent="0.3">
      <c r="A7" s="16"/>
      <c r="B7" s="37">
        <v>2020</v>
      </c>
      <c r="C7" s="37">
        <v>829</v>
      </c>
      <c r="D7" s="38">
        <v>14248777</v>
      </c>
      <c r="E7" s="36"/>
      <c r="F7" s="4"/>
      <c r="G7" s="4"/>
      <c r="H7" s="4"/>
      <c r="I7" s="4"/>
      <c r="J7" s="4"/>
      <c r="K7" s="4"/>
      <c r="L7" s="4"/>
    </row>
    <row r="8" spans="1:18" x14ac:dyDescent="0.3">
      <c r="A8" s="4"/>
      <c r="B8" s="37">
        <v>2021</v>
      </c>
      <c r="C8" s="37">
        <v>840</v>
      </c>
      <c r="D8" s="38">
        <v>12522931</v>
      </c>
      <c r="E8" s="36"/>
      <c r="F8" s="4"/>
      <c r="G8" s="4"/>
      <c r="H8" s="4"/>
      <c r="I8" s="4"/>
      <c r="J8" s="4"/>
      <c r="K8" s="4"/>
      <c r="L8" s="4"/>
    </row>
    <row r="9" spans="1:18" x14ac:dyDescent="0.3">
      <c r="A9" s="4"/>
      <c r="B9" s="37">
        <v>2022</v>
      </c>
      <c r="C9" s="37">
        <v>833</v>
      </c>
      <c r="D9" s="38">
        <v>11501959</v>
      </c>
      <c r="E9" s="36"/>
      <c r="F9" s="4"/>
      <c r="G9" s="4"/>
      <c r="H9" s="4"/>
      <c r="I9" s="4"/>
      <c r="J9" s="4"/>
      <c r="K9" s="4"/>
      <c r="L9" s="4"/>
    </row>
    <row r="10" spans="1:18" x14ac:dyDescent="0.3">
      <c r="A10" s="16"/>
      <c r="B10" s="37">
        <v>2023</v>
      </c>
      <c r="C10" s="37">
        <v>841</v>
      </c>
      <c r="D10" s="38">
        <v>12257595</v>
      </c>
      <c r="E10" s="36"/>
      <c r="F10" s="4"/>
      <c r="G10" s="4"/>
      <c r="H10" s="4"/>
      <c r="I10" s="4"/>
      <c r="J10" s="4"/>
      <c r="K10" s="4"/>
      <c r="L10" s="4"/>
    </row>
    <row r="11" spans="1:18" x14ac:dyDescent="0.3">
      <c r="A11" s="4"/>
      <c r="B11" s="37">
        <v>2024</v>
      </c>
      <c r="C11" s="37">
        <v>844</v>
      </c>
      <c r="D11" s="38">
        <v>13264316</v>
      </c>
      <c r="E11" s="36"/>
      <c r="F11" s="4"/>
      <c r="G11" s="4"/>
      <c r="H11" s="4"/>
      <c r="I11" s="4"/>
      <c r="J11" s="4"/>
      <c r="K11" s="4"/>
      <c r="L11" s="4"/>
    </row>
    <row r="12" spans="1:18" x14ac:dyDescent="0.3">
      <c r="A12" s="4"/>
      <c r="B12" s="37">
        <v>2025</v>
      </c>
      <c r="C12" s="37">
        <v>843</v>
      </c>
      <c r="D12" s="38">
        <v>14297140</v>
      </c>
      <c r="E12" s="36"/>
      <c r="F12" s="4"/>
      <c r="G12" s="4"/>
      <c r="H12" s="4"/>
      <c r="I12" s="4"/>
      <c r="J12" s="4"/>
      <c r="K12" s="4"/>
      <c r="L12" s="4"/>
    </row>
    <row r="13" spans="1:18" x14ac:dyDescent="0.3">
      <c r="A13" s="4"/>
      <c r="B13" s="4"/>
      <c r="C13" s="4"/>
      <c r="D13" s="4"/>
      <c r="E13" s="4"/>
      <c r="F13" s="4"/>
      <c r="G13" s="4"/>
      <c r="H13" s="4"/>
      <c r="I13" s="4"/>
      <c r="J13" s="4"/>
      <c r="K13" s="4"/>
      <c r="L13" s="4"/>
    </row>
    <row r="14" spans="1:18" x14ac:dyDescent="0.3">
      <c r="A14" s="4"/>
      <c r="B14" s="19" t="s">
        <v>182</v>
      </c>
      <c r="C14" s="4"/>
      <c r="D14" s="4"/>
      <c r="E14" s="4"/>
      <c r="F14" s="4"/>
      <c r="G14" s="4"/>
      <c r="H14" s="4"/>
      <c r="I14" s="4"/>
      <c r="J14" s="4"/>
      <c r="K14" s="4"/>
      <c r="L14" s="4"/>
    </row>
    <row r="15" spans="1:18" x14ac:dyDescent="0.3">
      <c r="A15" s="2"/>
      <c r="B15" s="2"/>
      <c r="C15" s="2"/>
      <c r="D15" s="2"/>
      <c r="E15" s="2"/>
      <c r="F15" s="2"/>
      <c r="G15" s="2"/>
      <c r="H15" s="2"/>
      <c r="I15" s="2"/>
      <c r="J15" s="2"/>
      <c r="K15" s="2"/>
      <c r="L15" s="2"/>
    </row>
    <row r="16" spans="1:18" x14ac:dyDescent="0.3">
      <c r="A16" s="17" t="s">
        <v>4</v>
      </c>
      <c r="B16" s="4" t="s">
        <v>77</v>
      </c>
      <c r="C16" s="4"/>
      <c r="D16" s="4"/>
      <c r="E16" s="4"/>
      <c r="F16" s="4"/>
      <c r="G16" s="4"/>
      <c r="H16" s="4"/>
      <c r="I16" s="4"/>
      <c r="J16" s="4"/>
      <c r="K16" s="4"/>
      <c r="L16" s="4"/>
      <c r="M16" s="3"/>
      <c r="N16" s="3"/>
      <c r="O16" s="3"/>
      <c r="P16" s="3"/>
      <c r="Q16" s="3"/>
      <c r="R16" s="3"/>
    </row>
    <row r="17" spans="1:13" x14ac:dyDescent="0.3">
      <c r="A17" s="2"/>
      <c r="B17" s="2"/>
      <c r="C17" s="2"/>
      <c r="D17" s="2"/>
      <c r="E17" s="2"/>
      <c r="F17" s="2"/>
      <c r="G17" s="2"/>
      <c r="H17" s="2"/>
      <c r="I17" s="2"/>
      <c r="J17" s="2"/>
      <c r="K17" s="2"/>
      <c r="L17" s="2"/>
      <c r="M17" s="2"/>
    </row>
    <row r="18" spans="1:13" x14ac:dyDescent="0.3">
      <c r="A18" s="2" t="s">
        <v>1</v>
      </c>
      <c r="B18" s="2"/>
      <c r="C18" s="2"/>
      <c r="D18" s="2"/>
      <c r="E18" s="2"/>
      <c r="F18" s="2"/>
      <c r="G18" s="2"/>
      <c r="H18" s="2"/>
      <c r="I18" s="2"/>
      <c r="J18" s="2"/>
      <c r="K18" s="2"/>
      <c r="L18" s="2"/>
      <c r="M18" s="2"/>
    </row>
    <row r="19" spans="1:13" x14ac:dyDescent="0.3">
      <c r="A19" s="2"/>
      <c r="B19" s="2"/>
      <c r="C19" s="2"/>
      <c r="D19" s="116"/>
      <c r="E19" s="116"/>
      <c r="F19" s="2"/>
      <c r="G19" s="2"/>
      <c r="H19" s="2"/>
      <c r="I19" s="2"/>
      <c r="J19" s="2"/>
      <c r="K19" s="2"/>
      <c r="L19" s="2"/>
      <c r="M19" s="2"/>
    </row>
    <row r="20" spans="1:13" ht="31.2" x14ac:dyDescent="0.3">
      <c r="B20" s="70" t="s">
        <v>74</v>
      </c>
      <c r="C20" s="70" t="s">
        <v>258</v>
      </c>
      <c r="D20" s="70" t="s">
        <v>259</v>
      </c>
      <c r="E20" s="70" t="s">
        <v>260</v>
      </c>
      <c r="F20" s="70" t="s">
        <v>261</v>
      </c>
      <c r="G20" s="2"/>
      <c r="H20" s="2"/>
      <c r="I20" s="2"/>
      <c r="J20" s="2"/>
      <c r="K20" s="2"/>
      <c r="L20" s="2"/>
      <c r="M20" s="2"/>
    </row>
    <row r="21" spans="1:13" x14ac:dyDescent="0.3">
      <c r="B21" s="72">
        <f>$B$6</f>
        <v>2019</v>
      </c>
      <c r="C21" s="76">
        <f t="shared" ref="C21:C27" si="0">D6/C6</f>
        <v>16422.01223990208</v>
      </c>
      <c r="D21" s="111">
        <v>0.7</v>
      </c>
      <c r="E21" s="112">
        <f>D21*C21</f>
        <v>11495.408567931456</v>
      </c>
      <c r="F21" s="2"/>
      <c r="G21" s="2"/>
      <c r="H21" s="2"/>
      <c r="I21" s="2"/>
      <c r="J21" s="2"/>
      <c r="K21" s="2"/>
      <c r="L21" s="2"/>
      <c r="M21" s="2"/>
    </row>
    <row r="22" spans="1:13" x14ac:dyDescent="0.3">
      <c r="B22" s="72">
        <f>B21+1</f>
        <v>2020</v>
      </c>
      <c r="C22" s="76">
        <f t="shared" si="0"/>
        <v>17187.909529553679</v>
      </c>
      <c r="D22" s="111">
        <f>D21</f>
        <v>0.7</v>
      </c>
      <c r="E22" s="112">
        <f t="shared" ref="E22:E27" si="1">D22*C22</f>
        <v>12031.536670687574</v>
      </c>
      <c r="F22" s="113">
        <f>E22/E21-1</f>
        <v>4.6638455657134648E-2</v>
      </c>
      <c r="G22" s="2"/>
      <c r="H22" s="2"/>
      <c r="I22" s="2"/>
      <c r="J22" s="2"/>
      <c r="K22" s="2"/>
      <c r="L22" s="2"/>
      <c r="M22" s="2"/>
    </row>
    <row r="23" spans="1:13" x14ac:dyDescent="0.3">
      <c r="B23" s="72">
        <f t="shared" ref="B23:B27" si="2">B22+1</f>
        <v>2021</v>
      </c>
      <c r="C23" s="76">
        <f t="shared" si="0"/>
        <v>14908.25119047619</v>
      </c>
      <c r="D23" s="111">
        <f>0.5*D22+0.5*D24</f>
        <v>0.85</v>
      </c>
      <c r="E23" s="112">
        <f t="shared" si="1"/>
        <v>12672.013511904761</v>
      </c>
      <c r="F23" s="113">
        <f t="shared" ref="F23:F27" si="3">E23/E22-1</f>
        <v>5.3233170354505033E-2</v>
      </c>
      <c r="G23" s="2"/>
      <c r="H23" s="2"/>
      <c r="I23" s="2"/>
      <c r="J23" s="2"/>
      <c r="K23" s="2"/>
      <c r="L23" s="2"/>
      <c r="M23" s="2"/>
    </row>
    <row r="24" spans="1:13" x14ac:dyDescent="0.3">
      <c r="B24" s="72">
        <f t="shared" si="2"/>
        <v>2022</v>
      </c>
      <c r="C24" s="76">
        <f t="shared" si="0"/>
        <v>13807.873949579833</v>
      </c>
      <c r="D24" s="111">
        <v>1</v>
      </c>
      <c r="E24" s="112">
        <f t="shared" si="1"/>
        <v>13807.873949579833</v>
      </c>
      <c r="F24" s="113">
        <f t="shared" si="3"/>
        <v>8.9635355628999713E-2</v>
      </c>
      <c r="G24" s="2"/>
      <c r="H24" s="2"/>
      <c r="I24" s="2"/>
      <c r="J24" s="2"/>
      <c r="K24" s="2"/>
      <c r="L24" s="2"/>
      <c r="M24" s="2"/>
    </row>
    <row r="25" spans="1:13" x14ac:dyDescent="0.3">
      <c r="B25" s="72">
        <f t="shared" si="2"/>
        <v>2023</v>
      </c>
      <c r="C25" s="76">
        <f t="shared" si="0"/>
        <v>14575.023781212842</v>
      </c>
      <c r="D25" s="111">
        <v>1</v>
      </c>
      <c r="E25" s="112">
        <f t="shared" si="1"/>
        <v>14575.023781212842</v>
      </c>
      <c r="F25" s="113">
        <f t="shared" si="3"/>
        <v>5.5558866950429664E-2</v>
      </c>
      <c r="G25" s="2"/>
      <c r="H25" s="2"/>
      <c r="I25" s="2"/>
      <c r="J25" s="2"/>
      <c r="K25" s="2"/>
      <c r="L25" s="2"/>
      <c r="M25" s="2"/>
    </row>
    <row r="26" spans="1:13" x14ac:dyDescent="0.3">
      <c r="B26" s="72">
        <f t="shared" si="2"/>
        <v>2024</v>
      </c>
      <c r="C26" s="76">
        <f t="shared" si="0"/>
        <v>15716.014218009479</v>
      </c>
      <c r="D26" s="111">
        <v>1</v>
      </c>
      <c r="E26" s="112">
        <f t="shared" si="1"/>
        <v>15716.014218009479</v>
      </c>
      <c r="F26" s="113">
        <f t="shared" si="3"/>
        <v>7.8283950264792734E-2</v>
      </c>
      <c r="G26" s="2"/>
      <c r="H26" s="2"/>
      <c r="I26" s="2"/>
      <c r="J26" s="2"/>
      <c r="K26" s="2"/>
      <c r="L26" s="2"/>
      <c r="M26" s="2"/>
    </row>
    <row r="27" spans="1:13" x14ac:dyDescent="0.3">
      <c r="B27" s="72">
        <f t="shared" si="2"/>
        <v>2025</v>
      </c>
      <c r="C27" s="76">
        <f t="shared" si="0"/>
        <v>16959.833926453142</v>
      </c>
      <c r="D27" s="111">
        <v>1</v>
      </c>
      <c r="E27" s="112">
        <f t="shared" si="1"/>
        <v>16959.833926453142</v>
      </c>
      <c r="F27" s="113">
        <f t="shared" si="3"/>
        <v>7.9143457825224584E-2</v>
      </c>
      <c r="G27" s="2"/>
      <c r="H27" s="2"/>
      <c r="I27" s="2"/>
      <c r="J27" s="2"/>
      <c r="K27" s="2"/>
      <c r="L27" s="2"/>
      <c r="M27" s="2"/>
    </row>
    <row r="28" spans="1:13" x14ac:dyDescent="0.3">
      <c r="B28" s="3"/>
      <c r="C28" s="2"/>
      <c r="D28" s="2"/>
      <c r="E28" s="2"/>
      <c r="F28" s="2"/>
      <c r="G28" s="2"/>
      <c r="H28" s="2"/>
      <c r="I28" s="2"/>
      <c r="J28" s="2"/>
      <c r="K28" s="2"/>
      <c r="L28" s="2"/>
      <c r="M28" s="2"/>
    </row>
    <row r="29" spans="1:13" x14ac:dyDescent="0.3">
      <c r="B29" s="3"/>
      <c r="C29" s="2"/>
      <c r="D29" s="2" t="s">
        <v>262</v>
      </c>
      <c r="E29" s="2" t="s">
        <v>263</v>
      </c>
      <c r="F29" s="75">
        <f>AVERAGE(F22:F27)</f>
        <v>6.7082209446847729E-2</v>
      </c>
      <c r="G29" s="2"/>
      <c r="H29" s="2"/>
      <c r="I29" s="2"/>
      <c r="J29" s="2"/>
      <c r="K29" s="2"/>
      <c r="L29" s="2"/>
      <c r="M29" s="2"/>
    </row>
    <row r="30" spans="1:13" x14ac:dyDescent="0.3">
      <c r="B30" s="3"/>
      <c r="C30" s="2"/>
      <c r="D30" s="2"/>
      <c r="E30" s="2" t="s">
        <v>264</v>
      </c>
      <c r="F30" s="75">
        <f>AVERAGE(F23,F25:F27)</f>
        <v>6.6554861348738004E-2</v>
      </c>
      <c r="G30" s="2"/>
      <c r="H30" s="2"/>
      <c r="I30" s="2"/>
      <c r="J30" s="2"/>
      <c r="K30" s="2"/>
      <c r="L30" s="2"/>
      <c r="M30" s="2"/>
    </row>
    <row r="31" spans="1:13" x14ac:dyDescent="0.3">
      <c r="B31" s="3"/>
      <c r="C31" s="2"/>
      <c r="D31" s="2"/>
      <c r="E31" s="2" t="s">
        <v>265</v>
      </c>
      <c r="F31" s="114" cm="1">
        <f t="array" ref="F31">EXP(_xlfn.SINGLE(INDEX(LINEST(LN(E21:E27),),1)))-1</f>
        <v>6.7956328700209845E-2</v>
      </c>
      <c r="G31" s="2"/>
      <c r="H31" s="2"/>
      <c r="I31" s="2"/>
      <c r="J31" s="2"/>
      <c r="K31" s="2"/>
      <c r="L31" s="2"/>
      <c r="M31" s="2"/>
    </row>
    <row r="32" spans="1:13" x14ac:dyDescent="0.3">
      <c r="B32" s="3"/>
      <c r="C32" s="2"/>
      <c r="D32" s="2"/>
      <c r="E32" s="2"/>
      <c r="F32" s="2"/>
      <c r="G32" s="2"/>
      <c r="H32" s="2"/>
      <c r="I32" s="2"/>
      <c r="J32" s="2"/>
      <c r="K32" s="2"/>
      <c r="L32" s="2"/>
      <c r="M32" s="2"/>
    </row>
    <row r="33" spans="1:13" x14ac:dyDescent="0.3">
      <c r="B33" s="3"/>
      <c r="C33" s="2"/>
      <c r="D33" s="2" t="s">
        <v>266</v>
      </c>
      <c r="E33" s="2"/>
      <c r="F33" s="75">
        <f>F31</f>
        <v>6.7956328700209845E-2</v>
      </c>
      <c r="G33" s="2"/>
      <c r="H33" s="2"/>
      <c r="I33" s="2"/>
      <c r="J33" s="2"/>
      <c r="K33" s="2"/>
      <c r="L33" s="2"/>
      <c r="M33" s="2"/>
    </row>
    <row r="34" spans="1:13" x14ac:dyDescent="0.3">
      <c r="B34" s="3"/>
      <c r="C34" s="2"/>
      <c r="D34" s="2" t="s">
        <v>267</v>
      </c>
      <c r="E34" s="2" t="s">
        <v>273</v>
      </c>
      <c r="F34" s="2"/>
      <c r="G34" s="2"/>
      <c r="H34" s="2"/>
      <c r="I34" s="2"/>
      <c r="J34" s="2"/>
      <c r="K34" s="2"/>
      <c r="L34" s="2"/>
      <c r="M34" s="2"/>
    </row>
    <row r="35" spans="1:13" x14ac:dyDescent="0.3">
      <c r="M35" s="3"/>
    </row>
    <row r="36" spans="1:13" x14ac:dyDescent="0.3">
      <c r="A36" s="17" t="s">
        <v>5</v>
      </c>
      <c r="B36" s="4" t="s">
        <v>183</v>
      </c>
      <c r="C36" s="4"/>
      <c r="D36" s="4"/>
      <c r="E36" s="4"/>
      <c r="F36" s="4"/>
      <c r="G36" s="4"/>
      <c r="H36" s="4"/>
      <c r="I36" s="4"/>
      <c r="J36" s="4"/>
      <c r="K36" s="4"/>
      <c r="L36" s="4"/>
    </row>
    <row r="37" spans="1:13" x14ac:dyDescent="0.3">
      <c r="A37" s="2"/>
      <c r="B37" s="2"/>
      <c r="C37" s="2"/>
      <c r="D37" s="2"/>
      <c r="E37" s="2"/>
      <c r="F37" s="2"/>
      <c r="G37" s="2"/>
      <c r="H37" s="2"/>
      <c r="I37" s="2"/>
      <c r="J37" s="2"/>
      <c r="K37" s="2"/>
      <c r="L37" s="2"/>
    </row>
    <row r="38" spans="1:13" x14ac:dyDescent="0.3">
      <c r="A38" s="2" t="s">
        <v>1</v>
      </c>
      <c r="B38" s="2"/>
      <c r="C38" s="2"/>
      <c r="D38" s="2"/>
      <c r="E38" s="2"/>
      <c r="F38" s="2"/>
      <c r="G38" s="2"/>
      <c r="H38" s="2"/>
      <c r="I38" s="2"/>
      <c r="J38" s="2"/>
      <c r="K38" s="2"/>
      <c r="L38" s="2"/>
    </row>
    <row r="39" spans="1:13" ht="31.2" x14ac:dyDescent="0.3">
      <c r="B39" s="70" t="s">
        <v>74</v>
      </c>
      <c r="C39" s="70" t="str">
        <f t="shared" ref="C39:C46" si="4">E20</f>
        <v>Adjusted Severity</v>
      </c>
      <c r="D39" s="70" t="s">
        <v>274</v>
      </c>
      <c r="E39" s="70" t="s">
        <v>268</v>
      </c>
      <c r="F39" s="71"/>
      <c r="G39" s="2"/>
      <c r="H39" s="2"/>
      <c r="I39" s="2"/>
      <c r="J39" s="2"/>
      <c r="K39" s="2"/>
      <c r="L39" s="2"/>
    </row>
    <row r="40" spans="1:13" x14ac:dyDescent="0.3">
      <c r="B40" s="72">
        <f>$B$6</f>
        <v>2019</v>
      </c>
      <c r="C40" s="112">
        <f t="shared" si="4"/>
        <v>11495.408567931456</v>
      </c>
      <c r="D40" s="96">
        <f t="shared" ref="D40:D45" si="5">D41*(1+$F$33)</f>
        <v>1.4836141346176672</v>
      </c>
      <c r="E40" s="112">
        <f>C40*D40</f>
        <v>17054.750634588145</v>
      </c>
      <c r="F40" s="71"/>
      <c r="G40" s="2"/>
      <c r="H40" s="2"/>
      <c r="I40" s="2"/>
      <c r="J40" s="2"/>
      <c r="K40" s="2"/>
      <c r="L40" s="2"/>
    </row>
    <row r="41" spans="1:13" x14ac:dyDescent="0.3">
      <c r="B41" s="72">
        <f>B40+1</f>
        <v>2020</v>
      </c>
      <c r="C41" s="112">
        <f t="shared" si="4"/>
        <v>12031.536670687574</v>
      </c>
      <c r="D41" s="96">
        <f t="shared" si="5"/>
        <v>1.389208617194438</v>
      </c>
      <c r="E41" s="112">
        <f t="shared" ref="E41:E46" si="6">C41*D41</f>
        <v>16714.314421010058</v>
      </c>
      <c r="F41" s="71"/>
      <c r="G41" s="2"/>
      <c r="H41" s="2"/>
      <c r="I41" s="2"/>
      <c r="J41" s="2"/>
      <c r="K41" s="2"/>
      <c r="L41" s="2"/>
    </row>
    <row r="42" spans="1:13" x14ac:dyDescent="0.3">
      <c r="B42" s="72">
        <f t="shared" ref="B42:B46" si="7">B41+1</f>
        <v>2021</v>
      </c>
      <c r="C42" s="112">
        <f t="shared" si="4"/>
        <v>12672.013511904761</v>
      </c>
      <c r="D42" s="96">
        <f t="shared" si="5"/>
        <v>1.3008103232884236</v>
      </c>
      <c r="E42" s="112">
        <f t="shared" si="6"/>
        <v>16483.885993136104</v>
      </c>
      <c r="F42" s="71"/>
      <c r="G42" s="2"/>
      <c r="H42" s="2"/>
      <c r="I42" s="2"/>
      <c r="J42" s="2"/>
      <c r="K42" s="2"/>
      <c r="L42" s="2"/>
    </row>
    <row r="43" spans="1:13" x14ac:dyDescent="0.3">
      <c r="B43" s="72">
        <f t="shared" si="7"/>
        <v>2022</v>
      </c>
      <c r="C43" s="112">
        <f t="shared" si="4"/>
        <v>13807.873949579833</v>
      </c>
      <c r="D43" s="96">
        <f t="shared" si="5"/>
        <v>1.2180370005125736</v>
      </c>
      <c r="E43" s="112">
        <f t="shared" si="6"/>
        <v>16818.501369001922</v>
      </c>
      <c r="F43" s="71"/>
      <c r="G43" s="2"/>
      <c r="H43" s="2"/>
      <c r="I43" s="2"/>
      <c r="J43" s="2"/>
      <c r="K43" s="2"/>
      <c r="L43" s="2"/>
    </row>
    <row r="44" spans="1:13" x14ac:dyDescent="0.3">
      <c r="B44" s="72">
        <f t="shared" si="7"/>
        <v>2023</v>
      </c>
      <c r="C44" s="112">
        <f t="shared" si="4"/>
        <v>14575.023781212842</v>
      </c>
      <c r="D44" s="96">
        <f t="shared" si="5"/>
        <v>1.1405307200108306</v>
      </c>
      <c r="E44" s="112">
        <f t="shared" si="6"/>
        <v>16623.262367361662</v>
      </c>
      <c r="F44" s="71"/>
      <c r="G44" s="2"/>
      <c r="H44" s="2"/>
      <c r="I44" s="2"/>
      <c r="J44" s="2"/>
      <c r="K44" s="2"/>
      <c r="L44" s="2"/>
    </row>
    <row r="45" spans="1:13" x14ac:dyDescent="0.3">
      <c r="B45" s="72">
        <f t="shared" si="7"/>
        <v>2024</v>
      </c>
      <c r="C45" s="112">
        <f t="shared" si="4"/>
        <v>15716.014218009479</v>
      </c>
      <c r="D45" s="96">
        <f t="shared" si="5"/>
        <v>1.0679563287002098</v>
      </c>
      <c r="E45" s="112">
        <f t="shared" si="6"/>
        <v>16784.016846065704</v>
      </c>
      <c r="F45" s="71"/>
      <c r="G45" s="2"/>
      <c r="H45" s="2"/>
      <c r="I45" s="2"/>
      <c r="J45" s="2"/>
      <c r="K45" s="2"/>
      <c r="L45" s="2"/>
    </row>
    <row r="46" spans="1:13" x14ac:dyDescent="0.3">
      <c r="B46" s="77">
        <f t="shared" si="7"/>
        <v>2025</v>
      </c>
      <c r="C46" s="115">
        <f t="shared" si="4"/>
        <v>16959.833926453142</v>
      </c>
      <c r="D46" s="117">
        <v>1</v>
      </c>
      <c r="E46" s="115">
        <f t="shared" si="6"/>
        <v>16959.833926453142</v>
      </c>
      <c r="F46" s="71"/>
      <c r="G46" s="2"/>
      <c r="H46" s="2"/>
      <c r="I46" s="2"/>
      <c r="J46" s="2"/>
      <c r="K46" s="2"/>
      <c r="L46" s="2"/>
    </row>
    <row r="47" spans="1:13" x14ac:dyDescent="0.3">
      <c r="B47" s="2"/>
      <c r="C47" s="2"/>
      <c r="D47" s="2"/>
      <c r="E47" s="2"/>
      <c r="F47" s="71"/>
      <c r="G47" s="2"/>
      <c r="H47" s="2"/>
      <c r="I47" s="2"/>
      <c r="J47" s="2"/>
      <c r="K47" s="2"/>
      <c r="L47" s="2"/>
    </row>
    <row r="48" spans="1:13" x14ac:dyDescent="0.3">
      <c r="B48" s="2" t="s">
        <v>391</v>
      </c>
      <c r="C48" s="2"/>
      <c r="D48" s="2"/>
      <c r="E48" s="2"/>
      <c r="F48" s="2"/>
      <c r="G48" s="2"/>
      <c r="H48" s="2"/>
      <c r="I48" s="2"/>
      <c r="J48" s="2"/>
      <c r="K48" s="2"/>
      <c r="L48" s="2"/>
    </row>
    <row r="49" spans="1:12" x14ac:dyDescent="0.3">
      <c r="B49" s="2"/>
      <c r="C49" s="2"/>
      <c r="D49" s="2" t="s">
        <v>263</v>
      </c>
      <c r="E49" s="112">
        <f>AVERAGE(E40:E45)</f>
        <v>16746.455271860599</v>
      </c>
      <c r="F49" s="2"/>
      <c r="G49" s="2"/>
      <c r="H49" s="2"/>
      <c r="I49" s="2"/>
      <c r="J49" s="2"/>
      <c r="K49" s="2"/>
      <c r="L49" s="2"/>
    </row>
    <row r="50" spans="1:12" x14ac:dyDescent="0.3">
      <c r="B50" s="2"/>
      <c r="C50" s="2"/>
      <c r="D50" s="2" t="s">
        <v>269</v>
      </c>
      <c r="E50" s="112">
        <f>AVERAGE(E41,E43,E44,E45)</f>
        <v>16735.023750859837</v>
      </c>
      <c r="F50" s="2"/>
      <c r="G50" s="2"/>
      <c r="H50" s="2"/>
      <c r="I50" s="2"/>
      <c r="J50" s="2"/>
      <c r="K50" s="2"/>
      <c r="L50" s="2"/>
    </row>
    <row r="51" spans="1:12" x14ac:dyDescent="0.3">
      <c r="B51" s="2"/>
      <c r="C51" s="2" t="str">
        <f>"Selected Severity at "&amp;B46&amp;" cost level"</f>
        <v>Selected Severity at 2025 cost level</v>
      </c>
      <c r="D51" s="2"/>
      <c r="E51" s="112">
        <f>E50</f>
        <v>16735.023750859837</v>
      </c>
      <c r="F51" s="2"/>
      <c r="G51" s="2"/>
      <c r="H51" s="2"/>
      <c r="I51" s="2"/>
      <c r="J51" s="2"/>
      <c r="K51" s="2"/>
      <c r="L51" s="2"/>
    </row>
    <row r="52" spans="1:12" x14ac:dyDescent="0.3">
      <c r="B52" s="2"/>
      <c r="C52" s="2" t="s">
        <v>267</v>
      </c>
      <c r="D52" s="2" t="s">
        <v>275</v>
      </c>
      <c r="E52" s="2"/>
      <c r="F52" s="2"/>
      <c r="G52" s="2"/>
      <c r="H52" s="2"/>
      <c r="I52" s="2"/>
      <c r="J52" s="2"/>
      <c r="K52" s="2"/>
      <c r="L52" s="2"/>
    </row>
    <row r="54" spans="1:12" x14ac:dyDescent="0.3">
      <c r="A54" s="17" t="s">
        <v>0</v>
      </c>
      <c r="B54" s="4" t="s">
        <v>184</v>
      </c>
      <c r="C54" s="4"/>
      <c r="D54" s="4"/>
      <c r="E54" s="4"/>
      <c r="F54" s="4"/>
      <c r="G54" s="4"/>
      <c r="H54" s="4"/>
      <c r="I54" s="4"/>
      <c r="J54" s="4"/>
      <c r="K54" s="4"/>
      <c r="L54" s="4"/>
    </row>
    <row r="55" spans="1:12" x14ac:dyDescent="0.3">
      <c r="A55" s="2"/>
      <c r="B55" s="2"/>
      <c r="C55" s="2"/>
      <c r="D55" s="2"/>
      <c r="E55" s="2"/>
      <c r="F55" s="2"/>
      <c r="G55" s="2"/>
      <c r="H55" s="2"/>
      <c r="I55" s="2"/>
      <c r="J55" s="2"/>
      <c r="K55" s="2"/>
      <c r="L55" s="2"/>
    </row>
    <row r="56" spans="1:12" x14ac:dyDescent="0.3">
      <c r="A56" s="2" t="s">
        <v>1</v>
      </c>
      <c r="B56" s="2"/>
      <c r="C56" s="2"/>
      <c r="D56" s="2"/>
      <c r="E56" s="2"/>
      <c r="F56" s="2"/>
      <c r="G56" s="2"/>
      <c r="H56" s="2"/>
      <c r="I56" s="2"/>
      <c r="J56" s="2"/>
      <c r="K56" s="2"/>
      <c r="L56" s="2"/>
    </row>
    <row r="57" spans="1:12" x14ac:dyDescent="0.3">
      <c r="A57" s="2"/>
      <c r="B57" s="2"/>
      <c r="C57" s="2"/>
      <c r="D57" s="2"/>
      <c r="E57" s="2"/>
      <c r="F57" s="2"/>
      <c r="G57" s="2"/>
      <c r="H57" s="2"/>
      <c r="I57" s="2"/>
      <c r="J57" s="2"/>
      <c r="K57" s="2"/>
      <c r="L57" s="2"/>
    </row>
    <row r="58" spans="1:12" ht="31.2" x14ac:dyDescent="0.3">
      <c r="B58" s="70" t="s">
        <v>74</v>
      </c>
      <c r="C58" s="70" t="s">
        <v>270</v>
      </c>
      <c r="D58" s="70" t="s">
        <v>271</v>
      </c>
      <c r="E58" s="70" t="s">
        <v>272</v>
      </c>
    </row>
    <row r="59" spans="1:12" x14ac:dyDescent="0.3">
      <c r="B59" s="72">
        <f>$B$6</f>
        <v>2019</v>
      </c>
      <c r="C59" s="112">
        <f t="shared" ref="C59:C65" si="8">$E$51/(D40*D21)</f>
        <v>16114.147357529449</v>
      </c>
      <c r="D59" s="72">
        <f>C6</f>
        <v>817</v>
      </c>
      <c r="E59" s="76">
        <f>D59*C59</f>
        <v>13165258.39110156</v>
      </c>
    </row>
    <row r="60" spans="1:12" x14ac:dyDescent="0.3">
      <c r="B60" s="72">
        <f>B59+1</f>
        <v>2020</v>
      </c>
      <c r="C60" s="112">
        <f t="shared" si="8"/>
        <v>17209.205652081338</v>
      </c>
      <c r="D60" s="72">
        <f t="shared" ref="D60:D65" si="9">C7</f>
        <v>829</v>
      </c>
      <c r="E60" s="76">
        <f t="shared" ref="E60:E65" si="10">D60*C60</f>
        <v>14266431.48557543</v>
      </c>
    </row>
    <row r="61" spans="1:12" x14ac:dyDescent="0.3">
      <c r="B61" s="72">
        <f t="shared" ref="B61:B65" si="11">B60+1</f>
        <v>2021</v>
      </c>
      <c r="C61" s="112">
        <f t="shared" si="8"/>
        <v>15135.383601918333</v>
      </c>
      <c r="D61" s="72">
        <f t="shared" si="9"/>
        <v>840</v>
      </c>
      <c r="E61" s="76">
        <f t="shared" si="10"/>
        <v>12713722.2256114</v>
      </c>
    </row>
    <row r="62" spans="1:12" x14ac:dyDescent="0.3">
      <c r="B62" s="72">
        <f t="shared" si="11"/>
        <v>2022</v>
      </c>
      <c r="C62" s="112">
        <f t="shared" si="8"/>
        <v>13739.339399227949</v>
      </c>
      <c r="D62" s="72">
        <f t="shared" si="9"/>
        <v>833</v>
      </c>
      <c r="E62" s="76">
        <f t="shared" si="10"/>
        <v>11444869.719556881</v>
      </c>
    </row>
    <row r="63" spans="1:12" x14ac:dyDescent="0.3">
      <c r="B63" s="72">
        <f t="shared" si="11"/>
        <v>2023</v>
      </c>
      <c r="C63" s="112">
        <f t="shared" si="8"/>
        <v>14673.014463565629</v>
      </c>
      <c r="D63" s="72">
        <f t="shared" si="9"/>
        <v>841</v>
      </c>
      <c r="E63" s="76">
        <f t="shared" si="10"/>
        <v>12340005.163858693</v>
      </c>
    </row>
    <row r="64" spans="1:12" x14ac:dyDescent="0.3">
      <c r="B64" s="72">
        <f t="shared" si="11"/>
        <v>2024</v>
      </c>
      <c r="C64" s="112">
        <f t="shared" si="8"/>
        <v>15670.138657474627</v>
      </c>
      <c r="D64" s="72">
        <f t="shared" si="9"/>
        <v>844</v>
      </c>
      <c r="E64" s="76">
        <f t="shared" si="10"/>
        <v>13225597.026908584</v>
      </c>
    </row>
    <row r="65" spans="2:5" x14ac:dyDescent="0.3">
      <c r="B65" s="77">
        <f t="shared" si="11"/>
        <v>2025</v>
      </c>
      <c r="C65" s="115">
        <f t="shared" si="8"/>
        <v>16735.023750859837</v>
      </c>
      <c r="D65" s="77">
        <f t="shared" si="9"/>
        <v>843</v>
      </c>
      <c r="E65" s="78">
        <f t="shared" si="10"/>
        <v>14107625.021974843</v>
      </c>
    </row>
    <row r="66" spans="2:5" x14ac:dyDescent="0.3">
      <c r="B66" s="71"/>
      <c r="C66" s="2"/>
      <c r="D66" s="2"/>
      <c r="E66" s="76">
        <f>SUM(E59:E65)</f>
        <v>91263509.034587398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6B66-2595-4678-8429-52CDF33B7339}">
  <dimension ref="A1:R103"/>
  <sheetViews>
    <sheetView zoomScaleNormal="100" workbookViewId="0"/>
  </sheetViews>
  <sheetFormatPr defaultRowHeight="15.6" x14ac:dyDescent="0.3"/>
  <cols>
    <col min="1" max="1" width="8.88671875" style="1" customWidth="1"/>
    <col min="2" max="5" width="12.77734375" style="1" customWidth="1"/>
    <col min="6" max="6" width="17.5546875" style="1" customWidth="1"/>
    <col min="7" max="7" width="12.77734375" style="1" customWidth="1"/>
    <col min="8" max="8" width="16.5546875" style="1" customWidth="1"/>
    <col min="9" max="12" width="12.77734375" style="1" customWidth="1"/>
    <col min="13" max="16384" width="8.88671875" style="1"/>
  </cols>
  <sheetData>
    <row r="1" spans="1:18" ht="17.399999999999999" x14ac:dyDescent="0.3">
      <c r="A1" s="14" t="s">
        <v>78</v>
      </c>
      <c r="B1" s="4"/>
      <c r="C1" s="4" t="s">
        <v>79</v>
      </c>
      <c r="D1" s="4"/>
      <c r="E1" s="4"/>
      <c r="F1" s="4"/>
      <c r="G1" s="4"/>
      <c r="H1" s="4"/>
      <c r="I1" s="4"/>
      <c r="J1" s="4"/>
      <c r="K1" s="4"/>
      <c r="L1" s="15"/>
    </row>
    <row r="2" spans="1:18" x14ac:dyDescent="0.3">
      <c r="A2" s="4"/>
      <c r="B2" s="4"/>
      <c r="C2" s="4"/>
      <c r="D2" s="4"/>
      <c r="E2" s="4"/>
      <c r="F2" s="4"/>
      <c r="G2" s="4"/>
      <c r="H2" s="4"/>
      <c r="I2" s="4"/>
      <c r="J2" s="4"/>
      <c r="K2" s="4"/>
      <c r="L2" s="15"/>
    </row>
    <row r="3" spans="1:18" x14ac:dyDescent="0.3">
      <c r="A3" s="2"/>
      <c r="B3" s="2"/>
      <c r="C3" s="2"/>
      <c r="D3" s="2"/>
      <c r="E3" s="2"/>
      <c r="F3" s="2"/>
      <c r="G3" s="2"/>
      <c r="H3" s="2"/>
      <c r="I3" s="2"/>
      <c r="J3" s="2"/>
      <c r="K3" s="2"/>
      <c r="L3" s="2"/>
    </row>
    <row r="4" spans="1:18" x14ac:dyDescent="0.3">
      <c r="A4" s="17" t="s">
        <v>4</v>
      </c>
      <c r="B4" s="4" t="s">
        <v>80</v>
      </c>
      <c r="C4" s="4"/>
      <c r="D4" s="4"/>
      <c r="E4" s="4"/>
      <c r="F4" s="4"/>
      <c r="G4" s="4"/>
      <c r="H4" s="4"/>
      <c r="I4" s="4"/>
      <c r="J4" s="4"/>
      <c r="K4" s="4"/>
      <c r="L4" s="4"/>
      <c r="M4" s="3"/>
      <c r="N4" s="3"/>
      <c r="O4" s="3"/>
      <c r="P4" s="3"/>
      <c r="Q4" s="3"/>
      <c r="R4" s="3"/>
    </row>
    <row r="5" spans="1:18" x14ac:dyDescent="0.3">
      <c r="A5" s="2"/>
      <c r="B5" s="2"/>
      <c r="C5" s="2"/>
      <c r="D5" s="2"/>
      <c r="E5" s="2"/>
      <c r="F5" s="2"/>
      <c r="G5" s="2"/>
      <c r="H5" s="2"/>
      <c r="I5" s="2"/>
      <c r="J5" s="2"/>
      <c r="K5" s="2"/>
      <c r="L5" s="2"/>
      <c r="M5" s="2"/>
    </row>
    <row r="6" spans="1:18" x14ac:dyDescent="0.3">
      <c r="A6" s="2" t="s">
        <v>1</v>
      </c>
      <c r="B6" s="2"/>
      <c r="C6" s="2"/>
      <c r="D6" s="2"/>
      <c r="E6" s="2"/>
      <c r="F6" s="2"/>
      <c r="G6" s="2"/>
      <c r="H6" s="2"/>
      <c r="I6" s="2"/>
      <c r="J6" s="2"/>
      <c r="K6" s="2"/>
      <c r="L6" s="2"/>
      <c r="M6" s="2"/>
    </row>
    <row r="7" spans="1:18" x14ac:dyDescent="0.3">
      <c r="A7" s="2"/>
      <c r="B7" s="2"/>
      <c r="C7" s="2"/>
      <c r="D7" s="2"/>
      <c r="E7" s="2"/>
      <c r="F7" s="2"/>
      <c r="G7" s="2"/>
      <c r="H7" s="2"/>
      <c r="I7" s="2"/>
      <c r="J7" s="2"/>
      <c r="K7" s="2"/>
      <c r="L7" s="2"/>
      <c r="M7" s="2"/>
    </row>
    <row r="8" spans="1:18" x14ac:dyDescent="0.3">
      <c r="A8" s="147"/>
      <c r="B8" s="147" t="s">
        <v>358</v>
      </c>
      <c r="M8" s="3"/>
    </row>
    <row r="9" spans="1:18" x14ac:dyDescent="0.3">
      <c r="B9" s="1" t="s">
        <v>359</v>
      </c>
      <c r="M9" s="3"/>
    </row>
    <row r="10" spans="1:18" x14ac:dyDescent="0.3">
      <c r="M10" s="3"/>
    </row>
    <row r="11" spans="1:18" x14ac:dyDescent="0.3">
      <c r="B11" s="1" t="s">
        <v>276</v>
      </c>
      <c r="M11" s="3"/>
    </row>
    <row r="12" spans="1:18" x14ac:dyDescent="0.3">
      <c r="M12" s="3"/>
    </row>
    <row r="13" spans="1:18" x14ac:dyDescent="0.3">
      <c r="A13" s="4"/>
      <c r="B13" s="4"/>
      <c r="C13" s="4"/>
      <c r="D13" s="4"/>
      <c r="E13" s="4"/>
      <c r="F13" s="4"/>
      <c r="G13" s="4"/>
      <c r="H13" s="4"/>
      <c r="I13" s="4"/>
      <c r="J13" s="4"/>
      <c r="K13" s="4"/>
      <c r="L13" s="15"/>
      <c r="M13" s="3"/>
    </row>
    <row r="14" spans="1:18" x14ac:dyDescent="0.3">
      <c r="A14" s="4" t="s">
        <v>81</v>
      </c>
      <c r="B14" s="4"/>
      <c r="C14" s="4"/>
      <c r="D14" s="4"/>
      <c r="E14" s="4"/>
      <c r="F14" s="4"/>
      <c r="G14" s="4"/>
      <c r="H14" s="4"/>
      <c r="I14" s="4"/>
      <c r="J14" s="4"/>
      <c r="K14" s="4"/>
      <c r="L14" s="15"/>
      <c r="M14" s="3"/>
    </row>
    <row r="15" spans="1:18" x14ac:dyDescent="0.3">
      <c r="M15" s="3"/>
    </row>
    <row r="16" spans="1:18" x14ac:dyDescent="0.3">
      <c r="A16" s="17" t="s">
        <v>5</v>
      </c>
      <c r="B16" s="4" t="s">
        <v>82</v>
      </c>
      <c r="C16" s="4"/>
      <c r="D16" s="4"/>
      <c r="E16" s="4"/>
      <c r="F16" s="4"/>
      <c r="G16" s="4"/>
      <c r="H16" s="4"/>
      <c r="I16" s="4"/>
      <c r="J16" s="4"/>
      <c r="K16" s="4"/>
      <c r="L16" s="4"/>
    </row>
    <row r="17" spans="1:12" x14ac:dyDescent="0.3">
      <c r="A17" s="17"/>
      <c r="B17" s="4"/>
      <c r="C17" s="4"/>
      <c r="D17" s="4"/>
      <c r="E17" s="4"/>
      <c r="F17" s="4"/>
      <c r="G17" s="4"/>
      <c r="H17" s="4"/>
      <c r="I17" s="4"/>
      <c r="J17" s="4"/>
      <c r="K17" s="4"/>
      <c r="L17" s="4"/>
    </row>
    <row r="18" spans="1:12" x14ac:dyDescent="0.3">
      <c r="A18" s="17"/>
      <c r="B18" s="18" t="s">
        <v>83</v>
      </c>
      <c r="C18" s="4"/>
      <c r="D18" s="4"/>
      <c r="E18" s="4"/>
      <c r="F18" s="4"/>
      <c r="G18" s="4"/>
      <c r="H18" s="4"/>
      <c r="I18" s="4"/>
      <c r="J18" s="4"/>
      <c r="K18" s="4"/>
      <c r="L18" s="4"/>
    </row>
    <row r="19" spans="1:12" x14ac:dyDescent="0.3">
      <c r="A19" s="17"/>
      <c r="B19" s="18"/>
      <c r="C19" s="4"/>
      <c r="D19" s="4"/>
      <c r="E19" s="4"/>
      <c r="F19" s="4"/>
      <c r="G19" s="4"/>
      <c r="H19" s="4"/>
      <c r="I19" s="4"/>
      <c r="J19" s="4"/>
      <c r="K19" s="4"/>
      <c r="L19" s="4"/>
    </row>
    <row r="20" spans="1:12" x14ac:dyDescent="0.3">
      <c r="A20" s="17"/>
      <c r="B20" s="18" t="s">
        <v>84</v>
      </c>
      <c r="C20" s="4"/>
      <c r="D20" s="4"/>
      <c r="E20" s="4"/>
      <c r="F20" s="4"/>
      <c r="G20" s="4"/>
      <c r="H20" s="4"/>
      <c r="I20" s="4"/>
      <c r="J20" s="4"/>
      <c r="K20" s="4"/>
      <c r="L20" s="4"/>
    </row>
    <row r="21" spans="1:12" x14ac:dyDescent="0.3">
      <c r="A21" s="2"/>
      <c r="B21" s="2"/>
      <c r="C21" s="2"/>
      <c r="D21" s="2"/>
      <c r="E21" s="2"/>
      <c r="F21" s="2"/>
      <c r="G21" s="2"/>
      <c r="H21" s="2"/>
      <c r="I21" s="2"/>
      <c r="J21" s="2"/>
      <c r="K21" s="2"/>
      <c r="L21" s="2"/>
    </row>
    <row r="22" spans="1:12" x14ac:dyDescent="0.3">
      <c r="A22" s="2" t="s">
        <v>1</v>
      </c>
      <c r="B22" s="2"/>
      <c r="C22" s="2"/>
      <c r="D22" s="2"/>
      <c r="E22" s="2"/>
      <c r="F22" s="2"/>
      <c r="G22" s="2"/>
      <c r="H22" s="2"/>
      <c r="I22" s="2"/>
      <c r="J22" s="2"/>
      <c r="K22" s="2"/>
      <c r="L22" s="2"/>
    </row>
    <row r="23" spans="1:12" x14ac:dyDescent="0.3">
      <c r="A23" s="2"/>
      <c r="B23" s="2"/>
      <c r="C23" s="2"/>
      <c r="D23" s="2"/>
      <c r="E23" s="2"/>
      <c r="F23" s="2"/>
      <c r="G23" s="2"/>
      <c r="H23" s="2"/>
      <c r="I23" s="2"/>
      <c r="J23" s="2"/>
      <c r="K23" s="2"/>
      <c r="L23" s="2"/>
    </row>
    <row r="24" spans="1:12" x14ac:dyDescent="0.3">
      <c r="A24" s="2"/>
      <c r="B24" s="39" t="s">
        <v>360</v>
      </c>
      <c r="C24" s="2"/>
      <c r="D24" s="2"/>
      <c r="E24" s="2"/>
      <c r="F24" s="2"/>
      <c r="G24" s="2"/>
      <c r="H24" s="2"/>
      <c r="I24" s="2"/>
      <c r="J24" s="2"/>
      <c r="K24" s="2"/>
      <c r="L24" s="2"/>
    </row>
    <row r="25" spans="1:12" x14ac:dyDescent="0.3">
      <c r="A25" s="2"/>
      <c r="B25" s="39" t="s">
        <v>366</v>
      </c>
      <c r="C25" s="2"/>
      <c r="D25" s="2"/>
      <c r="E25" s="2"/>
      <c r="F25" s="2"/>
      <c r="G25" s="2"/>
      <c r="H25" s="2"/>
      <c r="I25" s="2"/>
      <c r="J25" s="2"/>
      <c r="K25" s="2"/>
      <c r="L25" s="2"/>
    </row>
    <row r="26" spans="1:12" x14ac:dyDescent="0.3">
      <c r="A26" s="2"/>
      <c r="B26" s="39" t="s">
        <v>361</v>
      </c>
      <c r="C26" s="2"/>
      <c r="D26" s="2"/>
      <c r="E26" s="2"/>
      <c r="F26" s="2"/>
      <c r="G26" s="2"/>
      <c r="H26" s="2"/>
      <c r="I26" s="2"/>
      <c r="J26" s="2"/>
      <c r="K26" s="2"/>
      <c r="L26" s="2"/>
    </row>
    <row r="27" spans="1:12" x14ac:dyDescent="0.3">
      <c r="A27" s="2"/>
      <c r="B27" s="39" t="s">
        <v>362</v>
      </c>
      <c r="C27" s="2"/>
      <c r="D27" s="2"/>
      <c r="E27" s="2"/>
      <c r="F27" s="2"/>
      <c r="G27" s="2"/>
      <c r="H27" s="2"/>
      <c r="I27" s="2"/>
      <c r="J27" s="2"/>
      <c r="K27" s="2"/>
      <c r="L27" s="2"/>
    </row>
    <row r="28" spans="1:12" x14ac:dyDescent="0.3">
      <c r="A28" s="2"/>
      <c r="B28" s="39" t="s">
        <v>363</v>
      </c>
      <c r="C28" s="2"/>
      <c r="D28" s="2"/>
      <c r="E28" s="2"/>
      <c r="F28" s="2"/>
      <c r="G28" s="2"/>
      <c r="H28" s="2"/>
      <c r="I28" s="2"/>
      <c r="J28" s="2"/>
      <c r="K28" s="2"/>
      <c r="L28" s="2"/>
    </row>
    <row r="29" spans="1:12" x14ac:dyDescent="0.3">
      <c r="A29" s="2"/>
      <c r="B29" s="2"/>
      <c r="C29" s="2"/>
      <c r="D29" s="2"/>
      <c r="E29" s="2"/>
      <c r="F29" s="2"/>
      <c r="G29" s="2"/>
      <c r="H29" s="2"/>
      <c r="I29" s="2"/>
      <c r="J29" s="2"/>
      <c r="K29" s="2"/>
      <c r="L29" s="2"/>
    </row>
    <row r="30" spans="1:12" x14ac:dyDescent="0.3">
      <c r="A30" s="2"/>
      <c r="B30" s="39" t="s">
        <v>364</v>
      </c>
      <c r="C30" s="2"/>
      <c r="D30" s="2"/>
      <c r="E30" s="2"/>
      <c r="F30" s="2"/>
      <c r="G30" s="2"/>
      <c r="H30" s="2"/>
      <c r="I30" s="2"/>
      <c r="J30" s="2"/>
      <c r="K30" s="2"/>
      <c r="L30" s="2"/>
    </row>
    <row r="31" spans="1:12" x14ac:dyDescent="0.3">
      <c r="A31" s="2"/>
      <c r="B31" s="147" t="s">
        <v>367</v>
      </c>
      <c r="C31" s="2"/>
      <c r="D31" s="2"/>
      <c r="E31" s="2"/>
      <c r="F31" s="2"/>
      <c r="G31" s="2"/>
      <c r="H31" s="2"/>
      <c r="I31" s="2"/>
      <c r="J31" s="2"/>
      <c r="K31" s="2"/>
      <c r="L31" s="2"/>
    </row>
    <row r="32" spans="1:12" x14ac:dyDescent="0.3">
      <c r="A32" s="2"/>
      <c r="B32" s="1" t="s">
        <v>368</v>
      </c>
      <c r="C32" s="2"/>
      <c r="D32" s="2"/>
      <c r="E32" s="2"/>
      <c r="F32" s="2"/>
      <c r="G32" s="2"/>
      <c r="H32" s="2"/>
      <c r="I32" s="2"/>
      <c r="J32" s="2"/>
      <c r="K32" s="2"/>
      <c r="L32" s="2"/>
    </row>
    <row r="33" spans="1:12" x14ac:dyDescent="0.3">
      <c r="A33" s="2"/>
      <c r="B33" s="1" t="s">
        <v>408</v>
      </c>
      <c r="C33" s="2"/>
      <c r="D33" s="2"/>
      <c r="E33" s="2"/>
      <c r="F33" s="2"/>
      <c r="G33" s="2"/>
      <c r="H33" s="2"/>
      <c r="I33" s="2"/>
      <c r="J33" s="2"/>
      <c r="K33" s="2"/>
      <c r="L33" s="2"/>
    </row>
    <row r="34" spans="1:12" x14ac:dyDescent="0.3">
      <c r="A34" s="2"/>
      <c r="B34" s="1" t="s">
        <v>365</v>
      </c>
      <c r="C34" s="2"/>
      <c r="D34" s="2"/>
      <c r="E34" s="2"/>
      <c r="F34" s="2"/>
      <c r="G34" s="2"/>
      <c r="H34" s="2"/>
      <c r="I34" s="2"/>
      <c r="J34" s="2"/>
      <c r="K34" s="2"/>
      <c r="L34" s="2"/>
    </row>
    <row r="35" spans="1:12" x14ac:dyDescent="0.3">
      <c r="A35" s="2"/>
      <c r="B35" s="1" t="s">
        <v>369</v>
      </c>
      <c r="C35" s="2"/>
      <c r="D35" s="2"/>
      <c r="E35" s="2"/>
      <c r="F35" s="2"/>
      <c r="G35" s="2"/>
      <c r="H35" s="2"/>
      <c r="I35" s="2"/>
      <c r="J35" s="2"/>
      <c r="K35" s="2"/>
      <c r="L35" s="2"/>
    </row>
    <row r="36" spans="1:12" x14ac:dyDescent="0.3">
      <c r="A36" s="2"/>
      <c r="B36" s="1" t="s">
        <v>370</v>
      </c>
      <c r="C36" s="2"/>
      <c r="D36" s="2"/>
      <c r="E36" s="2"/>
      <c r="F36" s="2"/>
      <c r="G36" s="2"/>
      <c r="H36" s="2"/>
      <c r="I36" s="2"/>
      <c r="J36" s="2"/>
      <c r="K36" s="2"/>
      <c r="L36" s="2"/>
    </row>
    <row r="38" spans="1:12" x14ac:dyDescent="0.3">
      <c r="A38" s="17"/>
      <c r="B38" s="18"/>
      <c r="C38" s="4"/>
      <c r="D38" s="4"/>
      <c r="E38" s="4"/>
      <c r="F38" s="4"/>
      <c r="G38" s="4"/>
      <c r="H38" s="4"/>
      <c r="I38" s="4"/>
      <c r="J38" s="4"/>
      <c r="K38" s="4"/>
      <c r="L38" s="4"/>
    </row>
    <row r="39" spans="1:12" x14ac:dyDescent="0.3">
      <c r="A39" s="18" t="s">
        <v>16</v>
      </c>
      <c r="B39" s="18"/>
      <c r="C39" s="4"/>
      <c r="D39" s="4"/>
      <c r="E39" s="4"/>
      <c r="F39" s="4"/>
      <c r="G39" s="4"/>
      <c r="H39" s="4"/>
      <c r="I39" s="4"/>
      <c r="J39" s="4"/>
      <c r="K39" s="4"/>
      <c r="L39" s="4"/>
    </row>
    <row r="40" spans="1:12" x14ac:dyDescent="0.3">
      <c r="A40" s="17"/>
      <c r="B40" s="18"/>
      <c r="C40" s="4"/>
      <c r="D40" s="4"/>
      <c r="E40" s="4"/>
      <c r="F40" s="4"/>
      <c r="G40" s="4"/>
      <c r="H40" s="4"/>
      <c r="I40" s="4"/>
      <c r="J40" s="4"/>
      <c r="K40" s="4"/>
      <c r="L40" s="4"/>
    </row>
    <row r="41" spans="1:12" ht="15.6" customHeight="1" x14ac:dyDescent="0.3">
      <c r="A41" s="17"/>
      <c r="B41" s="172" t="s">
        <v>87</v>
      </c>
      <c r="C41" s="173"/>
      <c r="D41" s="173"/>
      <c r="E41" s="174"/>
      <c r="F41" s="40">
        <v>13160</v>
      </c>
      <c r="G41" s="4"/>
      <c r="H41" s="4"/>
      <c r="I41" s="4"/>
      <c r="J41" s="4"/>
      <c r="K41" s="4"/>
      <c r="L41" s="4"/>
    </row>
    <row r="42" spans="1:12" ht="15.6" customHeight="1" x14ac:dyDescent="0.3">
      <c r="A42" s="17"/>
      <c r="B42" s="172" t="s">
        <v>88</v>
      </c>
      <c r="C42" s="173"/>
      <c r="D42" s="173"/>
      <c r="E42" s="174"/>
      <c r="F42" s="40">
        <v>2340000</v>
      </c>
      <c r="G42" s="4"/>
      <c r="H42" s="4"/>
      <c r="I42" s="4"/>
      <c r="J42" s="4"/>
      <c r="K42" s="4"/>
      <c r="L42" s="4"/>
    </row>
    <row r="43" spans="1:12" ht="15.6" customHeight="1" x14ac:dyDescent="0.3">
      <c r="A43" s="17"/>
      <c r="B43" s="172" t="s">
        <v>95</v>
      </c>
      <c r="C43" s="173"/>
      <c r="D43" s="173"/>
      <c r="E43" s="174"/>
      <c r="F43" s="40">
        <v>875000</v>
      </c>
      <c r="G43" s="4"/>
      <c r="H43" s="4"/>
      <c r="I43" s="4"/>
      <c r="J43" s="4"/>
      <c r="K43" s="4"/>
      <c r="L43" s="4"/>
    </row>
    <row r="44" spans="1:12" ht="15.6" customHeight="1" x14ac:dyDescent="0.3">
      <c r="A44" s="17"/>
      <c r="B44" s="172" t="s">
        <v>89</v>
      </c>
      <c r="C44" s="173"/>
      <c r="D44" s="173"/>
      <c r="E44" s="174"/>
      <c r="F44" s="41">
        <v>0.66</v>
      </c>
      <c r="G44" s="4"/>
      <c r="H44" s="4"/>
      <c r="I44" s="4"/>
      <c r="J44" s="4"/>
      <c r="K44" s="4"/>
      <c r="L44" s="4"/>
    </row>
    <row r="45" spans="1:12" x14ac:dyDescent="0.3">
      <c r="A45" s="17"/>
      <c r="B45" s="18"/>
      <c r="C45" s="4"/>
      <c r="D45" s="4"/>
      <c r="E45" s="4"/>
      <c r="F45" s="4"/>
      <c r="G45" s="4"/>
      <c r="H45" s="4"/>
      <c r="I45" s="4"/>
      <c r="J45" s="4"/>
      <c r="K45" s="4"/>
      <c r="L45" s="4"/>
    </row>
    <row r="46" spans="1:12" x14ac:dyDescent="0.3">
      <c r="A46" s="17"/>
      <c r="B46" s="171" t="s">
        <v>90</v>
      </c>
      <c r="C46" s="171"/>
      <c r="D46" s="171"/>
      <c r="E46" s="4"/>
      <c r="F46" s="4"/>
      <c r="G46" s="4"/>
      <c r="H46" s="4"/>
      <c r="I46" s="4"/>
      <c r="J46" s="4"/>
      <c r="K46" s="4"/>
      <c r="L46" s="4"/>
    </row>
    <row r="47" spans="1:12" x14ac:dyDescent="0.3">
      <c r="A47" s="17"/>
      <c r="B47" s="170" t="s">
        <v>91</v>
      </c>
      <c r="C47" s="170"/>
      <c r="D47" s="42">
        <v>0.45</v>
      </c>
      <c r="E47" s="4"/>
      <c r="F47" s="4"/>
      <c r="G47" s="4"/>
      <c r="H47" s="4"/>
      <c r="I47" s="4"/>
      <c r="J47" s="4"/>
      <c r="K47" s="4"/>
      <c r="L47" s="4"/>
    </row>
    <row r="48" spans="1:12" x14ac:dyDescent="0.3">
      <c r="A48" s="17"/>
      <c r="B48" s="170" t="s">
        <v>92</v>
      </c>
      <c r="C48" s="170"/>
      <c r="D48" s="42">
        <v>0.35</v>
      </c>
      <c r="E48" s="4"/>
      <c r="F48" s="4"/>
      <c r="G48" s="4"/>
      <c r="H48" s="4"/>
      <c r="I48" s="4"/>
      <c r="J48" s="4"/>
      <c r="K48" s="4"/>
      <c r="L48" s="4"/>
    </row>
    <row r="49" spans="1:13" x14ac:dyDescent="0.3">
      <c r="A49" s="17"/>
      <c r="B49" s="170" t="s">
        <v>93</v>
      </c>
      <c r="C49" s="170"/>
      <c r="D49" s="42">
        <v>0.15</v>
      </c>
      <c r="E49" s="4"/>
      <c r="F49" s="4"/>
      <c r="G49" s="4"/>
      <c r="H49" s="4"/>
      <c r="I49" s="4"/>
      <c r="J49" s="4"/>
      <c r="K49" s="4"/>
      <c r="L49" s="4"/>
    </row>
    <row r="50" spans="1:13" x14ac:dyDescent="0.3">
      <c r="A50" s="17"/>
      <c r="B50" s="170" t="s">
        <v>94</v>
      </c>
      <c r="C50" s="170"/>
      <c r="D50" s="42">
        <v>0.05</v>
      </c>
      <c r="E50" s="4"/>
      <c r="F50" s="4"/>
      <c r="G50" s="4"/>
      <c r="H50" s="4"/>
      <c r="I50" s="4"/>
      <c r="J50" s="4"/>
      <c r="K50" s="4"/>
      <c r="L50" s="4"/>
    </row>
    <row r="52" spans="1:13" x14ac:dyDescent="0.3">
      <c r="A52" s="17" t="s">
        <v>0</v>
      </c>
      <c r="B52" s="4" t="s">
        <v>96</v>
      </c>
      <c r="C52" s="4"/>
      <c r="D52" s="4"/>
      <c r="E52" s="4"/>
      <c r="F52" s="4"/>
      <c r="G52" s="4"/>
      <c r="H52" s="4"/>
      <c r="I52" s="4"/>
      <c r="J52" s="4"/>
      <c r="K52" s="4"/>
      <c r="L52" s="4"/>
    </row>
    <row r="53" spans="1:13" x14ac:dyDescent="0.3">
      <c r="A53" s="2"/>
      <c r="B53" s="2"/>
      <c r="C53" s="2"/>
      <c r="D53" s="2"/>
      <c r="E53" s="2"/>
      <c r="F53" s="2"/>
      <c r="G53" s="2"/>
      <c r="H53" s="2"/>
      <c r="I53" s="2"/>
      <c r="J53" s="2"/>
      <c r="K53" s="2"/>
      <c r="L53" s="2"/>
    </row>
    <row r="54" spans="1:13" x14ac:dyDescent="0.3">
      <c r="A54" s="2" t="s">
        <v>1</v>
      </c>
      <c r="B54" s="2"/>
      <c r="C54" s="2"/>
      <c r="D54" s="2"/>
      <c r="E54" s="2"/>
      <c r="F54" s="2"/>
      <c r="G54" s="2"/>
      <c r="H54" s="2"/>
      <c r="I54" s="2"/>
      <c r="J54" s="2"/>
      <c r="K54" s="2"/>
      <c r="L54" s="2"/>
    </row>
    <row r="55" spans="1:13" x14ac:dyDescent="0.3">
      <c r="A55"/>
      <c r="B55"/>
      <c r="C55"/>
      <c r="D55"/>
      <c r="E55"/>
      <c r="F55"/>
      <c r="G55" s="2"/>
      <c r="H55" s="2"/>
      <c r="I55" s="2"/>
      <c r="J55" s="2"/>
      <c r="K55" s="2"/>
      <c r="L55" s="2"/>
    </row>
    <row r="56" spans="1:13" x14ac:dyDescent="0.3">
      <c r="B56" s="114">
        <f>D47+0.25*D48</f>
        <v>0.53749999999999998</v>
      </c>
      <c r="C56" s="119" t="s">
        <v>394</v>
      </c>
      <c r="D56"/>
      <c r="E56"/>
      <c r="F56"/>
      <c r="G56" s="2"/>
      <c r="H56" s="2"/>
      <c r="I56" s="2"/>
      <c r="J56" s="2"/>
      <c r="K56" s="2"/>
      <c r="L56" s="2"/>
    </row>
    <row r="57" spans="1:13" x14ac:dyDescent="0.3">
      <c r="B57" s="120">
        <f>F42*F44*B56</f>
        <v>830115</v>
      </c>
      <c r="C57" s="119" t="s">
        <v>395</v>
      </c>
      <c r="D57"/>
      <c r="E57"/>
      <c r="F57"/>
      <c r="G57" s="2"/>
      <c r="H57" s="2"/>
      <c r="I57" s="2"/>
      <c r="J57" s="2"/>
      <c r="K57" s="2"/>
      <c r="L57" s="2"/>
    </row>
    <row r="58" spans="1:13" x14ac:dyDescent="0.3">
      <c r="M58" s="2"/>
    </row>
    <row r="59" spans="1:13" x14ac:dyDescent="0.3">
      <c r="A59" s="17" t="s">
        <v>2</v>
      </c>
      <c r="B59" s="4" t="s">
        <v>97</v>
      </c>
      <c r="C59" s="4"/>
      <c r="D59" s="4"/>
      <c r="E59" s="4"/>
      <c r="F59" s="4"/>
      <c r="G59" s="4"/>
      <c r="H59" s="4"/>
      <c r="I59" s="4"/>
      <c r="J59" s="4"/>
      <c r="K59" s="4"/>
      <c r="L59" s="4"/>
    </row>
    <row r="60" spans="1:13" x14ac:dyDescent="0.3">
      <c r="A60" s="17"/>
      <c r="B60" s="4"/>
      <c r="C60" s="4"/>
      <c r="D60" s="4"/>
      <c r="E60" s="4"/>
      <c r="F60" s="4"/>
      <c r="G60" s="4"/>
      <c r="H60" s="4"/>
      <c r="I60" s="4"/>
      <c r="J60" s="4"/>
      <c r="K60" s="4"/>
      <c r="L60" s="4"/>
    </row>
    <row r="61" spans="1:13" x14ac:dyDescent="0.3">
      <c r="A61" s="17"/>
      <c r="B61" s="18" t="s">
        <v>99</v>
      </c>
      <c r="C61" s="4"/>
      <c r="D61" s="4"/>
      <c r="E61" s="4"/>
      <c r="F61" s="4"/>
      <c r="G61" s="4"/>
      <c r="H61" s="4"/>
      <c r="I61" s="4"/>
      <c r="J61" s="4"/>
      <c r="K61" s="4"/>
      <c r="L61" s="4"/>
    </row>
    <row r="62" spans="1:13" x14ac:dyDescent="0.3">
      <c r="A62" s="17"/>
      <c r="B62" s="18"/>
      <c r="C62" s="4"/>
      <c r="D62" s="4"/>
      <c r="E62" s="4"/>
      <c r="F62" s="4"/>
      <c r="G62" s="4"/>
      <c r="H62" s="4"/>
      <c r="I62" s="4"/>
      <c r="J62" s="4"/>
      <c r="K62" s="4"/>
      <c r="L62" s="4"/>
    </row>
    <row r="63" spans="1:13" x14ac:dyDescent="0.3">
      <c r="A63" s="17"/>
      <c r="B63" s="18" t="s">
        <v>98</v>
      </c>
      <c r="C63" s="4"/>
      <c r="D63" s="4"/>
      <c r="E63" s="4"/>
      <c r="F63" s="4"/>
      <c r="G63" s="4"/>
      <c r="H63" s="4"/>
      <c r="I63" s="4"/>
      <c r="J63" s="4"/>
      <c r="K63" s="4"/>
      <c r="L63" s="4"/>
    </row>
    <row r="64" spans="1:13" x14ac:dyDescent="0.3">
      <c r="A64" s="2"/>
      <c r="B64" s="2"/>
      <c r="C64" s="2"/>
      <c r="D64" s="2"/>
      <c r="E64" s="2"/>
      <c r="F64" s="2"/>
      <c r="G64" s="2"/>
      <c r="H64" s="2"/>
      <c r="I64" s="2"/>
      <c r="J64" s="2"/>
      <c r="K64" s="2"/>
      <c r="L64" s="2"/>
    </row>
    <row r="65" spans="1:13" x14ac:dyDescent="0.3">
      <c r="A65" s="2" t="s">
        <v>1</v>
      </c>
      <c r="B65" s="2"/>
      <c r="C65" s="2"/>
      <c r="D65" s="2"/>
      <c r="E65" s="2"/>
      <c r="F65" s="2"/>
      <c r="G65" s="2"/>
      <c r="H65" s="2"/>
      <c r="I65" s="2"/>
      <c r="J65" s="2"/>
      <c r="K65" s="2"/>
      <c r="L65" s="2"/>
    </row>
    <row r="66" spans="1:13" x14ac:dyDescent="0.3">
      <c r="A66" s="2"/>
      <c r="B66" s="39" t="s">
        <v>85</v>
      </c>
      <c r="C66" s="121">
        <f>F42*F44/F41</f>
        <v>117.35562310030394</v>
      </c>
      <c r="D66" s="119" t="s">
        <v>396</v>
      </c>
      <c r="E66" s="2"/>
      <c r="F66" s="2"/>
      <c r="G66" s="2"/>
      <c r="H66" s="2"/>
      <c r="I66" s="2"/>
      <c r="J66" s="2"/>
      <c r="K66" s="2"/>
      <c r="L66" s="2"/>
    </row>
    <row r="67" spans="1:13" x14ac:dyDescent="0.3">
      <c r="A67" s="2"/>
      <c r="B67" s="2"/>
      <c r="C67" s="2"/>
      <c r="D67" s="2"/>
      <c r="E67" s="2"/>
      <c r="F67" s="2"/>
      <c r="G67" s="2"/>
      <c r="H67" s="2"/>
      <c r="I67" s="2"/>
      <c r="J67" s="2"/>
      <c r="K67" s="2"/>
      <c r="L67" s="2"/>
    </row>
    <row r="68" spans="1:13" x14ac:dyDescent="0.3">
      <c r="B68" s="2"/>
      <c r="M68" s="2"/>
    </row>
    <row r="69" spans="1:13" x14ac:dyDescent="0.3">
      <c r="B69" s="1" t="s">
        <v>86</v>
      </c>
      <c r="C69" s="122">
        <f>1-B56</f>
        <v>0.46250000000000002</v>
      </c>
      <c r="D69" s="119" t="s">
        <v>397</v>
      </c>
      <c r="M69" s="2"/>
    </row>
    <row r="70" spans="1:13" x14ac:dyDescent="0.3">
      <c r="C70" s="123">
        <f>F43+C69*F42*F44</f>
        <v>1589285</v>
      </c>
      <c r="D70" s="119" t="s">
        <v>398</v>
      </c>
      <c r="M70" s="2"/>
    </row>
    <row r="71" spans="1:13" x14ac:dyDescent="0.3">
      <c r="C71" s="88">
        <f>C70/F41</f>
        <v>120.76633738601824</v>
      </c>
      <c r="D71" s="119" t="s">
        <v>278</v>
      </c>
      <c r="M71" s="2"/>
    </row>
    <row r="73" spans="1:13" x14ac:dyDescent="0.3">
      <c r="A73" s="17" t="s">
        <v>3</v>
      </c>
      <c r="B73" s="4" t="s">
        <v>100</v>
      </c>
      <c r="C73" s="4"/>
      <c r="D73" s="4"/>
      <c r="E73" s="4"/>
      <c r="F73" s="4"/>
      <c r="G73" s="4"/>
      <c r="H73" s="4"/>
      <c r="I73" s="4"/>
      <c r="J73" s="4"/>
      <c r="K73" s="4"/>
      <c r="L73" s="4"/>
    </row>
    <row r="74" spans="1:13" x14ac:dyDescent="0.3">
      <c r="A74" s="2"/>
      <c r="B74" s="2"/>
      <c r="C74" s="2"/>
      <c r="D74" s="2"/>
      <c r="E74" s="2"/>
      <c r="F74" s="2"/>
      <c r="G74" s="2"/>
      <c r="H74" s="2"/>
      <c r="I74" s="2"/>
      <c r="J74" s="2"/>
      <c r="K74" s="2"/>
      <c r="L74" s="2"/>
    </row>
    <row r="75" spans="1:13" x14ac:dyDescent="0.3">
      <c r="A75" s="2" t="s">
        <v>1</v>
      </c>
      <c r="B75" s="2"/>
      <c r="C75" s="2"/>
      <c r="D75" s="2"/>
      <c r="E75" s="2"/>
      <c r="F75" s="2"/>
      <c r="G75" s="2"/>
      <c r="H75" s="2"/>
      <c r="I75" s="2"/>
      <c r="J75" s="2"/>
      <c r="K75" s="2"/>
      <c r="L75" s="2"/>
    </row>
    <row r="76" spans="1:13" x14ac:dyDescent="0.3">
      <c r="A76" s="2"/>
      <c r="B76" s="2"/>
      <c r="C76" s="2"/>
      <c r="D76" s="2"/>
      <c r="E76" s="2"/>
      <c r="F76" s="2"/>
      <c r="G76" s="2"/>
      <c r="H76" s="2"/>
      <c r="I76" s="2"/>
      <c r="J76" s="2"/>
      <c r="K76" s="2"/>
      <c r="L76" s="2"/>
    </row>
    <row r="77" spans="1:13" x14ac:dyDescent="0.3">
      <c r="A77" s="2"/>
      <c r="B77" s="122">
        <f>1-D47-D48</f>
        <v>0.20000000000000007</v>
      </c>
      <c r="C77" s="119" t="s">
        <v>399</v>
      </c>
      <c r="D77" s="2"/>
      <c r="E77" s="2"/>
      <c r="F77" s="2"/>
      <c r="G77" s="2"/>
      <c r="H77" s="2"/>
      <c r="I77" s="2"/>
      <c r="J77" s="2"/>
      <c r="K77" s="2"/>
      <c r="L77" s="2"/>
    </row>
    <row r="78" spans="1:13" x14ac:dyDescent="0.3">
      <c r="A78" s="2"/>
      <c r="B78" s="123">
        <f>B77*F42*F44</f>
        <v>308880.00000000012</v>
      </c>
      <c r="C78" s="119" t="s">
        <v>400</v>
      </c>
      <c r="D78" s="2"/>
      <c r="E78" s="2"/>
      <c r="F78" s="2"/>
      <c r="G78" s="2"/>
      <c r="H78" s="2"/>
      <c r="I78" s="2"/>
      <c r="J78" s="2"/>
      <c r="K78" s="2"/>
      <c r="L78" s="2"/>
    </row>
    <row r="80" spans="1:13" x14ac:dyDescent="0.3">
      <c r="A80" s="17"/>
      <c r="B80" s="4"/>
      <c r="C80" s="4"/>
      <c r="D80" s="4"/>
      <c r="E80" s="4"/>
      <c r="F80" s="4"/>
      <c r="G80" s="4"/>
      <c r="H80" s="4"/>
      <c r="I80" s="4"/>
      <c r="J80" s="4"/>
      <c r="K80" s="4"/>
      <c r="L80" s="4"/>
    </row>
    <row r="81" spans="1:12" x14ac:dyDescent="0.3">
      <c r="A81" s="18" t="s">
        <v>101</v>
      </c>
      <c r="B81" s="4"/>
      <c r="C81" s="4"/>
      <c r="D81" s="4"/>
      <c r="E81" s="4"/>
      <c r="F81" s="4"/>
      <c r="G81" s="4"/>
      <c r="H81" s="4"/>
      <c r="I81" s="4"/>
      <c r="J81" s="4"/>
      <c r="K81" s="4"/>
      <c r="L81" s="4"/>
    </row>
    <row r="82" spans="1:12" x14ac:dyDescent="0.3">
      <c r="A82" s="17"/>
      <c r="B82" s="4"/>
      <c r="C82" s="4"/>
      <c r="D82" s="4"/>
      <c r="E82" s="4"/>
      <c r="F82" s="4"/>
      <c r="G82" s="4"/>
      <c r="H82" s="4"/>
      <c r="I82" s="4"/>
      <c r="J82" s="4"/>
      <c r="K82" s="4"/>
      <c r="L82" s="4"/>
    </row>
    <row r="83" spans="1:12" ht="62.4" x14ac:dyDescent="0.3">
      <c r="A83" s="17"/>
      <c r="B83" s="30" t="s">
        <v>102</v>
      </c>
      <c r="C83" s="30" t="s">
        <v>36</v>
      </c>
      <c r="D83" s="30" t="s">
        <v>103</v>
      </c>
      <c r="E83" s="4"/>
      <c r="F83" s="4"/>
      <c r="G83" s="4"/>
      <c r="H83" s="4"/>
      <c r="I83" s="4"/>
      <c r="J83" s="4"/>
      <c r="K83" s="4"/>
      <c r="L83" s="4"/>
    </row>
    <row r="84" spans="1:12" x14ac:dyDescent="0.3">
      <c r="A84" s="17"/>
      <c r="B84" s="37">
        <v>2022</v>
      </c>
      <c r="C84" s="38">
        <v>11648</v>
      </c>
      <c r="D84" s="38">
        <v>1150000</v>
      </c>
      <c r="E84" s="4"/>
      <c r="F84" s="4"/>
      <c r="G84" s="4"/>
      <c r="H84" s="4"/>
      <c r="I84" s="4"/>
      <c r="J84" s="4"/>
      <c r="K84" s="4"/>
      <c r="L84" s="4"/>
    </row>
    <row r="85" spans="1:12" x14ac:dyDescent="0.3">
      <c r="A85" s="17"/>
      <c r="B85" s="37">
        <v>2023</v>
      </c>
      <c r="C85" s="38">
        <v>11872</v>
      </c>
      <c r="D85" s="38">
        <v>1240000</v>
      </c>
      <c r="E85" s="4"/>
      <c r="F85" s="4"/>
      <c r="G85" s="4"/>
      <c r="H85" s="4"/>
      <c r="I85" s="4"/>
      <c r="J85" s="4"/>
      <c r="K85" s="4"/>
      <c r="L85" s="4"/>
    </row>
    <row r="86" spans="1:12" x14ac:dyDescent="0.3">
      <c r="A86" s="17"/>
      <c r="B86" s="37">
        <v>2024</v>
      </c>
      <c r="C86" s="38">
        <v>12544</v>
      </c>
      <c r="D86" s="38">
        <v>1280000</v>
      </c>
      <c r="E86" s="4"/>
      <c r="F86" s="4"/>
      <c r="G86" s="4"/>
      <c r="H86" s="4"/>
      <c r="I86" s="4"/>
      <c r="J86" s="4"/>
      <c r="K86" s="4"/>
      <c r="L86" s="4"/>
    </row>
    <row r="87" spans="1:12" x14ac:dyDescent="0.3">
      <c r="A87" s="17"/>
      <c r="B87" s="37">
        <v>2025</v>
      </c>
      <c r="C87" s="38">
        <v>13160</v>
      </c>
      <c r="D87" s="38">
        <v>875000</v>
      </c>
      <c r="E87" s="4"/>
      <c r="F87" s="4"/>
      <c r="G87" s="4"/>
      <c r="H87" s="4"/>
      <c r="I87" s="4"/>
      <c r="J87" s="4"/>
      <c r="K87" s="4"/>
      <c r="L87" s="4"/>
    </row>
    <row r="88" spans="1:12" x14ac:dyDescent="0.3">
      <c r="A88" s="17"/>
      <c r="B88" s="4"/>
      <c r="C88" s="4"/>
      <c r="D88" s="4"/>
      <c r="E88" s="4"/>
      <c r="F88" s="4"/>
      <c r="G88" s="4"/>
      <c r="H88" s="4"/>
      <c r="I88" s="4"/>
      <c r="J88" s="4"/>
      <c r="K88" s="4"/>
      <c r="L88" s="4"/>
    </row>
    <row r="89" spans="1:12" x14ac:dyDescent="0.3">
      <c r="A89" s="17"/>
      <c r="B89" s="4" t="s">
        <v>171</v>
      </c>
      <c r="C89" s="4"/>
      <c r="D89" s="4"/>
      <c r="E89" s="32">
        <v>0.04</v>
      </c>
      <c r="F89" s="4"/>
      <c r="G89" s="4"/>
      <c r="H89" s="4"/>
      <c r="I89" s="4"/>
      <c r="J89" s="4"/>
      <c r="K89" s="4"/>
      <c r="L89" s="4"/>
    </row>
    <row r="91" spans="1:12" x14ac:dyDescent="0.3">
      <c r="A91" s="17" t="s">
        <v>6</v>
      </c>
      <c r="B91" s="4" t="s">
        <v>104</v>
      </c>
      <c r="C91" s="4"/>
      <c r="D91" s="4"/>
      <c r="E91" s="4"/>
      <c r="F91" s="4"/>
      <c r="G91" s="4"/>
      <c r="H91" s="4"/>
      <c r="I91" s="4"/>
      <c r="J91" s="4"/>
      <c r="K91" s="4"/>
      <c r="L91" s="4"/>
    </row>
    <row r="92" spans="1:12" x14ac:dyDescent="0.3">
      <c r="A92" s="2"/>
      <c r="B92" s="2"/>
      <c r="C92" s="2"/>
      <c r="D92" s="2"/>
      <c r="E92" s="2"/>
      <c r="F92" s="2"/>
      <c r="G92" s="2"/>
      <c r="H92" s="2"/>
      <c r="I92" s="2"/>
      <c r="J92" s="2"/>
      <c r="K92" s="2"/>
      <c r="L92" s="2"/>
    </row>
    <row r="93" spans="1:12" x14ac:dyDescent="0.3">
      <c r="A93" s="2" t="s">
        <v>1</v>
      </c>
      <c r="B93" s="2"/>
      <c r="C93" s="2"/>
      <c r="D93" s="2"/>
      <c r="E93" s="2"/>
      <c r="F93" s="2"/>
      <c r="G93" s="2"/>
      <c r="H93" s="2"/>
      <c r="I93" s="2"/>
      <c r="J93" s="2"/>
      <c r="K93" s="2"/>
      <c r="L93" s="2"/>
    </row>
    <row r="94" spans="1:12" x14ac:dyDescent="0.3">
      <c r="A94" s="56"/>
      <c r="C94" s="159"/>
      <c r="D94" s="159"/>
      <c r="E94" s="159"/>
      <c r="F94" s="159"/>
      <c r="G94" s="159"/>
      <c r="H94" s="159"/>
      <c r="I94" s="159"/>
      <c r="J94" s="159"/>
      <c r="K94" s="159"/>
    </row>
    <row r="95" spans="1:12" ht="46.8" x14ac:dyDescent="0.3">
      <c r="B95" s="58" t="s">
        <v>109</v>
      </c>
      <c r="C95" s="58" t="s">
        <v>279</v>
      </c>
      <c r="D95" s="89" t="s">
        <v>280</v>
      </c>
      <c r="E95" s="89" t="s">
        <v>281</v>
      </c>
      <c r="F95" s="89" t="s">
        <v>103</v>
      </c>
      <c r="G95" s="89" t="s">
        <v>282</v>
      </c>
      <c r="H95" s="89" t="s">
        <v>409</v>
      </c>
      <c r="I95" s="89" t="s">
        <v>283</v>
      </c>
      <c r="J95" s="89" t="s">
        <v>284</v>
      </c>
      <c r="K95" s="89" t="s">
        <v>272</v>
      </c>
    </row>
    <row r="96" spans="1:12" x14ac:dyDescent="0.3">
      <c r="B96" s="57">
        <f t="shared" ref="B96:C99" si="0">B84</f>
        <v>2022</v>
      </c>
      <c r="C96" s="59">
        <f t="shared" si="0"/>
        <v>11648</v>
      </c>
      <c r="D96" s="122">
        <v>1</v>
      </c>
      <c r="E96" s="124">
        <f>D96*C96</f>
        <v>11648</v>
      </c>
      <c r="F96" s="59">
        <f>D84</f>
        <v>1150000</v>
      </c>
      <c r="G96" s="94">
        <f>G97*(1+$E$89)</f>
        <v>1.1248640000000001</v>
      </c>
      <c r="H96" s="59">
        <f>G96*F96</f>
        <v>1293593.6000000001</v>
      </c>
      <c r="I96" s="59">
        <f>C96*$H$102/G96</f>
        <v>1233054.3016091776</v>
      </c>
      <c r="J96" s="122">
        <f>1-D96</f>
        <v>0</v>
      </c>
      <c r="K96" s="59">
        <f>F96+J96*I96</f>
        <v>1150000</v>
      </c>
    </row>
    <row r="97" spans="1:11" x14ac:dyDescent="0.3">
      <c r="B97" s="57">
        <f t="shared" si="0"/>
        <v>2023</v>
      </c>
      <c r="C97" s="59">
        <f t="shared" si="0"/>
        <v>11872</v>
      </c>
      <c r="D97" s="122">
        <f>1-0.75*D50</f>
        <v>0.96250000000000002</v>
      </c>
      <c r="E97" s="124">
        <f t="shared" ref="E97:E99" si="1">D97*C97</f>
        <v>11426.800000000001</v>
      </c>
      <c r="F97" s="59">
        <f>D85</f>
        <v>1240000</v>
      </c>
      <c r="G97" s="94">
        <f t="shared" ref="G97:G98" si="2">G98*(1+$E$89)</f>
        <v>1.0816000000000001</v>
      </c>
      <c r="H97" s="59">
        <f t="shared" ref="H97:H99" si="3">G97*F97</f>
        <v>1341184.0000000002</v>
      </c>
      <c r="I97" s="59">
        <f>C97*$H$102/G97</f>
        <v>1307037.5597057284</v>
      </c>
      <c r="J97" s="122">
        <f t="shared" ref="J97:J99" si="4">1-D97</f>
        <v>3.7499999999999978E-2</v>
      </c>
      <c r="K97" s="59">
        <f t="shared" ref="K97:K99" si="5">F97+J97*I97</f>
        <v>1289013.9084889649</v>
      </c>
    </row>
    <row r="98" spans="1:11" x14ac:dyDescent="0.3">
      <c r="B98" s="57">
        <f t="shared" si="0"/>
        <v>2024</v>
      </c>
      <c r="C98" s="59">
        <f t="shared" si="0"/>
        <v>12544</v>
      </c>
      <c r="D98" s="122">
        <f>D47+D48+0.25*D49</f>
        <v>0.83750000000000002</v>
      </c>
      <c r="E98" s="124">
        <f t="shared" si="1"/>
        <v>10505.6</v>
      </c>
      <c r="F98" s="59">
        <f>D86</f>
        <v>1280000</v>
      </c>
      <c r="G98" s="94">
        <f t="shared" si="2"/>
        <v>1.04</v>
      </c>
      <c r="H98" s="59">
        <f t="shared" si="3"/>
        <v>1331200</v>
      </c>
      <c r="I98" s="59">
        <f>C98*$H$102/G98</f>
        <v>1436261.6505143703</v>
      </c>
      <c r="J98" s="122">
        <f t="shared" si="4"/>
        <v>0.16249999999999998</v>
      </c>
      <c r="K98" s="59">
        <f t="shared" si="5"/>
        <v>1513392.5182085852</v>
      </c>
    </row>
    <row r="99" spans="1:11" ht="16.2" x14ac:dyDescent="0.35">
      <c r="B99" s="58">
        <f t="shared" si="0"/>
        <v>2025</v>
      </c>
      <c r="C99" s="125">
        <f t="shared" si="0"/>
        <v>13160</v>
      </c>
      <c r="D99" s="126">
        <f>B56</f>
        <v>0.53749999999999998</v>
      </c>
      <c r="E99" s="127">
        <f t="shared" si="1"/>
        <v>7073.5</v>
      </c>
      <c r="F99" s="125">
        <f>D87</f>
        <v>875000</v>
      </c>
      <c r="G99" s="128">
        <v>1</v>
      </c>
      <c r="H99" s="125">
        <f t="shared" si="3"/>
        <v>875000</v>
      </c>
      <c r="I99" s="130">
        <f>C99*$H$102/G99</f>
        <v>1567064.050829072</v>
      </c>
      <c r="J99" s="131">
        <f t="shared" si="4"/>
        <v>0.46250000000000002</v>
      </c>
      <c r="K99" s="130">
        <f t="shared" si="5"/>
        <v>1599767.1235084459</v>
      </c>
    </row>
    <row r="100" spans="1:11" x14ac:dyDescent="0.3">
      <c r="E100" s="124">
        <f>SUM(E96:E99)</f>
        <v>40653.9</v>
      </c>
      <c r="H100" s="59">
        <f>SUM(H96:H99)</f>
        <v>4840977.6000000006</v>
      </c>
    </row>
    <row r="102" spans="1:11" x14ac:dyDescent="0.3">
      <c r="F102" s="1" t="s">
        <v>371</v>
      </c>
      <c r="H102" s="129">
        <f>H100/E100</f>
        <v>119.07781541254346</v>
      </c>
    </row>
    <row r="103" spans="1:11" x14ac:dyDescent="0.3">
      <c r="A103" s="56"/>
      <c r="E103"/>
      <c r="F103"/>
      <c r="G103"/>
    </row>
  </sheetData>
  <mergeCells count="9">
    <mergeCell ref="B48:C48"/>
    <mergeCell ref="B49:C49"/>
    <mergeCell ref="B50:C50"/>
    <mergeCell ref="B46:D46"/>
    <mergeCell ref="B41:E41"/>
    <mergeCell ref="B42:E42"/>
    <mergeCell ref="B43:E43"/>
    <mergeCell ref="B44:E44"/>
    <mergeCell ref="B47:C47"/>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B5F1-DD41-42DA-A025-BE38F762FBAF}">
  <dimension ref="A1:R172"/>
  <sheetViews>
    <sheetView zoomScaleNormal="100" workbookViewId="0"/>
  </sheetViews>
  <sheetFormatPr defaultRowHeight="15.6" x14ac:dyDescent="0.3"/>
  <cols>
    <col min="1" max="1" width="13.33203125" style="1" customWidth="1"/>
    <col min="2" max="6" width="14.77734375" style="1" customWidth="1"/>
    <col min="7" max="7" width="19.5546875" style="1" customWidth="1"/>
    <col min="8" max="12" width="10.77734375" style="1" customWidth="1"/>
    <col min="13" max="16384" width="8.88671875" style="1"/>
  </cols>
  <sheetData>
    <row r="1" spans="1:12" ht="17.399999999999999" x14ac:dyDescent="0.3">
      <c r="A1" s="14" t="s">
        <v>105</v>
      </c>
      <c r="B1" s="4"/>
      <c r="C1" s="4" t="s">
        <v>106</v>
      </c>
      <c r="D1" s="4"/>
      <c r="E1" s="4"/>
      <c r="F1" s="4"/>
      <c r="G1" s="4"/>
      <c r="H1" s="4"/>
      <c r="I1" s="4"/>
      <c r="J1" s="4"/>
      <c r="K1" s="4"/>
      <c r="L1" s="15"/>
    </row>
    <row r="2" spans="1:12" x14ac:dyDescent="0.3">
      <c r="A2" s="4"/>
      <c r="B2" s="4"/>
      <c r="C2" s="4"/>
      <c r="D2" s="4"/>
      <c r="E2" s="4"/>
      <c r="F2" s="4"/>
      <c r="G2" s="4"/>
      <c r="H2" s="4"/>
      <c r="I2" s="4"/>
      <c r="J2" s="4"/>
      <c r="K2" s="4"/>
      <c r="L2" s="15"/>
    </row>
    <row r="3" spans="1:12" x14ac:dyDescent="0.3">
      <c r="A3" s="4" t="s">
        <v>107</v>
      </c>
      <c r="B3" s="4"/>
      <c r="C3" s="4"/>
      <c r="D3" s="4"/>
      <c r="E3" s="4"/>
      <c r="F3" s="4"/>
      <c r="G3" s="4"/>
      <c r="H3" s="4"/>
      <c r="I3" s="4"/>
      <c r="J3" s="4"/>
      <c r="K3" s="4"/>
      <c r="L3" s="15"/>
    </row>
    <row r="4" spans="1:12" x14ac:dyDescent="0.3">
      <c r="A4" s="16"/>
      <c r="B4" s="4"/>
      <c r="C4" s="4"/>
      <c r="D4" s="4"/>
      <c r="E4" s="4"/>
      <c r="F4" s="4"/>
      <c r="G4" s="4"/>
      <c r="H4" s="4"/>
      <c r="I4" s="4"/>
      <c r="J4" s="4"/>
      <c r="K4" s="4"/>
      <c r="L4" s="4"/>
    </row>
    <row r="5" spans="1:12" x14ac:dyDescent="0.3">
      <c r="A5" s="16"/>
      <c r="B5" s="171" t="s">
        <v>102</v>
      </c>
      <c r="C5" s="171" t="s">
        <v>108</v>
      </c>
      <c r="D5" s="171"/>
      <c r="E5" s="171"/>
      <c r="F5" s="4"/>
      <c r="G5" s="4"/>
      <c r="H5" s="4"/>
      <c r="I5" s="4"/>
      <c r="J5" s="4"/>
      <c r="K5" s="4"/>
      <c r="L5" s="4"/>
    </row>
    <row r="6" spans="1:12" x14ac:dyDescent="0.3">
      <c r="A6" s="16"/>
      <c r="B6" s="171"/>
      <c r="C6" s="43">
        <v>12</v>
      </c>
      <c r="D6" s="43">
        <v>24</v>
      </c>
      <c r="E6" s="43">
        <v>36</v>
      </c>
      <c r="F6" s="4"/>
      <c r="G6" s="4"/>
      <c r="H6" s="4"/>
      <c r="I6" s="4"/>
      <c r="J6" s="4"/>
      <c r="K6" s="4"/>
      <c r="L6" s="4"/>
    </row>
    <row r="7" spans="1:12" x14ac:dyDescent="0.3">
      <c r="A7" s="16"/>
      <c r="B7" s="20">
        <v>2022</v>
      </c>
      <c r="C7" s="21">
        <v>1897000</v>
      </c>
      <c r="D7" s="21">
        <v>1726000</v>
      </c>
      <c r="E7" s="21">
        <v>3313000</v>
      </c>
      <c r="F7" s="4"/>
      <c r="G7" s="4"/>
      <c r="H7" s="4"/>
      <c r="I7" s="4"/>
      <c r="J7" s="4"/>
      <c r="K7" s="4"/>
      <c r="L7" s="4"/>
    </row>
    <row r="8" spans="1:12" x14ac:dyDescent="0.3">
      <c r="A8" s="16"/>
      <c r="B8" s="20">
        <v>2023</v>
      </c>
      <c r="C8" s="21">
        <v>3169000</v>
      </c>
      <c r="D8" s="21">
        <v>4580000</v>
      </c>
      <c r="E8" s="20"/>
      <c r="F8" s="4"/>
      <c r="G8" s="4"/>
      <c r="H8" s="4"/>
      <c r="I8" s="4"/>
      <c r="J8" s="4"/>
      <c r="K8" s="4"/>
      <c r="L8" s="4"/>
    </row>
    <row r="9" spans="1:12" x14ac:dyDescent="0.3">
      <c r="A9" s="4"/>
      <c r="B9" s="20">
        <v>2024</v>
      </c>
      <c r="C9" s="21">
        <v>3680000</v>
      </c>
      <c r="D9" s="20"/>
      <c r="E9" s="20"/>
      <c r="F9" s="4"/>
      <c r="G9" s="4"/>
      <c r="H9" s="4"/>
      <c r="I9" s="4"/>
      <c r="J9" s="4"/>
      <c r="K9" s="4"/>
      <c r="L9" s="4"/>
    </row>
    <row r="10" spans="1:12" x14ac:dyDescent="0.3">
      <c r="A10" s="4"/>
      <c r="B10" s="18"/>
      <c r="C10" s="4"/>
      <c r="D10" s="4"/>
      <c r="E10" s="4"/>
      <c r="F10" s="4"/>
      <c r="G10" s="4"/>
      <c r="H10" s="4"/>
      <c r="I10" s="4"/>
      <c r="J10" s="4"/>
      <c r="K10" s="4"/>
      <c r="L10" s="4"/>
    </row>
    <row r="11" spans="1:12" x14ac:dyDescent="0.3">
      <c r="A11" s="16"/>
      <c r="B11" s="171" t="s">
        <v>109</v>
      </c>
      <c r="C11" s="171" t="s">
        <v>110</v>
      </c>
      <c r="D11" s="171"/>
      <c r="E11" s="171"/>
      <c r="F11" s="4"/>
      <c r="G11" s="4"/>
      <c r="H11" s="4"/>
      <c r="I11" s="4"/>
      <c r="J11" s="4"/>
      <c r="K11" s="4"/>
      <c r="L11" s="4"/>
    </row>
    <row r="12" spans="1:12" x14ac:dyDescent="0.3">
      <c r="A12" s="4"/>
      <c r="B12" s="171"/>
      <c r="C12" s="43">
        <v>12</v>
      </c>
      <c r="D12" s="43">
        <v>24</v>
      </c>
      <c r="E12" s="43">
        <v>36</v>
      </c>
      <c r="F12" s="4"/>
      <c r="G12" s="4"/>
      <c r="H12" s="4"/>
      <c r="I12" s="4"/>
      <c r="J12" s="4"/>
      <c r="K12" s="4"/>
      <c r="L12" s="4"/>
    </row>
    <row r="13" spans="1:12" x14ac:dyDescent="0.3">
      <c r="A13" s="4"/>
      <c r="B13" s="20">
        <v>2022</v>
      </c>
      <c r="C13" s="21">
        <v>2135000</v>
      </c>
      <c r="D13" s="21">
        <v>1033000</v>
      </c>
      <c r="E13" s="21">
        <v>495000</v>
      </c>
      <c r="F13" s="4"/>
      <c r="G13" s="4"/>
      <c r="H13" s="4"/>
      <c r="I13" s="4"/>
      <c r="J13" s="4"/>
      <c r="K13" s="4"/>
      <c r="L13" s="4"/>
    </row>
    <row r="14" spans="1:12" x14ac:dyDescent="0.3">
      <c r="A14" s="4"/>
      <c r="B14" s="20">
        <v>2023</v>
      </c>
      <c r="C14" s="21">
        <v>3560000</v>
      </c>
      <c r="D14" s="21">
        <v>2750000</v>
      </c>
      <c r="E14" s="20"/>
      <c r="F14" s="4"/>
      <c r="G14" s="4"/>
      <c r="H14" s="4"/>
      <c r="I14" s="4"/>
      <c r="J14" s="4"/>
      <c r="K14" s="4"/>
      <c r="L14" s="4"/>
    </row>
    <row r="15" spans="1:12" x14ac:dyDescent="0.3">
      <c r="A15" s="4"/>
      <c r="B15" s="20">
        <v>2024</v>
      </c>
      <c r="C15" s="21">
        <v>4150000</v>
      </c>
      <c r="D15" s="20"/>
      <c r="E15" s="20"/>
      <c r="F15" s="4"/>
      <c r="G15" s="4"/>
      <c r="H15" s="4"/>
      <c r="I15" s="4"/>
      <c r="J15" s="4"/>
      <c r="K15" s="4"/>
      <c r="L15" s="4"/>
    </row>
    <row r="16" spans="1:12" x14ac:dyDescent="0.3">
      <c r="A16" s="4"/>
      <c r="B16" s="18"/>
      <c r="C16" s="4"/>
      <c r="D16" s="4"/>
      <c r="E16" s="4"/>
      <c r="F16" s="4"/>
      <c r="G16" s="4"/>
      <c r="H16" s="4"/>
      <c r="I16" s="4"/>
      <c r="J16" s="4"/>
      <c r="K16" s="4"/>
      <c r="L16" s="4"/>
    </row>
    <row r="17" spans="1:12" x14ac:dyDescent="0.3">
      <c r="A17" s="4"/>
      <c r="B17" s="171" t="s">
        <v>109</v>
      </c>
      <c r="C17" s="171" t="s">
        <v>111</v>
      </c>
      <c r="D17" s="171"/>
      <c r="E17" s="171"/>
      <c r="F17" s="4"/>
      <c r="G17" s="4"/>
      <c r="H17" s="4"/>
      <c r="I17" s="4"/>
      <c r="J17" s="4"/>
      <c r="K17" s="4"/>
      <c r="L17" s="4"/>
    </row>
    <row r="18" spans="1:12" x14ac:dyDescent="0.3">
      <c r="A18" s="4"/>
      <c r="B18" s="171"/>
      <c r="C18" s="43">
        <v>12</v>
      </c>
      <c r="D18" s="43">
        <v>24</v>
      </c>
      <c r="E18" s="43">
        <v>36</v>
      </c>
      <c r="F18" s="4"/>
      <c r="G18" s="4"/>
      <c r="H18" s="4"/>
      <c r="I18" s="4"/>
      <c r="J18" s="4"/>
      <c r="K18" s="4"/>
      <c r="L18" s="4"/>
    </row>
    <row r="19" spans="1:12" x14ac:dyDescent="0.3">
      <c r="A19" s="4"/>
      <c r="B19" s="20">
        <v>2022</v>
      </c>
      <c r="C19" s="20">
        <v>980</v>
      </c>
      <c r="D19" s="20">
        <v>450</v>
      </c>
      <c r="E19" s="20">
        <v>202</v>
      </c>
      <c r="F19" s="4"/>
      <c r="G19" s="4"/>
      <c r="H19" s="4"/>
      <c r="I19" s="4"/>
      <c r="J19" s="4"/>
      <c r="K19" s="4"/>
      <c r="L19" s="4"/>
    </row>
    <row r="20" spans="1:12" x14ac:dyDescent="0.3">
      <c r="A20" s="4"/>
      <c r="B20" s="20">
        <v>2023</v>
      </c>
      <c r="C20" s="21">
        <v>1570</v>
      </c>
      <c r="D20" s="21">
        <v>1152</v>
      </c>
      <c r="E20" s="20"/>
      <c r="F20" s="4"/>
      <c r="G20" s="4"/>
      <c r="H20" s="4"/>
      <c r="I20" s="4"/>
      <c r="J20" s="4"/>
      <c r="K20" s="4"/>
      <c r="L20" s="4"/>
    </row>
    <row r="21" spans="1:12" x14ac:dyDescent="0.3">
      <c r="A21" s="4"/>
      <c r="B21" s="20">
        <v>2024</v>
      </c>
      <c r="C21" s="21">
        <v>1750</v>
      </c>
      <c r="D21" s="20"/>
      <c r="E21" s="20"/>
      <c r="F21" s="4"/>
      <c r="G21" s="4"/>
      <c r="H21" s="4"/>
      <c r="I21" s="4"/>
      <c r="J21" s="4"/>
      <c r="K21" s="4"/>
      <c r="L21" s="4"/>
    </row>
    <row r="22" spans="1:12" x14ac:dyDescent="0.3">
      <c r="A22" s="4"/>
      <c r="B22" s="4"/>
      <c r="C22" s="4"/>
      <c r="D22" s="4"/>
      <c r="E22" s="4"/>
      <c r="F22" s="4"/>
      <c r="G22" s="4"/>
      <c r="H22" s="4"/>
      <c r="I22" s="4"/>
      <c r="J22" s="4"/>
      <c r="K22" s="4"/>
      <c r="L22" s="4"/>
    </row>
    <row r="23" spans="1:12" x14ac:dyDescent="0.3">
      <c r="A23" s="4"/>
      <c r="B23" s="18" t="s">
        <v>112</v>
      </c>
      <c r="C23" s="4"/>
      <c r="D23" s="4"/>
      <c r="E23" s="4"/>
      <c r="F23" s="4"/>
      <c r="G23" s="4"/>
      <c r="H23" s="4"/>
      <c r="I23" s="4"/>
      <c r="J23" s="4"/>
      <c r="K23" s="4"/>
      <c r="L23" s="4"/>
    </row>
    <row r="24" spans="1:12" x14ac:dyDescent="0.3">
      <c r="A24" s="4"/>
      <c r="B24" s="4"/>
      <c r="C24" s="4"/>
      <c r="D24" s="4"/>
      <c r="E24" s="4"/>
      <c r="F24" s="4"/>
      <c r="G24" s="4"/>
      <c r="H24" s="4"/>
      <c r="I24" s="4"/>
      <c r="J24" s="4"/>
      <c r="K24" s="4"/>
      <c r="L24" s="4"/>
    </row>
    <row r="25" spans="1:12" ht="31.2" x14ac:dyDescent="0.3">
      <c r="A25" s="4"/>
      <c r="B25" s="30" t="s">
        <v>109</v>
      </c>
      <c r="C25" s="171" t="s">
        <v>113</v>
      </c>
      <c r="D25" s="171"/>
      <c r="E25" s="171" t="s">
        <v>114</v>
      </c>
      <c r="F25" s="171"/>
      <c r="G25" s="30" t="s">
        <v>115</v>
      </c>
      <c r="H25" s="4"/>
      <c r="I25" s="4"/>
      <c r="J25" s="4"/>
      <c r="K25" s="4"/>
      <c r="L25" s="4"/>
    </row>
    <row r="26" spans="1:12" x14ac:dyDescent="0.3">
      <c r="A26" s="4"/>
      <c r="B26" s="37">
        <v>2022</v>
      </c>
      <c r="C26" s="181">
        <v>1250000</v>
      </c>
      <c r="D26" s="181"/>
      <c r="E26" s="181">
        <v>146000</v>
      </c>
      <c r="F26" s="181"/>
      <c r="G26" s="37">
        <v>55</v>
      </c>
      <c r="H26" s="4"/>
      <c r="I26" s="4"/>
      <c r="J26" s="4"/>
      <c r="K26" s="4"/>
      <c r="L26" s="4"/>
    </row>
    <row r="27" spans="1:12" x14ac:dyDescent="0.3">
      <c r="A27" s="4"/>
      <c r="B27" s="37">
        <v>2023</v>
      </c>
      <c r="C27" s="181">
        <v>980000</v>
      </c>
      <c r="D27" s="181"/>
      <c r="E27" s="181">
        <v>1085000</v>
      </c>
      <c r="F27" s="181"/>
      <c r="G27" s="37">
        <v>385</v>
      </c>
      <c r="H27" s="4"/>
      <c r="I27" s="4"/>
      <c r="J27" s="4"/>
      <c r="K27" s="4"/>
      <c r="L27" s="4"/>
    </row>
    <row r="28" spans="1:12" x14ac:dyDescent="0.3">
      <c r="A28" s="4"/>
      <c r="B28" s="37">
        <v>2024</v>
      </c>
      <c r="C28" s="181">
        <v>1540000</v>
      </c>
      <c r="D28" s="181"/>
      <c r="E28" s="181">
        <v>3275000</v>
      </c>
      <c r="F28" s="181"/>
      <c r="G28" s="38">
        <v>1350</v>
      </c>
      <c r="H28" s="4"/>
      <c r="I28" s="4"/>
      <c r="J28" s="4"/>
      <c r="K28" s="4"/>
      <c r="L28" s="4"/>
    </row>
    <row r="29" spans="1:12" x14ac:dyDescent="0.3">
      <c r="A29" s="4"/>
      <c r="B29" s="37">
        <v>2025</v>
      </c>
      <c r="C29" s="181">
        <v>3750000</v>
      </c>
      <c r="D29" s="181"/>
      <c r="E29" s="181">
        <v>4250000</v>
      </c>
      <c r="F29" s="181"/>
      <c r="G29" s="38">
        <v>1680</v>
      </c>
      <c r="H29" s="4"/>
      <c r="I29" s="4"/>
      <c r="J29" s="4"/>
      <c r="K29" s="4"/>
      <c r="L29" s="4"/>
    </row>
    <row r="30" spans="1:12" x14ac:dyDescent="0.3">
      <c r="A30" s="4"/>
      <c r="B30" s="4"/>
      <c r="C30" s="4"/>
      <c r="D30" s="4"/>
      <c r="E30" s="4"/>
      <c r="F30" s="4"/>
      <c r="G30" s="4"/>
      <c r="H30" s="4"/>
      <c r="I30" s="4"/>
      <c r="J30" s="4"/>
      <c r="K30" s="4"/>
      <c r="L30" s="4"/>
    </row>
    <row r="31" spans="1:12" x14ac:dyDescent="0.3">
      <c r="A31" s="18" t="s">
        <v>116</v>
      </c>
      <c r="B31" s="4"/>
      <c r="C31" s="4"/>
      <c r="D31" s="4"/>
      <c r="E31" s="4"/>
      <c r="F31" s="4"/>
      <c r="G31" s="4"/>
      <c r="H31" s="4"/>
      <c r="I31" s="4"/>
      <c r="J31" s="4"/>
      <c r="K31" s="4"/>
      <c r="L31" s="4"/>
    </row>
    <row r="32" spans="1:12" x14ac:dyDescent="0.3">
      <c r="A32" s="4"/>
      <c r="B32" s="19" t="s">
        <v>118</v>
      </c>
      <c r="C32" s="4"/>
      <c r="D32" s="4"/>
      <c r="E32" s="4"/>
      <c r="F32" s="4"/>
      <c r="G32" s="4"/>
      <c r="H32" s="4"/>
      <c r="I32" s="21">
        <v>250000</v>
      </c>
      <c r="J32" s="4"/>
      <c r="K32" s="4"/>
      <c r="L32" s="4"/>
    </row>
    <row r="33" spans="1:18" x14ac:dyDescent="0.3">
      <c r="A33" s="4"/>
      <c r="B33" s="19"/>
      <c r="C33" s="4" t="s">
        <v>117</v>
      </c>
      <c r="D33" s="4"/>
      <c r="E33" s="4"/>
      <c r="F33" s="4"/>
      <c r="G33" s="4"/>
      <c r="H33" s="4"/>
      <c r="I33" s="4"/>
      <c r="J33" s="4"/>
      <c r="K33" s="4"/>
      <c r="L33" s="4"/>
    </row>
    <row r="34" spans="1:18" x14ac:dyDescent="0.3">
      <c r="A34" s="4"/>
      <c r="B34" s="19" t="s">
        <v>119</v>
      </c>
      <c r="C34" s="4"/>
      <c r="D34" s="4"/>
      <c r="E34" s="4"/>
      <c r="F34" s="4"/>
      <c r="G34" s="4"/>
      <c r="H34" s="21">
        <v>50000</v>
      </c>
      <c r="I34" s="4"/>
      <c r="J34" s="4"/>
      <c r="K34" s="4"/>
      <c r="L34" s="4"/>
    </row>
    <row r="35" spans="1:18" x14ac:dyDescent="0.3">
      <c r="A35" s="4"/>
      <c r="B35" s="19"/>
      <c r="C35" s="4" t="s">
        <v>120</v>
      </c>
      <c r="D35" s="4"/>
      <c r="E35" s="4"/>
      <c r="F35" s="4"/>
      <c r="G35" s="4"/>
      <c r="H35" s="21">
        <v>100000</v>
      </c>
      <c r="I35" s="4"/>
      <c r="J35" s="4"/>
      <c r="K35" s="4"/>
      <c r="L35" s="4"/>
    </row>
    <row r="36" spans="1:18" x14ac:dyDescent="0.3">
      <c r="A36" s="4"/>
      <c r="B36" s="19" t="s">
        <v>122</v>
      </c>
      <c r="C36" s="4"/>
      <c r="D36" s="4"/>
      <c r="E36" s="4"/>
      <c r="F36" s="4"/>
      <c r="G36" s="4"/>
      <c r="H36" s="21">
        <v>75000</v>
      </c>
      <c r="I36" s="4" t="s">
        <v>121</v>
      </c>
      <c r="J36" s="4"/>
      <c r="K36" s="4"/>
      <c r="L36" s="4"/>
    </row>
    <row r="37" spans="1:18" x14ac:dyDescent="0.3">
      <c r="A37" s="2"/>
      <c r="B37" s="2"/>
      <c r="C37" s="2"/>
      <c r="D37" s="2"/>
      <c r="E37" s="2"/>
      <c r="F37" s="2"/>
      <c r="G37" s="2"/>
      <c r="H37" s="2"/>
      <c r="I37" s="2"/>
      <c r="J37" s="2"/>
      <c r="K37" s="2"/>
      <c r="L37" s="2"/>
    </row>
    <row r="38" spans="1:18" x14ac:dyDescent="0.3">
      <c r="A38" s="17" t="s">
        <v>4</v>
      </c>
      <c r="B38" s="4" t="s">
        <v>123</v>
      </c>
      <c r="C38" s="4"/>
      <c r="D38" s="4"/>
      <c r="E38" s="4"/>
      <c r="F38" s="4"/>
      <c r="G38" s="4"/>
      <c r="H38" s="4"/>
      <c r="I38" s="4"/>
      <c r="J38" s="4"/>
      <c r="K38" s="4"/>
      <c r="L38" s="4"/>
      <c r="M38" s="3"/>
      <c r="N38" s="3"/>
      <c r="O38" s="3"/>
      <c r="P38" s="3"/>
      <c r="Q38" s="3"/>
      <c r="R38" s="3"/>
    </row>
    <row r="39" spans="1:18" x14ac:dyDescent="0.3">
      <c r="A39" s="2"/>
      <c r="B39" s="2"/>
      <c r="C39" s="2"/>
      <c r="D39" s="2"/>
      <c r="E39" s="2"/>
      <c r="F39" s="2"/>
      <c r="G39" s="2"/>
      <c r="H39" s="2"/>
      <c r="I39" s="2"/>
      <c r="J39" s="2"/>
      <c r="K39" s="2"/>
      <c r="L39" s="2"/>
      <c r="M39" s="2"/>
    </row>
    <row r="40" spans="1:18" x14ac:dyDescent="0.3">
      <c r="A40" s="2" t="s">
        <v>1</v>
      </c>
      <c r="B40" s="2"/>
      <c r="C40" s="2"/>
      <c r="D40" s="2"/>
      <c r="E40" s="2"/>
      <c r="F40" s="2"/>
      <c r="G40" s="2"/>
      <c r="H40" s="2"/>
      <c r="I40" s="2"/>
      <c r="J40" s="2"/>
      <c r="K40" s="2"/>
      <c r="L40" s="2"/>
      <c r="M40" s="2"/>
    </row>
    <row r="41" spans="1:18" x14ac:dyDescent="0.3">
      <c r="A41" s="62"/>
      <c r="B41"/>
      <c r="C41"/>
      <c r="D41"/>
      <c r="L41" s="2"/>
      <c r="M41" s="2"/>
    </row>
    <row r="42" spans="1:18" x14ac:dyDescent="0.3">
      <c r="A42" s="56" t="s">
        <v>410</v>
      </c>
      <c r="G42"/>
      <c r="H42"/>
      <c r="I42"/>
      <c r="J42"/>
      <c r="K42"/>
      <c r="L42" s="2"/>
      <c r="M42" s="2"/>
    </row>
    <row r="43" spans="1:18" x14ac:dyDescent="0.3">
      <c r="A43" s="56"/>
      <c r="G43"/>
      <c r="H43"/>
      <c r="I43"/>
      <c r="J43"/>
      <c r="K43"/>
      <c r="L43" s="2"/>
      <c r="M43" s="2"/>
    </row>
    <row r="44" spans="1:18" ht="15.6" customHeight="1" x14ac:dyDescent="0.3">
      <c r="A44" s="178" t="s">
        <v>109</v>
      </c>
      <c r="B44" s="177" t="s">
        <v>108</v>
      </c>
      <c r="C44" s="177"/>
      <c r="D44" s="177"/>
      <c r="E44" s="177"/>
      <c r="G44"/>
      <c r="H44"/>
      <c r="I44"/>
      <c r="J44"/>
      <c r="K44"/>
      <c r="L44" s="2"/>
      <c r="M44" s="2"/>
    </row>
    <row r="45" spans="1:18" x14ac:dyDescent="0.3">
      <c r="A45" s="179"/>
      <c r="B45" s="138">
        <v>12</v>
      </c>
      <c r="C45" s="138">
        <v>24</v>
      </c>
      <c r="D45" s="138">
        <f>C45+12</f>
        <v>36</v>
      </c>
      <c r="E45" s="138">
        <f>D45+12</f>
        <v>48</v>
      </c>
      <c r="G45"/>
      <c r="H45"/>
      <c r="I45"/>
      <c r="J45"/>
      <c r="K45"/>
      <c r="L45" s="2"/>
      <c r="M45" s="2"/>
    </row>
    <row r="46" spans="1:18" x14ac:dyDescent="0.3">
      <c r="A46" s="135">
        <f>$B$26</f>
        <v>2022</v>
      </c>
      <c r="B46" s="136">
        <f>C7</f>
        <v>1897000</v>
      </c>
      <c r="C46" s="136">
        <f t="shared" ref="C46:C47" si="0">D7</f>
        <v>1726000</v>
      </c>
      <c r="D46" s="136">
        <f>E7</f>
        <v>3313000</v>
      </c>
      <c r="E46" s="136">
        <f>D46+C26</f>
        <v>4563000</v>
      </c>
      <c r="G46"/>
      <c r="H46"/>
      <c r="I46"/>
      <c r="J46"/>
      <c r="K46"/>
      <c r="L46" s="2"/>
      <c r="M46" s="2"/>
    </row>
    <row r="47" spans="1:18" x14ac:dyDescent="0.3">
      <c r="A47" s="135">
        <f>A46+1</f>
        <v>2023</v>
      </c>
      <c r="B47" s="136">
        <f t="shared" ref="B47:B48" si="1">C8</f>
        <v>3169000</v>
      </c>
      <c r="C47" s="136">
        <f t="shared" si="0"/>
        <v>4580000</v>
      </c>
      <c r="D47" s="137">
        <f>C47+C27+H34</f>
        <v>5610000</v>
      </c>
      <c r="E47" s="136"/>
      <c r="G47"/>
      <c r="H47"/>
      <c r="I47"/>
      <c r="J47"/>
      <c r="K47"/>
      <c r="L47" s="2"/>
      <c r="M47" s="2"/>
    </row>
    <row r="48" spans="1:18" x14ac:dyDescent="0.3">
      <c r="A48" s="135">
        <f>A47+1</f>
        <v>2024</v>
      </c>
      <c r="B48" s="136">
        <f t="shared" si="1"/>
        <v>3680000</v>
      </c>
      <c r="C48" s="137">
        <f>B48+C28</f>
        <v>5220000</v>
      </c>
      <c r="D48" s="136"/>
      <c r="E48" s="136"/>
      <c r="G48"/>
      <c r="H48"/>
      <c r="I48"/>
      <c r="J48"/>
      <c r="K48"/>
      <c r="L48" s="2"/>
      <c r="M48" s="2"/>
    </row>
    <row r="49" spans="1:13" x14ac:dyDescent="0.3">
      <c r="A49" s="135">
        <f>A48+1</f>
        <v>2025</v>
      </c>
      <c r="B49" s="136">
        <f>C29</f>
        <v>3750000</v>
      </c>
      <c r="C49" s="136"/>
      <c r="D49" s="136"/>
      <c r="E49" s="136"/>
      <c r="G49"/>
      <c r="H49"/>
      <c r="I49"/>
      <c r="J49"/>
      <c r="K49"/>
      <c r="L49" s="2"/>
      <c r="M49" s="2"/>
    </row>
    <row r="50" spans="1:13" x14ac:dyDescent="0.3">
      <c r="G50"/>
      <c r="H50"/>
      <c r="I50"/>
      <c r="J50"/>
      <c r="K50"/>
      <c r="L50" s="2"/>
      <c r="M50" s="2"/>
    </row>
    <row r="51" spans="1:13" ht="15.6" customHeight="1" x14ac:dyDescent="0.3">
      <c r="A51" s="178" t="s">
        <v>109</v>
      </c>
      <c r="B51" s="177" t="s">
        <v>110</v>
      </c>
      <c r="C51" s="177"/>
      <c r="D51" s="177"/>
      <c r="E51" s="177"/>
      <c r="L51" s="2"/>
      <c r="M51" s="2"/>
    </row>
    <row r="52" spans="1:13" x14ac:dyDescent="0.3">
      <c r="A52" s="179"/>
      <c r="B52" s="138">
        <v>12</v>
      </c>
      <c r="C52" s="138">
        <v>24</v>
      </c>
      <c r="D52" s="138">
        <f>C52+12</f>
        <v>36</v>
      </c>
      <c r="E52" s="138">
        <f>D52+12</f>
        <v>48</v>
      </c>
      <c r="L52" s="2"/>
      <c r="M52" s="2"/>
    </row>
    <row r="53" spans="1:13" x14ac:dyDescent="0.3">
      <c r="A53" s="135">
        <f>$B$26</f>
        <v>2022</v>
      </c>
      <c r="B53" s="136">
        <f>C13</f>
        <v>2135000</v>
      </c>
      <c r="C53" s="136">
        <f t="shared" ref="C53:C54" si="2">D13</f>
        <v>1033000</v>
      </c>
      <c r="D53" s="136">
        <f>E13</f>
        <v>495000</v>
      </c>
      <c r="E53" s="136">
        <f>E26</f>
        <v>146000</v>
      </c>
      <c r="L53" s="2"/>
      <c r="M53" s="2"/>
    </row>
    <row r="54" spans="1:13" x14ac:dyDescent="0.3">
      <c r="A54" s="135">
        <f>A53+1</f>
        <v>2023</v>
      </c>
      <c r="B54" s="136">
        <f t="shared" ref="B54:B55" si="3">C14</f>
        <v>3560000</v>
      </c>
      <c r="C54" s="136">
        <f t="shared" si="2"/>
        <v>2750000</v>
      </c>
      <c r="D54" s="137">
        <f>E27-H35</f>
        <v>985000</v>
      </c>
      <c r="E54" s="136"/>
      <c r="L54" s="2"/>
      <c r="M54" s="2"/>
    </row>
    <row r="55" spans="1:13" x14ac:dyDescent="0.3">
      <c r="A55" s="135">
        <f>A54+1</f>
        <v>2024</v>
      </c>
      <c r="B55" s="136">
        <f t="shared" si="3"/>
        <v>4150000</v>
      </c>
      <c r="C55" s="137">
        <f>E28+I32</f>
        <v>3525000</v>
      </c>
      <c r="D55" s="136"/>
      <c r="E55" s="136"/>
      <c r="L55" s="2"/>
      <c r="M55" s="2"/>
    </row>
    <row r="56" spans="1:13" x14ac:dyDescent="0.3">
      <c r="A56" s="135">
        <f>A55+1</f>
        <v>2025</v>
      </c>
      <c r="B56" s="137">
        <f>E29+H36</f>
        <v>4325000</v>
      </c>
      <c r="C56" s="136"/>
      <c r="D56" s="136"/>
      <c r="E56" s="136"/>
      <c r="L56" s="2"/>
      <c r="M56" s="2"/>
    </row>
    <row r="57" spans="1:13" x14ac:dyDescent="0.3">
      <c r="A57" s="56"/>
      <c r="H57"/>
      <c r="I57"/>
      <c r="L57" s="2"/>
      <c r="M57" s="2"/>
    </row>
    <row r="58" spans="1:13" x14ac:dyDescent="0.3">
      <c r="A58" s="1" t="s">
        <v>295</v>
      </c>
      <c r="I58"/>
      <c r="L58" s="2"/>
      <c r="M58" s="2"/>
    </row>
    <row r="59" spans="1:13" x14ac:dyDescent="0.3">
      <c r="A59" s="56"/>
      <c r="L59" s="2"/>
      <c r="M59" s="2"/>
    </row>
    <row r="60" spans="1:13" x14ac:dyDescent="0.3">
      <c r="A60" s="56" t="s">
        <v>285</v>
      </c>
      <c r="B60"/>
      <c r="D60" s="55">
        <f>D47-C47+C48-B48+B49+E46-D46</f>
        <v>7570000</v>
      </c>
      <c r="E60"/>
      <c r="L60" s="2"/>
      <c r="M60" s="2"/>
    </row>
    <row r="61" spans="1:13" x14ac:dyDescent="0.3">
      <c r="A61" s="56" t="s">
        <v>296</v>
      </c>
      <c r="D61" s="55">
        <f>B56+C55+D54+E53</f>
        <v>8981000</v>
      </c>
      <c r="L61" s="2"/>
      <c r="M61" s="2"/>
    </row>
    <row r="62" spans="1:13" x14ac:dyDescent="0.3">
      <c r="A62" s="87" t="s">
        <v>297</v>
      </c>
      <c r="B62" s="86"/>
      <c r="C62" s="86"/>
      <c r="D62" s="134">
        <f>B55+C54+D53</f>
        <v>7395000</v>
      </c>
      <c r="L62" s="2"/>
      <c r="M62" s="2"/>
    </row>
    <row r="63" spans="1:13" x14ac:dyDescent="0.3">
      <c r="A63" s="56" t="s">
        <v>286</v>
      </c>
      <c r="D63" s="55">
        <f>D60+D61-D62</f>
        <v>9156000</v>
      </c>
      <c r="L63" s="2"/>
      <c r="M63" s="2"/>
    </row>
    <row r="64" spans="1:13" x14ac:dyDescent="0.3">
      <c r="D64" s="55"/>
      <c r="L64" s="2"/>
      <c r="M64" s="2"/>
    </row>
    <row r="65" spans="1:13" x14ac:dyDescent="0.3">
      <c r="A65" s="155" t="s">
        <v>392</v>
      </c>
      <c r="D65" s="55"/>
      <c r="L65" s="2"/>
      <c r="M65" s="2"/>
    </row>
    <row r="66" spans="1:13" x14ac:dyDescent="0.3">
      <c r="D66" s="55"/>
      <c r="L66" s="2"/>
      <c r="M66" s="2"/>
    </row>
    <row r="67" spans="1:13" ht="15.6" customHeight="1" x14ac:dyDescent="0.3">
      <c r="A67" s="178" t="s">
        <v>109</v>
      </c>
      <c r="B67" s="177" t="s">
        <v>290</v>
      </c>
      <c r="C67" s="177"/>
      <c r="D67" s="177"/>
      <c r="E67" s="177"/>
      <c r="G67" s="57" t="s">
        <v>393</v>
      </c>
      <c r="L67" s="2"/>
      <c r="M67" s="2"/>
    </row>
    <row r="68" spans="1:13" x14ac:dyDescent="0.3">
      <c r="A68" s="179"/>
      <c r="B68" s="138">
        <v>12</v>
      </c>
      <c r="C68" s="138">
        <v>24</v>
      </c>
      <c r="D68" s="138">
        <f>C68+12</f>
        <v>36</v>
      </c>
      <c r="E68" s="138">
        <f>D68+12</f>
        <v>48</v>
      </c>
      <c r="G68" s="58" t="s">
        <v>290</v>
      </c>
      <c r="L68" s="2"/>
      <c r="M68" s="2"/>
    </row>
    <row r="69" spans="1:13" x14ac:dyDescent="0.3">
      <c r="A69" s="135">
        <f>A53</f>
        <v>2022</v>
      </c>
      <c r="B69" s="136">
        <f>B46+B53</f>
        <v>4032000</v>
      </c>
      <c r="C69" s="136">
        <f t="shared" ref="C69:D70" si="4">C46+C53</f>
        <v>2759000</v>
      </c>
      <c r="D69" s="136">
        <f t="shared" si="4"/>
        <v>3808000</v>
      </c>
      <c r="E69" s="136">
        <f>E46+E53</f>
        <v>4709000</v>
      </c>
      <c r="G69" s="59">
        <f>E69-D69</f>
        <v>901000</v>
      </c>
      <c r="L69" s="2"/>
      <c r="M69" s="2"/>
    </row>
    <row r="70" spans="1:13" x14ac:dyDescent="0.3">
      <c r="A70" s="135">
        <f>A69+1</f>
        <v>2023</v>
      </c>
      <c r="B70" s="136">
        <f t="shared" ref="B70:B72" si="5">B47+B54</f>
        <v>6729000</v>
      </c>
      <c r="C70" s="136">
        <f t="shared" si="4"/>
        <v>7330000</v>
      </c>
      <c r="D70" s="137">
        <f t="shared" si="4"/>
        <v>6595000</v>
      </c>
      <c r="E70" s="136"/>
      <c r="G70" s="59">
        <f>D70-C70</f>
        <v>-735000</v>
      </c>
      <c r="L70" s="2"/>
      <c r="M70" s="2"/>
    </row>
    <row r="71" spans="1:13" x14ac:dyDescent="0.3">
      <c r="A71" s="135">
        <f>A70+1</f>
        <v>2024</v>
      </c>
      <c r="B71" s="136">
        <f t="shared" si="5"/>
        <v>7830000</v>
      </c>
      <c r="C71" s="137">
        <f>C48+C55</f>
        <v>8745000</v>
      </c>
      <c r="D71" s="136"/>
      <c r="E71" s="136"/>
      <c r="G71" s="59">
        <f>C71-B71</f>
        <v>915000</v>
      </c>
      <c r="L71" s="2"/>
      <c r="M71" s="2"/>
    </row>
    <row r="72" spans="1:13" x14ac:dyDescent="0.3">
      <c r="A72" s="135">
        <f>A71+1</f>
        <v>2025</v>
      </c>
      <c r="B72" s="137">
        <f t="shared" si="5"/>
        <v>8075000</v>
      </c>
      <c r="C72" s="136"/>
      <c r="D72" s="136"/>
      <c r="E72" s="136"/>
      <c r="G72" s="125">
        <f>B72</f>
        <v>8075000</v>
      </c>
      <c r="L72" s="2"/>
      <c r="M72" s="2"/>
    </row>
    <row r="73" spans="1:13" x14ac:dyDescent="0.3">
      <c r="A73" s="56"/>
      <c r="F73" s="1" t="s">
        <v>139</v>
      </c>
      <c r="G73" s="59">
        <f>SUM(G69:G72)</f>
        <v>9156000</v>
      </c>
      <c r="L73" s="2"/>
      <c r="M73" s="2"/>
    </row>
    <row r="74" spans="1:13" x14ac:dyDescent="0.3">
      <c r="M74" s="3"/>
    </row>
    <row r="75" spans="1:13" x14ac:dyDescent="0.3">
      <c r="A75" s="18" t="s">
        <v>124</v>
      </c>
      <c r="B75" s="4"/>
      <c r="C75" s="4"/>
      <c r="D75" s="4"/>
      <c r="E75" s="32">
        <v>0.04</v>
      </c>
      <c r="F75" s="4"/>
      <c r="G75" s="4"/>
      <c r="H75" s="4"/>
      <c r="I75" s="4"/>
      <c r="J75" s="4"/>
      <c r="K75" s="4"/>
      <c r="L75" s="4"/>
      <c r="M75" s="3"/>
    </row>
    <row r="76" spans="1:13" x14ac:dyDescent="0.3">
      <c r="M76" s="3"/>
    </row>
    <row r="77" spans="1:13" x14ac:dyDescent="0.3">
      <c r="A77" s="17" t="s">
        <v>5</v>
      </c>
      <c r="B77" s="4" t="s">
        <v>125</v>
      </c>
      <c r="C77" s="4"/>
      <c r="D77" s="4"/>
      <c r="E77" s="4"/>
      <c r="F77" s="4"/>
      <c r="G77" s="4"/>
      <c r="H77" s="4"/>
      <c r="I77" s="4"/>
      <c r="J77" s="4"/>
      <c r="K77" s="4"/>
      <c r="L77" s="4"/>
    </row>
    <row r="78" spans="1:13" x14ac:dyDescent="0.3">
      <c r="A78" s="2"/>
      <c r="B78" s="2"/>
      <c r="C78" s="2"/>
      <c r="D78" s="2"/>
      <c r="E78" s="2"/>
      <c r="F78" s="2"/>
      <c r="G78" s="2"/>
      <c r="H78" s="2"/>
      <c r="I78" s="2"/>
      <c r="J78" s="2"/>
      <c r="K78" s="2"/>
      <c r="L78" s="2"/>
    </row>
    <row r="79" spans="1:13" x14ac:dyDescent="0.3">
      <c r="A79" s="2" t="s">
        <v>1</v>
      </c>
      <c r="B79" s="2"/>
      <c r="C79" s="2"/>
      <c r="D79" s="2"/>
      <c r="E79" s="2"/>
      <c r="F79" s="2"/>
      <c r="G79" s="2"/>
      <c r="H79" s="2"/>
      <c r="I79" s="2"/>
      <c r="J79" s="2"/>
      <c r="K79" s="2"/>
      <c r="L79" s="2"/>
    </row>
    <row r="80" spans="1:13" x14ac:dyDescent="0.3">
      <c r="A80" s="2"/>
      <c r="B80" s="2"/>
      <c r="C80" s="2"/>
      <c r="D80" s="2"/>
      <c r="E80" s="2"/>
      <c r="F80" s="2"/>
      <c r="G80" s="2"/>
      <c r="H80" s="2"/>
      <c r="I80" s="2"/>
      <c r="J80" s="2"/>
      <c r="K80" s="2"/>
      <c r="L80" s="2"/>
    </row>
    <row r="81" spans="1:12" x14ac:dyDescent="0.3">
      <c r="A81" s="2" t="s">
        <v>287</v>
      </c>
      <c r="B81" s="2"/>
      <c r="C81" s="2"/>
      <c r="D81" s="2"/>
      <c r="E81" s="2"/>
      <c r="F81" s="2"/>
      <c r="G81" s="2"/>
      <c r="H81" s="2"/>
      <c r="I81" s="2"/>
      <c r="J81" s="2"/>
      <c r="K81" s="2"/>
      <c r="L81" s="2"/>
    </row>
    <row r="82" spans="1:12" x14ac:dyDescent="0.3">
      <c r="A82" s="2" t="s">
        <v>299</v>
      </c>
      <c r="B82" s="2"/>
      <c r="C82" s="2"/>
      <c r="D82" s="2"/>
      <c r="E82" s="2"/>
      <c r="F82" s="2"/>
      <c r="G82" s="2"/>
      <c r="H82" s="2"/>
      <c r="I82" s="2"/>
      <c r="J82" s="2"/>
      <c r="K82" s="2"/>
      <c r="L82" s="2"/>
    </row>
    <row r="83" spans="1:12" x14ac:dyDescent="0.3">
      <c r="A83" s="2" t="s">
        <v>298</v>
      </c>
      <c r="B83" s="2"/>
      <c r="C83" s="2"/>
      <c r="D83" s="2"/>
      <c r="E83" s="2"/>
      <c r="F83" s="2"/>
      <c r="G83" s="2"/>
      <c r="H83" s="2"/>
      <c r="I83" s="2"/>
      <c r="J83" s="2"/>
      <c r="K83" s="2"/>
      <c r="L83" s="2"/>
    </row>
    <row r="84" spans="1:12" x14ac:dyDescent="0.3">
      <c r="A84" s="2" t="s">
        <v>300</v>
      </c>
      <c r="B84" s="2"/>
      <c r="C84" s="2"/>
      <c r="D84" s="2"/>
      <c r="E84" s="2"/>
      <c r="F84" s="2"/>
      <c r="G84" s="2"/>
      <c r="H84" s="2"/>
      <c r="I84" s="2"/>
      <c r="J84" s="2"/>
      <c r="K84" s="2"/>
      <c r="L84" s="2"/>
    </row>
    <row r="85" spans="1:12" x14ac:dyDescent="0.3">
      <c r="A85" s="2"/>
      <c r="B85" s="2"/>
      <c r="C85" s="2"/>
      <c r="D85" s="2"/>
      <c r="E85" s="2"/>
      <c r="F85" s="2"/>
      <c r="G85" s="2"/>
      <c r="H85" s="2"/>
      <c r="I85" s="2"/>
      <c r="J85" s="2"/>
      <c r="K85" s="2"/>
      <c r="L85" s="2"/>
    </row>
    <row r="86" spans="1:12" x14ac:dyDescent="0.3">
      <c r="A86" s="178" t="s">
        <v>109</v>
      </c>
      <c r="B86" s="180" t="s">
        <v>411</v>
      </c>
      <c r="C86" s="180"/>
      <c r="D86" s="180"/>
      <c r="E86" s="180"/>
      <c r="F86" s="2"/>
      <c r="G86" s="2"/>
      <c r="H86" s="2"/>
      <c r="I86" s="2"/>
      <c r="J86" s="2"/>
      <c r="K86" s="2"/>
      <c r="L86" s="2"/>
    </row>
    <row r="87" spans="1:12" x14ac:dyDescent="0.3">
      <c r="A87" s="179"/>
      <c r="B87" s="141">
        <v>12</v>
      </c>
      <c r="C87" s="141">
        <v>24</v>
      </c>
      <c r="D87" s="141">
        <f>C87+12</f>
        <v>36</v>
      </c>
      <c r="E87" s="141">
        <f>D87+12</f>
        <v>48</v>
      </c>
      <c r="F87" s="2"/>
      <c r="G87" s="2"/>
      <c r="H87" s="2"/>
      <c r="I87" s="2"/>
      <c r="J87" s="2"/>
      <c r="K87" s="2"/>
      <c r="L87" s="2"/>
    </row>
    <row r="88" spans="1:12" x14ac:dyDescent="0.3">
      <c r="A88" s="135">
        <f>$B$26</f>
        <v>2022</v>
      </c>
      <c r="B88" s="140">
        <f>C19</f>
        <v>980</v>
      </c>
      <c r="C88" s="140">
        <f>D19</f>
        <v>450</v>
      </c>
      <c r="D88" s="140">
        <f>E19</f>
        <v>202</v>
      </c>
      <c r="E88" s="140">
        <f>G26</f>
        <v>55</v>
      </c>
      <c r="F88" s="2"/>
      <c r="G88" s="2"/>
      <c r="H88" s="2"/>
      <c r="I88" s="2"/>
      <c r="J88" s="2"/>
      <c r="K88" s="2"/>
      <c r="L88" s="2"/>
    </row>
    <row r="89" spans="1:12" x14ac:dyDescent="0.3">
      <c r="A89" s="139">
        <f>A88+1</f>
        <v>2023</v>
      </c>
      <c r="B89" s="140">
        <f>C20</f>
        <v>1570</v>
      </c>
      <c r="C89" s="140">
        <f>D20</f>
        <v>1152</v>
      </c>
      <c r="D89" s="142">
        <f>G27-1</f>
        <v>384</v>
      </c>
      <c r="E89" s="140"/>
      <c r="F89" s="2"/>
      <c r="G89" s="2"/>
      <c r="H89" s="2"/>
      <c r="I89" s="2"/>
      <c r="J89" s="2"/>
      <c r="K89" s="2"/>
      <c r="L89" s="2"/>
    </row>
    <row r="90" spans="1:12" x14ac:dyDescent="0.3">
      <c r="A90" s="139">
        <f>A89+1</f>
        <v>2024</v>
      </c>
      <c r="B90" s="140">
        <f>C21</f>
        <v>1750</v>
      </c>
      <c r="C90" s="142">
        <f>G28+1</f>
        <v>1351</v>
      </c>
      <c r="D90" s="140"/>
      <c r="E90" s="140"/>
      <c r="F90" s="2"/>
      <c r="G90" s="2"/>
      <c r="H90" s="2"/>
      <c r="I90" s="2"/>
      <c r="J90" s="2"/>
      <c r="K90" s="2"/>
      <c r="L90" s="2"/>
    </row>
    <row r="91" spans="1:12" x14ac:dyDescent="0.3">
      <c r="A91" s="139">
        <f>A90+1</f>
        <v>2025</v>
      </c>
      <c r="B91" s="142">
        <f>G29+1</f>
        <v>1681</v>
      </c>
      <c r="C91" s="140"/>
      <c r="D91" s="140"/>
      <c r="E91" s="140"/>
      <c r="F91" s="2"/>
      <c r="G91" s="2"/>
      <c r="H91" s="2"/>
      <c r="I91" s="2"/>
      <c r="J91" s="2"/>
      <c r="K91" s="2"/>
      <c r="L91" s="2"/>
    </row>
    <row r="92" spans="1:12" x14ac:dyDescent="0.3">
      <c r="A92" s="2"/>
      <c r="B92" s="2"/>
      <c r="C92" s="2"/>
      <c r="D92" s="2"/>
      <c r="E92" s="2"/>
      <c r="F92" s="2"/>
      <c r="G92" s="2"/>
      <c r="H92" s="2"/>
      <c r="I92" s="2"/>
      <c r="J92" s="2"/>
      <c r="K92" s="2"/>
      <c r="L92" s="2"/>
    </row>
    <row r="93" spans="1:12" ht="15.6" customHeight="1" x14ac:dyDescent="0.3">
      <c r="A93" s="178" t="s">
        <v>109</v>
      </c>
      <c r="B93" s="180" t="s">
        <v>288</v>
      </c>
      <c r="C93" s="180"/>
      <c r="D93" s="180"/>
      <c r="E93" s="180"/>
      <c r="F93" s="2"/>
      <c r="G93" s="2"/>
      <c r="H93" s="2"/>
      <c r="I93" s="2"/>
      <c r="J93" s="2"/>
      <c r="K93" s="2"/>
      <c r="L93" s="2"/>
    </row>
    <row r="94" spans="1:12" x14ac:dyDescent="0.3">
      <c r="A94" s="179"/>
      <c r="B94" s="141">
        <v>12</v>
      </c>
      <c r="C94" s="141">
        <v>24</v>
      </c>
      <c r="D94" s="141">
        <f>C94+12</f>
        <v>36</v>
      </c>
      <c r="E94" s="141">
        <f>D94+12</f>
        <v>48</v>
      </c>
      <c r="F94" s="2"/>
      <c r="G94" s="2"/>
      <c r="H94" s="2"/>
      <c r="I94" s="2"/>
      <c r="J94" s="2"/>
      <c r="K94" s="2"/>
      <c r="L94" s="2"/>
    </row>
    <row r="95" spans="1:12" x14ac:dyDescent="0.3">
      <c r="A95" s="135">
        <f>$B$26</f>
        <v>2022</v>
      </c>
      <c r="B95" s="140">
        <f>B53/B88</f>
        <v>2178.5714285714284</v>
      </c>
      <c r="C95" s="140">
        <f>C53/C88</f>
        <v>2295.5555555555557</v>
      </c>
      <c r="D95" s="140">
        <f>D53/D88</f>
        <v>2450.4950495049507</v>
      </c>
      <c r="E95" s="140">
        <f>E53/E88</f>
        <v>2654.5454545454545</v>
      </c>
      <c r="F95" s="2"/>
      <c r="G95" s="2"/>
      <c r="H95" s="2"/>
      <c r="I95" s="2"/>
      <c r="J95" s="2"/>
      <c r="K95" s="2"/>
      <c r="L95" s="2"/>
    </row>
    <row r="96" spans="1:12" x14ac:dyDescent="0.3">
      <c r="A96" s="139">
        <f>A95+1</f>
        <v>2023</v>
      </c>
      <c r="B96" s="140">
        <f>B54/B89</f>
        <v>2267.5159235668789</v>
      </c>
      <c r="C96" s="140">
        <f>C54/C89</f>
        <v>2387.1527777777778</v>
      </c>
      <c r="D96" s="140">
        <f>D54/D89</f>
        <v>2565.1041666666665</v>
      </c>
      <c r="E96" s="140"/>
      <c r="F96" s="2"/>
      <c r="G96" s="2"/>
      <c r="H96" s="2"/>
      <c r="I96" s="2"/>
      <c r="J96" s="2"/>
      <c r="K96" s="2"/>
      <c r="L96" s="2"/>
    </row>
    <row r="97" spans="1:13" ht="15.6" customHeight="1" x14ac:dyDescent="0.3">
      <c r="A97" s="139">
        <f>A96+1</f>
        <v>2024</v>
      </c>
      <c r="B97" s="140">
        <f>B55/B90</f>
        <v>2371.4285714285716</v>
      </c>
      <c r="C97" s="140">
        <f>C55/C90</f>
        <v>2609.178386380459</v>
      </c>
      <c r="D97" s="140"/>
      <c r="E97" s="140"/>
      <c r="F97" s="2"/>
      <c r="G97" s="2"/>
      <c r="H97" s="2"/>
      <c r="I97" s="2"/>
      <c r="J97" s="2"/>
      <c r="K97" s="2"/>
      <c r="L97" s="2"/>
    </row>
    <row r="98" spans="1:13" x14ac:dyDescent="0.3">
      <c r="A98" s="139">
        <f>A97+1</f>
        <v>2025</v>
      </c>
      <c r="B98" s="140">
        <f>B56/B91</f>
        <v>2572.8732897085069</v>
      </c>
      <c r="C98" s="140"/>
      <c r="D98" s="140"/>
      <c r="E98" s="140"/>
      <c r="F98" s="2"/>
      <c r="G98" s="2"/>
      <c r="H98" s="2"/>
      <c r="I98" s="2"/>
      <c r="J98" s="2"/>
      <c r="K98" s="2"/>
      <c r="L98" s="2"/>
    </row>
    <row r="99" spans="1:13" x14ac:dyDescent="0.3">
      <c r="A99" s="2"/>
      <c r="B99" s="2"/>
      <c r="C99" s="2"/>
      <c r="D99" s="2"/>
      <c r="E99" s="2"/>
      <c r="F99" s="2"/>
    </row>
    <row r="100" spans="1:13" x14ac:dyDescent="0.3">
      <c r="A100" s="17" t="s">
        <v>0</v>
      </c>
      <c r="B100" s="4" t="s">
        <v>126</v>
      </c>
      <c r="C100" s="4"/>
      <c r="D100" s="4"/>
      <c r="E100" s="4"/>
      <c r="F100" s="4"/>
      <c r="G100" s="4"/>
      <c r="H100" s="4"/>
      <c r="I100" s="4"/>
      <c r="J100" s="4"/>
      <c r="K100" s="4"/>
      <c r="L100" s="4"/>
    </row>
    <row r="101" spans="1:13" x14ac:dyDescent="0.3">
      <c r="A101" s="2"/>
      <c r="B101" s="2"/>
      <c r="C101" s="2"/>
      <c r="D101" s="2"/>
      <c r="E101" s="2"/>
      <c r="F101" s="2"/>
      <c r="G101" s="2"/>
      <c r="H101" s="2"/>
      <c r="I101" s="2"/>
      <c r="J101" s="2"/>
      <c r="K101" s="2"/>
      <c r="L101" s="2"/>
    </row>
    <row r="102" spans="1:13" x14ac:dyDescent="0.3">
      <c r="A102" s="2" t="s">
        <v>1</v>
      </c>
      <c r="B102" s="2"/>
      <c r="C102" s="2"/>
      <c r="D102" s="2"/>
      <c r="E102" s="2"/>
      <c r="F102" s="2"/>
      <c r="G102" s="2"/>
      <c r="H102" s="2"/>
      <c r="I102" s="2"/>
      <c r="J102" s="2"/>
      <c r="K102" s="2"/>
      <c r="L102" s="2"/>
    </row>
    <row r="103" spans="1:13" x14ac:dyDescent="0.3">
      <c r="A103" s="2"/>
      <c r="B103" s="2"/>
      <c r="C103" s="2"/>
      <c r="D103" s="2"/>
      <c r="E103" s="2"/>
      <c r="F103" s="2"/>
      <c r="G103" s="2"/>
      <c r="H103" s="2"/>
      <c r="I103" s="2"/>
      <c r="J103" s="2"/>
      <c r="K103" s="2"/>
      <c r="L103" s="2"/>
    </row>
    <row r="104" spans="1:13" x14ac:dyDescent="0.3">
      <c r="A104" s="1" t="s">
        <v>289</v>
      </c>
      <c r="F104" s="2"/>
      <c r="G104" s="2"/>
      <c r="H104" s="2"/>
      <c r="I104" s="2"/>
      <c r="J104" s="2"/>
      <c r="K104" s="2"/>
      <c r="L104" s="2"/>
    </row>
    <row r="105" spans="1:13" x14ac:dyDescent="0.3">
      <c r="A105" s="86" t="s">
        <v>301</v>
      </c>
      <c r="B105" s="141">
        <v>12</v>
      </c>
      <c r="C105" s="141">
        <v>24</v>
      </c>
      <c r="D105" s="141">
        <f>C105+12</f>
        <v>36</v>
      </c>
      <c r="F105" s="2"/>
      <c r="G105" s="2"/>
      <c r="H105" s="2"/>
      <c r="I105" s="2"/>
      <c r="J105" s="2"/>
      <c r="K105" s="2"/>
      <c r="L105" s="2"/>
    </row>
    <row r="106" spans="1:13" x14ac:dyDescent="0.3">
      <c r="A106" s="57" t="str">
        <f>A95&amp;"-"&amp;A96</f>
        <v>2022-2023</v>
      </c>
      <c r="B106" s="132">
        <f>B96/B95-1</f>
        <v>4.0826981309387111E-2</v>
      </c>
      <c r="C106" s="132">
        <f>C96/C95-1</f>
        <v>3.9901984511132582E-2</v>
      </c>
      <c r="D106" s="132">
        <f>D96/D95-1</f>
        <v>4.676978114478092E-2</v>
      </c>
      <c r="F106" s="2"/>
      <c r="G106" s="2"/>
      <c r="H106" s="2"/>
      <c r="I106" s="2"/>
      <c r="J106" s="2"/>
      <c r="K106" s="2"/>
      <c r="L106" s="2"/>
    </row>
    <row r="107" spans="1:13" x14ac:dyDescent="0.3">
      <c r="A107" s="57" t="str">
        <f>A96&amp;"-"&amp;A97</f>
        <v>2023-2024</v>
      </c>
      <c r="B107" s="132">
        <f>B97/B96-1</f>
        <v>4.5826645264847699E-2</v>
      </c>
      <c r="C107" s="132">
        <f>C97/C96-1</f>
        <v>9.3008545858286773E-2</v>
      </c>
      <c r="D107" s="132"/>
      <c r="F107" s="2"/>
      <c r="G107" s="2"/>
      <c r="H107" s="2"/>
      <c r="I107" s="2"/>
      <c r="J107" s="2"/>
      <c r="K107" s="2"/>
      <c r="L107" s="2"/>
    </row>
    <row r="108" spans="1:13" x14ac:dyDescent="0.3">
      <c r="A108" s="57" t="str">
        <f>A97&amp;"-"&amp;A98</f>
        <v>2024-2025</v>
      </c>
      <c r="B108" s="133">
        <f>B98/B97-1</f>
        <v>8.4946567949370388E-2</v>
      </c>
      <c r="C108" s="132"/>
      <c r="D108" s="132"/>
      <c r="F108" s="2"/>
      <c r="G108" s="2"/>
      <c r="H108" s="2"/>
      <c r="I108" s="2"/>
      <c r="J108" s="2"/>
      <c r="K108" s="2"/>
      <c r="L108" s="2"/>
    </row>
    <row r="109" spans="1:13" x14ac:dyDescent="0.3">
      <c r="F109" s="2"/>
      <c r="G109" s="2"/>
      <c r="H109" s="2"/>
      <c r="I109" s="2"/>
      <c r="J109" s="2"/>
      <c r="K109" s="2"/>
      <c r="L109" s="2"/>
    </row>
    <row r="110" spans="1:13" x14ac:dyDescent="0.3">
      <c r="A110" s="1" t="s">
        <v>302</v>
      </c>
      <c r="F110" s="2"/>
      <c r="G110" s="2"/>
      <c r="H110" s="2"/>
      <c r="I110" s="2"/>
      <c r="J110" s="2"/>
      <c r="K110" s="2"/>
      <c r="L110" s="2"/>
    </row>
    <row r="111" spans="1:13" x14ac:dyDescent="0.3">
      <c r="M111" s="2"/>
    </row>
    <row r="112" spans="1:13" x14ac:dyDescent="0.3">
      <c r="A112" s="17" t="s">
        <v>2</v>
      </c>
      <c r="B112" s="4" t="s">
        <v>127</v>
      </c>
      <c r="C112" s="4"/>
      <c r="D112" s="4"/>
      <c r="E112" s="4"/>
      <c r="F112" s="4"/>
      <c r="G112" s="4"/>
      <c r="H112" s="4"/>
      <c r="I112" s="4"/>
      <c r="J112" s="4"/>
      <c r="K112" s="4"/>
      <c r="L112" s="4"/>
    </row>
    <row r="113" spans="1:12" x14ac:dyDescent="0.3">
      <c r="A113" s="2"/>
      <c r="B113" s="2"/>
      <c r="C113" s="2"/>
      <c r="D113" s="2"/>
      <c r="E113" s="2"/>
      <c r="F113" s="2"/>
      <c r="G113" s="2"/>
      <c r="H113" s="2"/>
      <c r="I113" s="2"/>
      <c r="J113" s="2"/>
      <c r="K113" s="2"/>
      <c r="L113" s="2"/>
    </row>
    <row r="114" spans="1:12" x14ac:dyDescent="0.3">
      <c r="A114" s="2" t="s">
        <v>1</v>
      </c>
      <c r="B114" s="2"/>
      <c r="C114" s="2"/>
      <c r="D114" s="2"/>
      <c r="E114" s="2"/>
      <c r="F114" s="2"/>
      <c r="G114" s="2"/>
      <c r="H114" s="2"/>
      <c r="I114" s="2"/>
      <c r="J114" s="2"/>
      <c r="K114" s="2"/>
      <c r="L114" s="2"/>
    </row>
    <row r="115" spans="1:12" x14ac:dyDescent="0.3">
      <c r="A115" s="2"/>
      <c r="B115" s="2"/>
      <c r="C115" s="2"/>
      <c r="D115" s="2"/>
      <c r="E115" s="2"/>
      <c r="F115" s="2"/>
      <c r="G115" s="2"/>
      <c r="H115" s="2"/>
      <c r="I115" s="2"/>
      <c r="J115" s="2"/>
      <c r="K115" s="2"/>
      <c r="L115" s="2"/>
    </row>
    <row r="116" spans="1:12" x14ac:dyDescent="0.3">
      <c r="A116" s="175" t="s">
        <v>109</v>
      </c>
      <c r="B116" s="177" t="s">
        <v>290</v>
      </c>
      <c r="C116" s="177"/>
      <c r="D116" s="177"/>
      <c r="E116" s="177"/>
      <c r="F116" s="2"/>
      <c r="G116" s="2"/>
      <c r="H116" s="2"/>
      <c r="I116" s="2"/>
      <c r="J116" s="2"/>
      <c r="K116" s="2"/>
      <c r="L116" s="2"/>
    </row>
    <row r="117" spans="1:12" x14ac:dyDescent="0.3">
      <c r="A117" s="176"/>
      <c r="B117" s="138">
        <v>12</v>
      </c>
      <c r="C117" s="138">
        <v>24</v>
      </c>
      <c r="D117" s="138">
        <f>C117+12</f>
        <v>36</v>
      </c>
      <c r="E117" s="138">
        <f>D117+12</f>
        <v>48</v>
      </c>
      <c r="F117" s="2"/>
      <c r="G117" s="2"/>
      <c r="H117" s="2"/>
      <c r="I117" s="2"/>
      <c r="J117" s="2"/>
      <c r="K117" s="2"/>
      <c r="L117" s="2"/>
    </row>
    <row r="118" spans="1:12" x14ac:dyDescent="0.3">
      <c r="A118" s="135">
        <f>$B$26</f>
        <v>2022</v>
      </c>
      <c r="B118" s="136">
        <f>B46+B53</f>
        <v>4032000</v>
      </c>
      <c r="C118" s="136">
        <f>C46+C53</f>
        <v>2759000</v>
      </c>
      <c r="D118" s="136">
        <f>D46+D53</f>
        <v>3808000</v>
      </c>
      <c r="E118" s="136">
        <f>E46+E53</f>
        <v>4709000</v>
      </c>
      <c r="F118" s="2"/>
      <c r="G118" s="2"/>
      <c r="H118" s="2"/>
      <c r="I118" s="2"/>
      <c r="J118" s="2"/>
      <c r="K118" s="2"/>
      <c r="L118" s="2"/>
    </row>
    <row r="119" spans="1:12" x14ac:dyDescent="0.3">
      <c r="A119" s="135">
        <f>A118+1</f>
        <v>2023</v>
      </c>
      <c r="B119" s="136">
        <f>B47+B54</f>
        <v>6729000</v>
      </c>
      <c r="C119" s="136">
        <f>C47+C54</f>
        <v>7330000</v>
      </c>
      <c r="D119" s="136">
        <f>D47+D54</f>
        <v>6595000</v>
      </c>
      <c r="F119" s="2"/>
      <c r="G119" s="2"/>
      <c r="H119" s="2"/>
      <c r="I119" s="2"/>
      <c r="J119" s="2"/>
      <c r="K119" s="2"/>
      <c r="L119" s="2"/>
    </row>
    <row r="120" spans="1:12" x14ac:dyDescent="0.3">
      <c r="A120" s="135">
        <f>A119+1</f>
        <v>2024</v>
      </c>
      <c r="B120" s="136">
        <f>B48+B55</f>
        <v>7830000</v>
      </c>
      <c r="C120" s="136">
        <f>C48+C55</f>
        <v>8745000</v>
      </c>
      <c r="D120" s="136"/>
      <c r="F120" s="2"/>
      <c r="G120" s="2"/>
      <c r="H120" s="2"/>
      <c r="I120" s="2"/>
      <c r="J120" s="2"/>
      <c r="K120" s="2"/>
      <c r="L120" s="2"/>
    </row>
    <row r="121" spans="1:12" x14ac:dyDescent="0.3">
      <c r="A121" s="135">
        <f>A120+1</f>
        <v>2025</v>
      </c>
      <c r="B121" s="136">
        <f>B49+B56</f>
        <v>8075000</v>
      </c>
      <c r="C121" s="136"/>
      <c r="D121" s="136"/>
      <c r="F121" s="2"/>
      <c r="G121" s="2"/>
      <c r="H121" s="2"/>
      <c r="I121" s="2"/>
      <c r="J121" s="2"/>
      <c r="K121" s="2"/>
      <c r="L121" s="2"/>
    </row>
    <row r="122" spans="1:12" x14ac:dyDescent="0.3">
      <c r="F122" s="2"/>
      <c r="G122" s="2"/>
      <c r="H122" s="2"/>
      <c r="I122" s="2"/>
      <c r="J122" s="2"/>
      <c r="K122" s="2"/>
      <c r="L122" s="2"/>
    </row>
    <row r="123" spans="1:12" x14ac:dyDescent="0.3">
      <c r="A123" s="175" t="s">
        <v>109</v>
      </c>
      <c r="B123" s="177" t="s">
        <v>291</v>
      </c>
      <c r="C123" s="177"/>
      <c r="D123" s="177"/>
      <c r="E123" s="177"/>
      <c r="F123" s="2"/>
      <c r="G123" s="2"/>
      <c r="H123" s="2"/>
      <c r="I123" s="2"/>
      <c r="J123" s="2"/>
      <c r="K123" s="2"/>
      <c r="L123" s="2"/>
    </row>
    <row r="124" spans="1:12" x14ac:dyDescent="0.3">
      <c r="A124" s="176"/>
      <c r="B124" s="138">
        <v>12</v>
      </c>
      <c r="C124" s="138">
        <v>24</v>
      </c>
      <c r="D124" s="138">
        <f>C124+12</f>
        <v>36</v>
      </c>
      <c r="E124" s="138">
        <f>D124+12</f>
        <v>48</v>
      </c>
      <c r="F124" s="2"/>
      <c r="G124" s="2"/>
      <c r="H124" s="2"/>
      <c r="I124" s="2"/>
      <c r="J124" s="2"/>
      <c r="K124" s="2"/>
      <c r="L124" s="2"/>
    </row>
    <row r="125" spans="1:12" x14ac:dyDescent="0.3">
      <c r="A125" s="135">
        <f>$B$26</f>
        <v>2022</v>
      </c>
      <c r="B125" s="143">
        <f>B46/B118</f>
        <v>0.4704861111111111</v>
      </c>
      <c r="C125" s="143">
        <f>C46/C118</f>
        <v>0.62558898151504172</v>
      </c>
      <c r="D125" s="143">
        <f>D46/D118</f>
        <v>0.87001050420168069</v>
      </c>
      <c r="E125" s="143">
        <f>E46/E118</f>
        <v>0.96899554045444891</v>
      </c>
      <c r="F125" s="2"/>
      <c r="G125" s="2"/>
      <c r="H125" s="2"/>
      <c r="I125" s="2"/>
      <c r="J125" s="2"/>
      <c r="K125" s="2"/>
      <c r="L125" s="2"/>
    </row>
    <row r="126" spans="1:12" x14ac:dyDescent="0.3">
      <c r="A126" s="135">
        <f>A125+1</f>
        <v>2023</v>
      </c>
      <c r="B126" s="143">
        <f>B47/B119</f>
        <v>0.47094664883340764</v>
      </c>
      <c r="C126" s="143">
        <f>C47/C119</f>
        <v>0.62482946793997274</v>
      </c>
      <c r="D126" s="143">
        <f>D47/D119</f>
        <v>0.85064442759666414</v>
      </c>
      <c r="F126" s="2"/>
      <c r="G126" s="2"/>
      <c r="H126" s="2"/>
      <c r="I126" s="2"/>
      <c r="J126" s="2"/>
      <c r="K126" s="2"/>
      <c r="L126" s="2"/>
    </row>
    <row r="127" spans="1:12" x14ac:dyDescent="0.3">
      <c r="A127" s="135">
        <f>A126+1</f>
        <v>2024</v>
      </c>
      <c r="B127" s="143">
        <f>B48/B120</f>
        <v>0.46998722860791825</v>
      </c>
      <c r="C127" s="143">
        <f>C48/C120</f>
        <v>0.5969125214408233</v>
      </c>
      <c r="D127" s="136"/>
      <c r="F127" s="2"/>
      <c r="G127" s="2"/>
      <c r="H127" s="2"/>
      <c r="I127" s="2"/>
      <c r="J127" s="2"/>
      <c r="K127" s="2"/>
      <c r="L127" s="2"/>
    </row>
    <row r="128" spans="1:12" x14ac:dyDescent="0.3">
      <c r="A128" s="135">
        <f>A127+1</f>
        <v>2025</v>
      </c>
      <c r="B128" s="143">
        <f>B49/B121</f>
        <v>0.46439628482972134</v>
      </c>
      <c r="C128" s="136"/>
      <c r="D128" s="136"/>
      <c r="F128" s="2"/>
      <c r="G128" s="2"/>
      <c r="H128" s="2"/>
      <c r="I128" s="2"/>
      <c r="J128" s="2"/>
      <c r="K128" s="2"/>
      <c r="L128" s="2"/>
    </row>
    <row r="130" spans="1:12" x14ac:dyDescent="0.3">
      <c r="A130" s="17" t="s">
        <v>3</v>
      </c>
      <c r="B130" s="4" t="s">
        <v>128</v>
      </c>
      <c r="C130" s="4"/>
      <c r="D130" s="4"/>
      <c r="E130" s="4"/>
      <c r="F130" s="4"/>
      <c r="G130" s="4"/>
      <c r="H130" s="4"/>
      <c r="I130" s="4"/>
      <c r="J130" s="4"/>
      <c r="K130" s="4"/>
      <c r="L130" s="4"/>
    </row>
    <row r="131" spans="1:12" x14ac:dyDescent="0.3">
      <c r="A131" s="2"/>
      <c r="B131" s="2"/>
      <c r="C131" s="2"/>
      <c r="D131" s="2"/>
      <c r="E131" s="2"/>
      <c r="F131" s="2"/>
      <c r="G131" s="2"/>
      <c r="H131" s="2"/>
      <c r="I131" s="2"/>
      <c r="J131" s="2"/>
      <c r="K131" s="2"/>
      <c r="L131" s="2"/>
    </row>
    <row r="132" spans="1:12" x14ac:dyDescent="0.3">
      <c r="A132" s="2" t="s">
        <v>1</v>
      </c>
      <c r="B132" s="2"/>
      <c r="C132" s="2"/>
      <c r="D132" s="2"/>
      <c r="E132" s="2"/>
      <c r="F132" s="2"/>
      <c r="G132" s="2"/>
      <c r="H132" s="2"/>
      <c r="I132" s="2"/>
      <c r="J132" s="2"/>
      <c r="K132" s="2"/>
      <c r="L132" s="2"/>
    </row>
    <row r="133" spans="1:12" x14ac:dyDescent="0.3">
      <c r="A133" s="2"/>
      <c r="B133" s="2"/>
      <c r="C133" s="2"/>
      <c r="D133" s="2"/>
      <c r="E133" s="2"/>
      <c r="F133" s="2"/>
      <c r="G133" s="2"/>
      <c r="H133" s="2"/>
      <c r="I133" s="2"/>
      <c r="J133" s="2"/>
      <c r="K133" s="2"/>
      <c r="L133" s="2"/>
    </row>
    <row r="134" spans="1:12" x14ac:dyDescent="0.3">
      <c r="A134" s="1" t="s">
        <v>289</v>
      </c>
      <c r="E134" s="2"/>
      <c r="F134" s="2"/>
      <c r="G134" s="2"/>
      <c r="H134" s="2"/>
      <c r="I134" s="2"/>
      <c r="J134" s="2"/>
      <c r="K134" s="2"/>
      <c r="L134" s="2"/>
    </row>
    <row r="135" spans="1:12" x14ac:dyDescent="0.3">
      <c r="A135" s="86" t="s">
        <v>301</v>
      </c>
      <c r="B135" s="141">
        <v>12</v>
      </c>
      <c r="C135" s="141">
        <v>24</v>
      </c>
      <c r="D135" s="141">
        <f>C135+12</f>
        <v>36</v>
      </c>
      <c r="E135" s="2"/>
      <c r="F135" s="2"/>
      <c r="G135" s="2"/>
      <c r="H135" s="2"/>
      <c r="I135" s="2"/>
      <c r="J135" s="2"/>
      <c r="K135" s="2"/>
      <c r="L135" s="2"/>
    </row>
    <row r="136" spans="1:12" x14ac:dyDescent="0.3">
      <c r="A136" s="57" t="str">
        <f>A125&amp;"-"&amp;A126</f>
        <v>2022-2023</v>
      </c>
      <c r="B136" s="132">
        <f>B126/B125-1</f>
        <v>9.7885508502870699E-4</v>
      </c>
      <c r="C136" s="132">
        <f>C126/C125-1</f>
        <v>-1.2140776092788297E-3</v>
      </c>
      <c r="D136" s="132">
        <f>D126/D125-1</f>
        <v>-2.2259589408965552E-2</v>
      </c>
      <c r="E136" s="2"/>
      <c r="F136" s="2"/>
      <c r="G136" s="2"/>
      <c r="H136" s="2"/>
      <c r="I136" s="2"/>
      <c r="J136" s="2"/>
      <c r="K136" s="2"/>
      <c r="L136" s="2"/>
    </row>
    <row r="137" spans="1:12" x14ac:dyDescent="0.3">
      <c r="A137" s="57" t="str">
        <f>A126&amp;"-"&amp;A127</f>
        <v>2023-2024</v>
      </c>
      <c r="B137" s="132">
        <f>B127/B126-1</f>
        <v>-2.0372163765598472E-3</v>
      </c>
      <c r="C137" s="132">
        <f>C127/C126-1</f>
        <v>-4.4679305204970654E-2</v>
      </c>
      <c r="D137" s="132"/>
      <c r="E137" s="2"/>
      <c r="F137" s="2"/>
      <c r="G137" s="2"/>
      <c r="H137" s="2"/>
      <c r="I137" s="2"/>
      <c r="J137" s="2"/>
      <c r="K137" s="2"/>
      <c r="L137" s="2"/>
    </row>
    <row r="138" spans="1:12" x14ac:dyDescent="0.3">
      <c r="A138" s="57" t="str">
        <f>A127&amp;"-"&amp;A128</f>
        <v>2024-2025</v>
      </c>
      <c r="B138" s="133">
        <f>B128/B127-1</f>
        <v>-1.189594831067442E-2</v>
      </c>
      <c r="C138" s="132"/>
      <c r="D138" s="132"/>
      <c r="E138" s="2"/>
      <c r="F138" s="2"/>
      <c r="G138" s="2"/>
      <c r="H138" s="2"/>
      <c r="I138" s="2"/>
      <c r="J138" s="2"/>
      <c r="K138" s="2"/>
      <c r="L138" s="2"/>
    </row>
    <row r="139" spans="1:12" x14ac:dyDescent="0.3">
      <c r="A139" s="2"/>
      <c r="B139" s="2"/>
      <c r="C139" s="2"/>
      <c r="D139" s="2"/>
      <c r="E139" s="2"/>
      <c r="F139" s="2"/>
      <c r="G139" s="2"/>
      <c r="H139" s="2"/>
      <c r="I139" s="2"/>
      <c r="J139" s="2"/>
      <c r="K139" s="2"/>
      <c r="L139" s="2"/>
    </row>
    <row r="140" spans="1:12" x14ac:dyDescent="0.3">
      <c r="A140" s="1" t="s">
        <v>303</v>
      </c>
      <c r="B140" s="2"/>
      <c r="C140" s="2"/>
      <c r="D140" s="2"/>
      <c r="E140" s="2"/>
      <c r="F140" s="2"/>
      <c r="G140" s="2"/>
      <c r="H140" s="2"/>
      <c r="I140" s="2"/>
      <c r="J140" s="2"/>
      <c r="K140" s="2"/>
      <c r="L140" s="2"/>
    </row>
    <row r="141" spans="1:12" x14ac:dyDescent="0.3">
      <c r="A141" s="1" t="s">
        <v>304</v>
      </c>
      <c r="B141" s="2"/>
      <c r="C141" s="2"/>
      <c r="D141" s="2"/>
      <c r="E141" s="2"/>
      <c r="F141" s="2"/>
      <c r="G141" s="2"/>
      <c r="H141" s="2"/>
      <c r="I141" s="2"/>
      <c r="J141" s="2"/>
      <c r="K141" s="2"/>
      <c r="L141" s="2"/>
    </row>
    <row r="142" spans="1:12" x14ac:dyDescent="0.3">
      <c r="A142" s="1" t="s">
        <v>305</v>
      </c>
      <c r="B142" s="2"/>
      <c r="C142" s="2"/>
      <c r="D142" s="2"/>
      <c r="E142" s="2"/>
      <c r="F142" s="2"/>
      <c r="G142" s="2"/>
      <c r="H142" s="2"/>
      <c r="I142" s="2"/>
      <c r="J142" s="2"/>
      <c r="K142" s="2"/>
      <c r="L142" s="2"/>
    </row>
    <row r="144" spans="1:12" x14ac:dyDescent="0.3">
      <c r="A144" s="4" t="s">
        <v>129</v>
      </c>
      <c r="B144" s="4"/>
      <c r="C144" s="4"/>
      <c r="D144" s="4"/>
      <c r="E144" s="4"/>
      <c r="F144" s="4"/>
      <c r="G144" s="4"/>
      <c r="H144" s="4"/>
      <c r="I144" s="4"/>
      <c r="J144" s="4"/>
      <c r="K144" s="4"/>
      <c r="L144" s="4"/>
    </row>
    <row r="146" spans="1:12" x14ac:dyDescent="0.3">
      <c r="A146" s="17" t="s">
        <v>6</v>
      </c>
      <c r="B146" s="4" t="s">
        <v>130</v>
      </c>
      <c r="C146" s="4"/>
      <c r="D146" s="4"/>
      <c r="E146" s="4"/>
      <c r="F146" s="4"/>
      <c r="G146" s="4"/>
      <c r="H146" s="4"/>
      <c r="I146" s="4"/>
      <c r="J146" s="4"/>
      <c r="K146" s="4"/>
      <c r="L146" s="4"/>
    </row>
    <row r="147" spans="1:12" x14ac:dyDescent="0.3">
      <c r="A147" s="2"/>
      <c r="B147" s="2"/>
      <c r="C147" s="2"/>
      <c r="D147" s="2"/>
      <c r="E147" s="2"/>
      <c r="F147" s="2"/>
      <c r="G147" s="2"/>
      <c r="H147" s="2"/>
      <c r="I147" s="2"/>
      <c r="J147" s="2"/>
      <c r="K147" s="2"/>
      <c r="L147" s="2"/>
    </row>
    <row r="148" spans="1:12" x14ac:dyDescent="0.3">
      <c r="A148" s="2" t="s">
        <v>1</v>
      </c>
      <c r="B148" s="2"/>
      <c r="C148" s="2"/>
      <c r="D148" s="2"/>
      <c r="E148" s="2"/>
      <c r="F148" s="2"/>
      <c r="G148" s="2"/>
      <c r="H148" s="2"/>
      <c r="I148" s="2"/>
      <c r="J148" s="2"/>
      <c r="K148" s="2"/>
      <c r="L148" s="2"/>
    </row>
    <row r="149" spans="1:12" x14ac:dyDescent="0.3">
      <c r="A149" s="2"/>
      <c r="B149" s="2"/>
      <c r="C149" s="2"/>
      <c r="D149" s="2"/>
      <c r="E149" s="2"/>
      <c r="F149" s="2"/>
      <c r="G149" s="2"/>
      <c r="H149" s="2"/>
      <c r="I149" s="2"/>
      <c r="J149" s="2"/>
      <c r="K149" s="2"/>
      <c r="L149" s="2"/>
    </row>
    <row r="150" spans="1:12" x14ac:dyDescent="0.3">
      <c r="A150" s="175" t="s">
        <v>109</v>
      </c>
      <c r="B150" s="177" t="s">
        <v>292</v>
      </c>
      <c r="C150" s="177"/>
      <c r="D150" s="177"/>
      <c r="E150" s="177"/>
      <c r="F150" s="2"/>
      <c r="G150" s="2"/>
      <c r="H150" s="2"/>
      <c r="I150" s="2"/>
      <c r="J150" s="2"/>
      <c r="K150" s="2"/>
      <c r="L150" s="2"/>
    </row>
    <row r="151" spans="1:12" x14ac:dyDescent="0.3">
      <c r="A151" s="176"/>
      <c r="B151" s="138">
        <v>12</v>
      </c>
      <c r="C151" s="138">
        <v>24</v>
      </c>
      <c r="D151" s="138">
        <f>C151+12</f>
        <v>36</v>
      </c>
      <c r="E151" s="138">
        <f>D151+12</f>
        <v>48</v>
      </c>
      <c r="F151" s="2"/>
      <c r="G151" s="2"/>
      <c r="H151" s="2"/>
      <c r="I151" s="2"/>
      <c r="J151" s="2"/>
      <c r="K151" s="2"/>
      <c r="L151" s="2"/>
    </row>
    <row r="152" spans="1:12" x14ac:dyDescent="0.3">
      <c r="A152" s="135">
        <f>$B$26</f>
        <v>2022</v>
      </c>
      <c r="B152" s="136">
        <f t="shared" ref="B152" si="6">B153/(1+$E$75)</f>
        <v>2287.2749858725201</v>
      </c>
      <c r="C152" s="136">
        <f t="shared" ref="C152:C153" si="7">C153/(1+$E$75)</f>
        <v>2412.3320879996845</v>
      </c>
      <c r="D152" s="136">
        <f>D153/(1+$E$75)</f>
        <v>2466.446314102564</v>
      </c>
      <c r="E152" s="137">
        <f>E95</f>
        <v>2654.5454545454545</v>
      </c>
      <c r="F152" s="2"/>
      <c r="G152" s="2"/>
      <c r="H152" s="2"/>
      <c r="I152" s="2"/>
      <c r="J152" s="2"/>
      <c r="K152" s="2"/>
      <c r="L152" s="2"/>
    </row>
    <row r="153" spans="1:12" x14ac:dyDescent="0.3">
      <c r="A153" s="135">
        <f>A152+1</f>
        <v>2023</v>
      </c>
      <c r="B153" s="136">
        <f>B154/(1+$E$75)</f>
        <v>2378.765985307421</v>
      </c>
      <c r="C153" s="136">
        <f t="shared" si="7"/>
        <v>2508.825371519672</v>
      </c>
      <c r="D153" s="137">
        <f>D96</f>
        <v>2565.1041666666665</v>
      </c>
      <c r="E153" s="136"/>
      <c r="F153" s="2"/>
      <c r="G153" s="2"/>
      <c r="H153" s="2"/>
      <c r="I153" s="2"/>
      <c r="J153" s="2"/>
      <c r="K153" s="2"/>
      <c r="L153" s="2"/>
    </row>
    <row r="154" spans="1:12" x14ac:dyDescent="0.3">
      <c r="A154" s="135">
        <f>A153+1</f>
        <v>2024</v>
      </c>
      <c r="B154" s="136">
        <f t="shared" ref="B154" si="8">B155/(1+$E$75)</f>
        <v>2473.9166247197181</v>
      </c>
      <c r="C154" s="137">
        <f>C97</f>
        <v>2609.178386380459</v>
      </c>
      <c r="D154" s="136"/>
      <c r="E154" s="136"/>
      <c r="F154" s="2"/>
      <c r="G154" s="2"/>
      <c r="H154" s="2"/>
      <c r="I154" s="2"/>
      <c r="J154" s="2"/>
      <c r="K154" s="2"/>
      <c r="L154" s="2"/>
    </row>
    <row r="155" spans="1:12" x14ac:dyDescent="0.3">
      <c r="A155" s="135">
        <f>A154+1</f>
        <v>2025</v>
      </c>
      <c r="B155" s="137">
        <f>B98</f>
        <v>2572.8732897085069</v>
      </c>
      <c r="C155" s="136"/>
      <c r="D155" s="136"/>
      <c r="E155" s="136"/>
      <c r="F155" s="2"/>
      <c r="G155" s="2"/>
      <c r="H155" s="2"/>
      <c r="I155" s="2"/>
      <c r="J155" s="2"/>
      <c r="K155" s="2"/>
      <c r="L155" s="2"/>
    </row>
    <row r="156" spans="1:12" x14ac:dyDescent="0.3">
      <c r="A156"/>
      <c r="B156"/>
      <c r="C156"/>
      <c r="D156"/>
      <c r="E156"/>
      <c r="F156" s="2"/>
      <c r="G156" s="2"/>
      <c r="H156" s="2"/>
      <c r="I156" s="2"/>
      <c r="J156" s="2"/>
      <c r="K156" s="2"/>
      <c r="L156" s="2"/>
    </row>
    <row r="157" spans="1:12" x14ac:dyDescent="0.3">
      <c r="A157" s="175" t="s">
        <v>109</v>
      </c>
      <c r="B157" s="177" t="s">
        <v>293</v>
      </c>
      <c r="C157" s="177"/>
      <c r="D157" s="177"/>
      <c r="E157" s="177"/>
      <c r="F157" s="2"/>
      <c r="G157" s="2"/>
      <c r="H157" s="2"/>
      <c r="I157" s="2"/>
      <c r="J157" s="2"/>
      <c r="K157" s="2"/>
      <c r="L157" s="2"/>
    </row>
    <row r="158" spans="1:12" x14ac:dyDescent="0.3">
      <c r="A158" s="176"/>
      <c r="B158" s="138">
        <v>12</v>
      </c>
      <c r="C158" s="138">
        <v>24</v>
      </c>
      <c r="D158" s="138">
        <f>C158+12</f>
        <v>36</v>
      </c>
      <c r="E158" s="138">
        <f>D158+12</f>
        <v>48</v>
      </c>
      <c r="F158" s="2"/>
      <c r="G158" s="2"/>
      <c r="H158" s="2"/>
      <c r="I158" s="2"/>
      <c r="J158" s="2"/>
      <c r="K158" s="2"/>
      <c r="L158" s="2"/>
    </row>
    <row r="159" spans="1:12" x14ac:dyDescent="0.3">
      <c r="A159" s="135">
        <f>$B$26</f>
        <v>2022</v>
      </c>
      <c r="B159" s="136">
        <f>B152*B88+B46</f>
        <v>4138529.4861550699</v>
      </c>
      <c r="C159" s="136">
        <f>C152*C88+C46</f>
        <v>2811549.4395998581</v>
      </c>
      <c r="D159" s="136">
        <f>D152*D88+D46</f>
        <v>3811222.155448718</v>
      </c>
      <c r="E159" s="137">
        <f>E118</f>
        <v>4709000</v>
      </c>
      <c r="F159" s="2"/>
      <c r="G159" s="2"/>
      <c r="H159" s="2"/>
      <c r="I159" s="2"/>
      <c r="J159" s="2"/>
      <c r="K159" s="2"/>
      <c r="L159" s="2"/>
    </row>
    <row r="160" spans="1:12" x14ac:dyDescent="0.3">
      <c r="A160" s="135">
        <f>A159+1</f>
        <v>2023</v>
      </c>
      <c r="B160" s="136">
        <f>B153*B89+B47</f>
        <v>6903662.5969326515</v>
      </c>
      <c r="C160" s="136">
        <f>C153*C89+C47</f>
        <v>7470166.8279906623</v>
      </c>
      <c r="D160" s="137">
        <f>D119</f>
        <v>6595000</v>
      </c>
      <c r="E160" s="136"/>
      <c r="F160" s="2"/>
      <c r="G160" s="2"/>
      <c r="H160" s="2"/>
      <c r="I160" s="2"/>
      <c r="J160" s="2"/>
      <c r="K160" s="2"/>
      <c r="L160" s="2"/>
    </row>
    <row r="161" spans="1:12" x14ac:dyDescent="0.3">
      <c r="A161" s="135">
        <f>A160+1</f>
        <v>2024</v>
      </c>
      <c r="B161" s="136">
        <f>B154*B90+B48</f>
        <v>8009354.0932595069</v>
      </c>
      <c r="C161" s="137">
        <f>C120</f>
        <v>8745000</v>
      </c>
      <c r="D161" s="136"/>
      <c r="E161" s="136"/>
      <c r="F161" s="2"/>
      <c r="G161" s="2"/>
      <c r="H161" s="2"/>
      <c r="I161" s="2"/>
      <c r="J161" s="2"/>
      <c r="K161" s="2"/>
      <c r="L161" s="2"/>
    </row>
    <row r="162" spans="1:12" x14ac:dyDescent="0.3">
      <c r="A162" s="135">
        <f>A161+1</f>
        <v>2025</v>
      </c>
      <c r="B162" s="137">
        <f>B121</f>
        <v>8075000</v>
      </c>
      <c r="C162" s="136"/>
      <c r="D162" s="136"/>
      <c r="E162" s="136"/>
      <c r="F162" s="2"/>
      <c r="G162" s="2"/>
      <c r="H162" s="2"/>
      <c r="I162" s="2"/>
      <c r="J162" s="2"/>
      <c r="K162" s="2"/>
      <c r="L162" s="2"/>
    </row>
    <row r="164" spans="1:12" x14ac:dyDescent="0.3">
      <c r="A164" s="4" t="s">
        <v>131</v>
      </c>
      <c r="B164" s="4"/>
      <c r="C164" s="4"/>
      <c r="D164" s="4"/>
      <c r="E164" s="4"/>
      <c r="F164" s="4"/>
      <c r="G164" s="4"/>
      <c r="H164" s="4"/>
      <c r="I164" s="4"/>
      <c r="J164" s="4"/>
      <c r="K164" s="4"/>
      <c r="L164" s="4"/>
    </row>
    <row r="166" spans="1:12" x14ac:dyDescent="0.3">
      <c r="A166" s="17" t="s">
        <v>7</v>
      </c>
      <c r="B166" s="4" t="s">
        <v>132</v>
      </c>
      <c r="C166" s="4"/>
      <c r="D166" s="4"/>
      <c r="E166" s="4"/>
      <c r="F166" s="4"/>
      <c r="G166" s="4"/>
      <c r="H166" s="4"/>
      <c r="I166" s="4"/>
      <c r="J166" s="4"/>
      <c r="K166" s="4"/>
      <c r="L166" s="4"/>
    </row>
    <row r="167" spans="1:12" x14ac:dyDescent="0.3">
      <c r="A167" s="2"/>
      <c r="B167" s="2"/>
      <c r="C167" s="2"/>
      <c r="D167" s="2"/>
      <c r="E167" s="2"/>
      <c r="F167" s="2"/>
      <c r="G167" s="2"/>
      <c r="H167" s="2"/>
      <c r="I167" s="2"/>
      <c r="J167" s="2"/>
      <c r="K167" s="2"/>
      <c r="L167" s="2"/>
    </row>
    <row r="168" spans="1:12" x14ac:dyDescent="0.3">
      <c r="A168" s="2" t="s">
        <v>1</v>
      </c>
      <c r="B168" s="2"/>
      <c r="C168" s="2"/>
      <c r="D168" s="2"/>
      <c r="E168" s="2"/>
      <c r="F168" s="2"/>
      <c r="G168" s="2"/>
      <c r="H168" s="2"/>
      <c r="I168" s="2"/>
      <c r="J168" s="2"/>
      <c r="K168" s="2"/>
      <c r="L168" s="2"/>
    </row>
    <row r="169" spans="1:12" x14ac:dyDescent="0.3">
      <c r="A169" s="2"/>
      <c r="B169" s="2"/>
      <c r="C169" s="2"/>
      <c r="D169" s="2"/>
      <c r="E169" s="2"/>
      <c r="F169" s="2"/>
      <c r="G169" s="2"/>
      <c r="H169" s="2"/>
      <c r="I169" s="2"/>
      <c r="J169" s="2"/>
      <c r="K169" s="2"/>
      <c r="L169" s="2"/>
    </row>
    <row r="170" spans="1:12" x14ac:dyDescent="0.3">
      <c r="A170" s="2" t="s">
        <v>306</v>
      </c>
      <c r="B170" s="2" t="s">
        <v>294</v>
      </c>
      <c r="C170" s="2"/>
      <c r="D170" s="2"/>
      <c r="E170" s="2"/>
      <c r="F170" s="2"/>
      <c r="G170" s="2"/>
      <c r="H170" s="2"/>
      <c r="I170" s="2"/>
      <c r="J170" s="2"/>
      <c r="K170" s="2"/>
      <c r="L170" s="2"/>
    </row>
    <row r="172" spans="1:12" x14ac:dyDescent="0.3">
      <c r="A172" s="1" t="s">
        <v>307</v>
      </c>
      <c r="B172" s="1" t="s">
        <v>308</v>
      </c>
    </row>
  </sheetData>
  <mergeCells count="34">
    <mergeCell ref="B44:E44"/>
    <mergeCell ref="A67:A68"/>
    <mergeCell ref="B67:E67"/>
    <mergeCell ref="B5:B6"/>
    <mergeCell ref="C5:E5"/>
    <mergeCell ref="B11:B12"/>
    <mergeCell ref="C11:E11"/>
    <mergeCell ref="B17:B18"/>
    <mergeCell ref="C17:E17"/>
    <mergeCell ref="C25:D25"/>
    <mergeCell ref="A86:A87"/>
    <mergeCell ref="B86:E86"/>
    <mergeCell ref="A93:A94"/>
    <mergeCell ref="B93:E93"/>
    <mergeCell ref="E25:F25"/>
    <mergeCell ref="E26:F26"/>
    <mergeCell ref="E27:F27"/>
    <mergeCell ref="E28:F28"/>
    <mergeCell ref="E29:F29"/>
    <mergeCell ref="C26:D26"/>
    <mergeCell ref="C27:D27"/>
    <mergeCell ref="C28:D28"/>
    <mergeCell ref="C29:D29"/>
    <mergeCell ref="A51:A52"/>
    <mergeCell ref="B51:E51"/>
    <mergeCell ref="A44:A45"/>
    <mergeCell ref="A157:A158"/>
    <mergeCell ref="B157:E157"/>
    <mergeCell ref="A116:A117"/>
    <mergeCell ref="B116:E116"/>
    <mergeCell ref="A123:A124"/>
    <mergeCell ref="B123:E123"/>
    <mergeCell ref="A150:A151"/>
    <mergeCell ref="B150:E150"/>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54D2-907E-485D-A927-DC3F333D80D5}">
  <dimension ref="A1:R50"/>
  <sheetViews>
    <sheetView zoomScaleNormal="100" workbookViewId="0"/>
  </sheetViews>
  <sheetFormatPr defaultRowHeight="15.6" x14ac:dyDescent="0.3"/>
  <cols>
    <col min="1" max="1" width="9.77734375" style="1" customWidth="1"/>
    <col min="2" max="7" width="14.77734375" style="1" customWidth="1"/>
    <col min="8" max="8" width="8.88671875" style="1" customWidth="1"/>
    <col min="9" max="16384" width="8.88671875" style="1"/>
  </cols>
  <sheetData>
    <row r="1" spans="1:18" ht="17.399999999999999" x14ac:dyDescent="0.3">
      <c r="A1" s="14" t="s">
        <v>133</v>
      </c>
      <c r="B1" s="4"/>
      <c r="C1" s="4" t="s">
        <v>134</v>
      </c>
      <c r="D1" s="4"/>
      <c r="E1" s="4"/>
      <c r="F1" s="4"/>
      <c r="G1" s="4"/>
      <c r="H1" s="4"/>
      <c r="I1" s="4"/>
      <c r="J1" s="4"/>
      <c r="K1" s="4"/>
      <c r="L1" s="15"/>
    </row>
    <row r="2" spans="1:18" x14ac:dyDescent="0.3">
      <c r="A2" s="4"/>
      <c r="B2" s="4"/>
      <c r="C2" s="4"/>
      <c r="D2" s="4"/>
      <c r="E2" s="4"/>
      <c r="F2" s="4"/>
      <c r="G2" s="4"/>
      <c r="H2" s="4"/>
      <c r="I2" s="4"/>
      <c r="J2" s="4"/>
      <c r="K2" s="4"/>
      <c r="L2" s="15"/>
    </row>
    <row r="3" spans="1:18" x14ac:dyDescent="0.3">
      <c r="A3" s="4" t="s">
        <v>135</v>
      </c>
      <c r="B3" s="4"/>
      <c r="C3" s="4"/>
      <c r="D3" s="4"/>
      <c r="E3" s="4"/>
      <c r="F3" s="4"/>
      <c r="G3" s="4"/>
      <c r="H3" s="4"/>
      <c r="I3" s="4"/>
      <c r="J3" s="4"/>
      <c r="K3" s="4"/>
      <c r="L3" s="15"/>
    </row>
    <row r="4" spans="1:18" x14ac:dyDescent="0.3">
      <c r="A4" s="16"/>
      <c r="B4" s="4"/>
      <c r="C4" s="4"/>
      <c r="D4" s="4"/>
      <c r="E4" s="4"/>
      <c r="F4" s="4"/>
      <c r="G4" s="4"/>
      <c r="H4" s="4"/>
      <c r="I4" s="4"/>
      <c r="J4" s="4"/>
      <c r="K4" s="4"/>
      <c r="L4" s="4"/>
    </row>
    <row r="5" spans="1:18" x14ac:dyDescent="0.3">
      <c r="A5" s="16"/>
      <c r="B5" s="162" t="s">
        <v>136</v>
      </c>
      <c r="C5" s="182" t="s">
        <v>137</v>
      </c>
      <c r="D5" s="182"/>
      <c r="E5" s="182"/>
      <c r="F5" s="182"/>
      <c r="G5" s="162" t="s">
        <v>138</v>
      </c>
      <c r="H5" s="4"/>
      <c r="I5" s="4"/>
      <c r="J5" s="4"/>
      <c r="K5" s="4"/>
      <c r="L5" s="4"/>
    </row>
    <row r="6" spans="1:18" x14ac:dyDescent="0.3">
      <c r="A6" s="16"/>
      <c r="B6" s="162"/>
      <c r="C6" s="44">
        <v>2022</v>
      </c>
      <c r="D6" s="44">
        <v>2023</v>
      </c>
      <c r="E6" s="44">
        <v>2024</v>
      </c>
      <c r="F6" s="44">
        <v>2025</v>
      </c>
      <c r="G6" s="162"/>
      <c r="H6" s="4"/>
      <c r="I6" s="4"/>
      <c r="J6" s="4"/>
      <c r="K6" s="4"/>
      <c r="L6" s="4"/>
    </row>
    <row r="7" spans="1:18" x14ac:dyDescent="0.3">
      <c r="A7" s="16"/>
      <c r="B7" s="37">
        <v>1</v>
      </c>
      <c r="C7" s="38">
        <v>1702</v>
      </c>
      <c r="D7" s="38">
        <v>1639</v>
      </c>
      <c r="E7" s="38">
        <v>1533</v>
      </c>
      <c r="F7" s="38">
        <v>1437</v>
      </c>
      <c r="G7" s="47">
        <v>0.92</v>
      </c>
      <c r="H7" s="4"/>
      <c r="I7" s="4"/>
      <c r="J7" s="4"/>
      <c r="K7" s="4"/>
      <c r="L7" s="4"/>
    </row>
    <row r="8" spans="1:18" x14ac:dyDescent="0.3">
      <c r="A8" s="16"/>
      <c r="B8" s="37">
        <v>2</v>
      </c>
      <c r="C8" s="38">
        <v>1747</v>
      </c>
      <c r="D8" s="38">
        <v>1684</v>
      </c>
      <c r="E8" s="38">
        <v>1634</v>
      </c>
      <c r="F8" s="38">
        <v>1591</v>
      </c>
      <c r="G8" s="47">
        <v>0.96</v>
      </c>
      <c r="H8" s="4"/>
      <c r="I8" s="4"/>
      <c r="J8" s="4"/>
      <c r="K8" s="4"/>
      <c r="L8" s="4"/>
    </row>
    <row r="9" spans="1:18" x14ac:dyDescent="0.3">
      <c r="A9" s="4"/>
      <c r="B9" s="37">
        <v>3</v>
      </c>
      <c r="C9" s="38">
        <v>1714</v>
      </c>
      <c r="D9" s="38">
        <v>1711</v>
      </c>
      <c r="E9" s="38">
        <v>1712</v>
      </c>
      <c r="F9" s="38">
        <v>1723</v>
      </c>
      <c r="G9" s="47">
        <v>1</v>
      </c>
      <c r="H9" s="4"/>
      <c r="I9" s="4"/>
      <c r="J9" s="4"/>
      <c r="K9" s="4"/>
      <c r="L9" s="4"/>
    </row>
    <row r="10" spans="1:18" x14ac:dyDescent="0.3">
      <c r="A10" s="4"/>
      <c r="B10" s="37">
        <v>4</v>
      </c>
      <c r="C10" s="38">
        <v>1758</v>
      </c>
      <c r="D10" s="38">
        <v>1840</v>
      </c>
      <c r="E10" s="38">
        <v>1909</v>
      </c>
      <c r="F10" s="38">
        <v>2020</v>
      </c>
      <c r="G10" s="47">
        <v>1.06</v>
      </c>
      <c r="H10" s="4"/>
      <c r="I10" s="4"/>
      <c r="J10" s="4"/>
      <c r="K10" s="4"/>
      <c r="L10" s="4"/>
    </row>
    <row r="11" spans="1:18" x14ac:dyDescent="0.3">
      <c r="A11" s="16"/>
      <c r="B11" s="37">
        <v>5</v>
      </c>
      <c r="C11" s="38">
        <v>1660</v>
      </c>
      <c r="D11" s="38">
        <v>1821</v>
      </c>
      <c r="E11" s="38">
        <v>2030</v>
      </c>
      <c r="F11" s="38">
        <v>2283</v>
      </c>
      <c r="G11" s="47">
        <v>1.1399999999999999</v>
      </c>
      <c r="H11" s="4"/>
      <c r="I11" s="4"/>
      <c r="J11" s="4"/>
      <c r="K11" s="4"/>
      <c r="L11" s="4"/>
    </row>
    <row r="12" spans="1:18" x14ac:dyDescent="0.3">
      <c r="A12" s="4"/>
      <c r="B12" s="37">
        <v>6</v>
      </c>
      <c r="C12" s="38">
        <v>1659</v>
      </c>
      <c r="D12" s="38">
        <v>1985</v>
      </c>
      <c r="E12" s="38">
        <v>2368</v>
      </c>
      <c r="F12" s="38">
        <v>2976</v>
      </c>
      <c r="G12" s="47">
        <v>1.21</v>
      </c>
      <c r="H12" s="4"/>
      <c r="I12" s="4"/>
      <c r="J12" s="4"/>
      <c r="K12" s="4"/>
      <c r="L12" s="4"/>
    </row>
    <row r="13" spans="1:18" x14ac:dyDescent="0.3">
      <c r="A13" s="4"/>
      <c r="B13" s="44" t="s">
        <v>139</v>
      </c>
      <c r="C13" s="45">
        <v>10240</v>
      </c>
      <c r="D13" s="45">
        <v>10680</v>
      </c>
      <c r="E13" s="45">
        <v>11186</v>
      </c>
      <c r="F13" s="45">
        <v>12030</v>
      </c>
      <c r="G13" s="46"/>
      <c r="H13" s="4"/>
      <c r="I13" s="4"/>
      <c r="J13" s="4"/>
      <c r="K13" s="4"/>
      <c r="L13" s="4"/>
    </row>
    <row r="14" spans="1:18" x14ac:dyDescent="0.3">
      <c r="A14" s="2"/>
      <c r="B14" s="2"/>
      <c r="C14" s="2"/>
      <c r="D14" s="2"/>
      <c r="E14" s="2"/>
      <c r="F14" s="2"/>
      <c r="G14" s="2"/>
      <c r="H14" s="2"/>
      <c r="I14" s="2"/>
      <c r="J14" s="2"/>
      <c r="K14" s="2"/>
      <c r="L14" s="2"/>
    </row>
    <row r="15" spans="1:18" x14ac:dyDescent="0.3">
      <c r="A15" s="17" t="s">
        <v>4</v>
      </c>
      <c r="B15" s="4" t="s">
        <v>140</v>
      </c>
      <c r="C15" s="4"/>
      <c r="D15" s="4"/>
      <c r="E15" s="4"/>
      <c r="F15" s="4"/>
      <c r="G15" s="4"/>
      <c r="H15" s="4"/>
      <c r="I15" s="4"/>
      <c r="J15" s="4"/>
      <c r="K15" s="4"/>
      <c r="L15" s="4"/>
      <c r="M15" s="3"/>
      <c r="N15" s="3"/>
      <c r="O15" s="3"/>
      <c r="P15" s="3"/>
      <c r="Q15" s="3"/>
      <c r="R15" s="3"/>
    </row>
    <row r="16" spans="1:18" x14ac:dyDescent="0.3">
      <c r="A16" s="2"/>
      <c r="B16" s="2"/>
      <c r="C16" s="2"/>
      <c r="D16" s="2"/>
      <c r="E16" s="2"/>
      <c r="F16" s="2"/>
      <c r="G16" s="2"/>
      <c r="H16" s="2"/>
      <c r="I16" s="2"/>
      <c r="J16" s="2"/>
      <c r="K16" s="2"/>
      <c r="L16" s="2"/>
      <c r="M16" s="2"/>
    </row>
    <row r="17" spans="1:13" x14ac:dyDescent="0.3">
      <c r="A17" s="2" t="s">
        <v>1</v>
      </c>
      <c r="B17" s="2"/>
      <c r="C17" s="2"/>
      <c r="D17" s="2"/>
      <c r="E17" s="2"/>
      <c r="F17" s="2"/>
      <c r="G17" s="2"/>
      <c r="H17" s="2"/>
      <c r="I17" s="2"/>
      <c r="J17" s="2"/>
      <c r="K17" s="2"/>
      <c r="L17" s="2"/>
      <c r="M17" s="2"/>
    </row>
    <row r="18" spans="1:13" x14ac:dyDescent="0.3">
      <c r="A18" s="2"/>
      <c r="B18" s="2"/>
      <c r="C18" s="77">
        <f>C6</f>
        <v>2022</v>
      </c>
      <c r="D18" s="77">
        <f t="shared" ref="D18:F18" si="0">D6</f>
        <v>2023</v>
      </c>
      <c r="E18" s="77">
        <f t="shared" si="0"/>
        <v>2024</v>
      </c>
      <c r="F18" s="77">
        <f t="shared" si="0"/>
        <v>2025</v>
      </c>
      <c r="G18" s="2"/>
      <c r="H18" s="2"/>
      <c r="I18" s="2"/>
      <c r="J18" s="2"/>
      <c r="K18" s="2"/>
      <c r="L18" s="2"/>
      <c r="M18" s="2"/>
    </row>
    <row r="19" spans="1:13" x14ac:dyDescent="0.3">
      <c r="A19" s="144" t="s">
        <v>309</v>
      </c>
      <c r="C19" s="94">
        <f>SUMPRODUCT(C7:C12,$G$7:$G$12)/C13</f>
        <v>1.0468974609374999</v>
      </c>
      <c r="D19" s="94">
        <f>SUMPRODUCT(D7:D12,$G$7:$G$12)/D13</f>
        <v>1.0546544943820226</v>
      </c>
      <c r="E19" s="94">
        <f>SUMPRODUCT(E7:E12,$G$7:$G$12)/E13</f>
        <v>1.0632951904165922</v>
      </c>
      <c r="F19" s="94">
        <f>SUMPRODUCT(F7:F12,$G$7:$G$12)/F13</f>
        <v>1.0737472984206151</v>
      </c>
      <c r="G19" s="2"/>
      <c r="H19" s="2"/>
      <c r="I19" s="2"/>
      <c r="J19" s="2"/>
      <c r="K19" s="2"/>
      <c r="L19" s="2"/>
      <c r="M19" s="2"/>
    </row>
    <row r="20" spans="1:13" x14ac:dyDescent="0.3">
      <c r="A20" s="145" t="s">
        <v>310</v>
      </c>
      <c r="C20" s="57"/>
      <c r="D20" s="156">
        <f>D19/C19-1</f>
        <v>7.4095446153592537E-3</v>
      </c>
      <c r="E20" s="156">
        <f t="shared" ref="E20:F20" si="1">E19/D19-1</f>
        <v>8.1929163347780332E-3</v>
      </c>
      <c r="F20" s="156">
        <f t="shared" si="1"/>
        <v>9.8299212657284585E-3</v>
      </c>
      <c r="G20" s="2"/>
      <c r="H20" s="2"/>
      <c r="I20" s="2"/>
      <c r="J20" s="2"/>
      <c r="K20" s="2"/>
      <c r="L20" s="2"/>
      <c r="M20" s="2"/>
    </row>
    <row r="21" spans="1:13" x14ac:dyDescent="0.3">
      <c r="M21" s="3"/>
    </row>
    <row r="22" spans="1:13" x14ac:dyDescent="0.3">
      <c r="A22" s="17" t="s">
        <v>5</v>
      </c>
      <c r="B22" s="4" t="s">
        <v>141</v>
      </c>
      <c r="C22" s="4"/>
      <c r="D22" s="4"/>
      <c r="E22" s="4"/>
      <c r="F22" s="4"/>
      <c r="G22" s="4"/>
      <c r="H22" s="4"/>
      <c r="I22" s="4"/>
      <c r="J22" s="4"/>
      <c r="K22" s="4"/>
      <c r="L22" s="4"/>
    </row>
    <row r="23" spans="1:13" x14ac:dyDescent="0.3">
      <c r="A23" s="2"/>
      <c r="B23" s="2"/>
      <c r="C23" s="2"/>
      <c r="D23" s="2"/>
      <c r="E23" s="2"/>
      <c r="F23" s="2"/>
      <c r="G23" s="2"/>
      <c r="H23" s="2"/>
      <c r="I23" s="2"/>
      <c r="J23" s="2"/>
      <c r="K23" s="2"/>
      <c r="L23" s="2"/>
    </row>
    <row r="24" spans="1:13" x14ac:dyDescent="0.3">
      <c r="A24" s="2" t="s">
        <v>1</v>
      </c>
      <c r="B24" s="2"/>
      <c r="C24" s="2"/>
      <c r="D24" s="2"/>
      <c r="E24" s="2"/>
      <c r="F24" s="2"/>
      <c r="G24" s="2"/>
      <c r="H24" s="2"/>
      <c r="I24" s="2"/>
      <c r="J24" s="2"/>
      <c r="K24" s="2"/>
      <c r="L24" s="2"/>
    </row>
    <row r="25" spans="1:13" x14ac:dyDescent="0.3">
      <c r="A25" s="2"/>
      <c r="B25" s="2"/>
      <c r="C25" s="2"/>
      <c r="D25" s="2"/>
      <c r="E25" s="2"/>
      <c r="F25" s="2"/>
      <c r="G25" s="2"/>
      <c r="H25" s="2"/>
      <c r="I25" s="2"/>
      <c r="J25" s="2"/>
      <c r="K25" s="2"/>
      <c r="L25" s="2"/>
    </row>
    <row r="26" spans="1:13" ht="16.2" x14ac:dyDescent="0.35">
      <c r="A26" s="118" t="s">
        <v>277</v>
      </c>
      <c r="C26" s="2"/>
      <c r="D26" s="2"/>
      <c r="E26" s="2"/>
      <c r="F26" s="2"/>
      <c r="G26" s="2"/>
      <c r="H26" s="2"/>
      <c r="I26" s="2"/>
      <c r="J26" s="2"/>
      <c r="K26" s="2"/>
      <c r="L26" s="2"/>
    </row>
    <row r="27" spans="1:13" x14ac:dyDescent="0.3">
      <c r="A27" s="52" t="s">
        <v>312</v>
      </c>
      <c r="C27" s="2"/>
      <c r="D27" s="2"/>
      <c r="E27" s="2"/>
      <c r="F27" s="2"/>
      <c r="G27" s="2"/>
      <c r="H27" s="2"/>
      <c r="I27" s="2"/>
      <c r="J27" s="2"/>
      <c r="K27" s="2"/>
      <c r="L27" s="2"/>
    </row>
    <row r="28" spans="1:13" x14ac:dyDescent="0.3">
      <c r="A28" s="2"/>
      <c r="B28" s="2"/>
      <c r="C28" s="2"/>
      <c r="D28" s="2"/>
      <c r="E28" s="2"/>
      <c r="F28" s="2"/>
      <c r="G28" s="2"/>
      <c r="H28" s="2"/>
      <c r="I28" s="2"/>
      <c r="J28" s="2"/>
      <c r="K28" s="2"/>
      <c r="L28" s="2"/>
    </row>
    <row r="29" spans="1:13" x14ac:dyDescent="0.3">
      <c r="A29" s="1" t="s">
        <v>311</v>
      </c>
      <c r="C29" s="146">
        <f>AVERAGE(E20:F20)</f>
        <v>9.0114188002532458E-3</v>
      </c>
      <c r="D29" s="39" t="s">
        <v>314</v>
      </c>
      <c r="E29" s="2"/>
      <c r="F29" s="2"/>
      <c r="G29" s="2"/>
      <c r="H29" s="2"/>
      <c r="I29" s="2"/>
      <c r="J29" s="2"/>
      <c r="K29" s="2"/>
      <c r="L29" s="2"/>
    </row>
    <row r="30" spans="1:13" x14ac:dyDescent="0.3">
      <c r="D30" s="2"/>
      <c r="E30" s="2"/>
      <c r="F30" s="2"/>
      <c r="G30" s="2"/>
      <c r="H30" s="2"/>
      <c r="I30" s="2"/>
      <c r="J30" s="2"/>
      <c r="K30" s="2"/>
      <c r="L30" s="2"/>
    </row>
    <row r="31" spans="1:13" x14ac:dyDescent="0.3">
      <c r="A31" s="1" t="s">
        <v>267</v>
      </c>
      <c r="C31" s="1" t="s">
        <v>313</v>
      </c>
      <c r="D31" s="2"/>
      <c r="E31" s="2"/>
      <c r="F31" s="2"/>
      <c r="G31" s="2"/>
      <c r="H31" s="2"/>
      <c r="I31" s="2"/>
      <c r="J31" s="2"/>
      <c r="K31" s="2"/>
      <c r="L31" s="2"/>
    </row>
    <row r="32" spans="1:13" x14ac:dyDescent="0.3">
      <c r="M32" s="2"/>
    </row>
    <row r="33" spans="1:13" x14ac:dyDescent="0.3">
      <c r="A33" s="4"/>
      <c r="B33" s="4"/>
      <c r="C33" s="4"/>
      <c r="D33" s="4"/>
      <c r="E33" s="4"/>
      <c r="F33" s="4"/>
      <c r="G33" s="4"/>
      <c r="H33" s="4"/>
      <c r="I33" s="4"/>
      <c r="J33" s="4"/>
      <c r="K33" s="4"/>
      <c r="L33" s="4"/>
      <c r="M33" s="2"/>
    </row>
    <row r="34" spans="1:13" x14ac:dyDescent="0.3">
      <c r="A34" s="18" t="s">
        <v>101</v>
      </c>
      <c r="B34" s="4"/>
      <c r="C34" s="4"/>
      <c r="D34" s="4"/>
      <c r="E34" s="4"/>
      <c r="F34" s="4"/>
      <c r="G34" s="4"/>
      <c r="H34" s="4"/>
      <c r="I34" s="4"/>
      <c r="J34" s="4"/>
      <c r="K34" s="4"/>
      <c r="L34" s="4"/>
      <c r="M34" s="2"/>
    </row>
    <row r="35" spans="1:13" x14ac:dyDescent="0.3">
      <c r="A35" s="4"/>
      <c r="B35" s="19" t="s">
        <v>142</v>
      </c>
      <c r="C35" s="4"/>
      <c r="D35" s="4"/>
      <c r="E35" s="4"/>
      <c r="F35" s="4"/>
      <c r="G35" s="4"/>
      <c r="H35" s="4"/>
      <c r="I35" s="4"/>
      <c r="J35" s="4"/>
      <c r="K35" s="4"/>
      <c r="L35" s="4"/>
      <c r="M35" s="2"/>
    </row>
    <row r="36" spans="1:13" x14ac:dyDescent="0.3">
      <c r="A36" s="4"/>
      <c r="B36" s="19" t="s">
        <v>144</v>
      </c>
      <c r="C36" s="4"/>
      <c r="D36" s="4"/>
      <c r="E36" s="4"/>
      <c r="F36" s="4"/>
      <c r="G36" s="21">
        <v>12500000</v>
      </c>
      <c r="H36" s="4"/>
      <c r="I36" s="4"/>
      <c r="J36" s="4"/>
      <c r="K36" s="4"/>
      <c r="L36" s="4"/>
      <c r="M36" s="2"/>
    </row>
    <row r="37" spans="1:13" x14ac:dyDescent="0.3">
      <c r="A37" s="4"/>
      <c r="B37" s="19" t="s">
        <v>143</v>
      </c>
      <c r="C37" s="4"/>
      <c r="D37" s="4"/>
      <c r="E37" s="4"/>
      <c r="F37" s="4"/>
      <c r="G37" s="4"/>
      <c r="H37" s="4"/>
      <c r="I37" s="4"/>
      <c r="J37" s="4"/>
      <c r="K37" s="4"/>
      <c r="L37" s="4"/>
      <c r="M37" s="2"/>
    </row>
    <row r="39" spans="1:13" x14ac:dyDescent="0.3">
      <c r="A39" s="17" t="s">
        <v>0</v>
      </c>
      <c r="B39" s="4" t="s">
        <v>186</v>
      </c>
      <c r="C39" s="4"/>
      <c r="D39" s="4"/>
      <c r="E39" s="4"/>
      <c r="F39" s="4"/>
      <c r="G39" s="4"/>
      <c r="H39" s="4"/>
      <c r="I39" s="4"/>
      <c r="J39" s="4"/>
      <c r="K39" s="4"/>
      <c r="L39" s="4"/>
    </row>
    <row r="40" spans="1:13" x14ac:dyDescent="0.3">
      <c r="A40" s="2"/>
      <c r="B40" s="2"/>
      <c r="C40" s="2"/>
      <c r="D40" s="2"/>
      <c r="E40" s="2"/>
      <c r="F40" s="2"/>
      <c r="G40" s="2"/>
      <c r="H40" s="2"/>
      <c r="I40" s="2"/>
      <c r="J40" s="2"/>
      <c r="K40" s="2"/>
      <c r="L40" s="2"/>
    </row>
    <row r="41" spans="1:13" x14ac:dyDescent="0.3">
      <c r="A41" s="2" t="s">
        <v>1</v>
      </c>
      <c r="B41" s="2"/>
      <c r="C41" s="2"/>
      <c r="D41" s="2"/>
      <c r="E41" s="2"/>
      <c r="F41" s="2"/>
      <c r="G41" s="2"/>
      <c r="H41" s="2"/>
      <c r="I41" s="2"/>
      <c r="J41" s="2"/>
      <c r="K41" s="2"/>
      <c r="L41" s="2"/>
    </row>
    <row r="42" spans="1:13" x14ac:dyDescent="0.3">
      <c r="A42"/>
      <c r="B42"/>
    </row>
    <row r="43" spans="1:13" x14ac:dyDescent="0.3">
      <c r="A43" s="1" t="s">
        <v>315</v>
      </c>
      <c r="B43"/>
      <c r="C43"/>
      <c r="D43" s="149">
        <v>44743</v>
      </c>
    </row>
    <row r="44" spans="1:13" x14ac:dyDescent="0.3">
      <c r="A44" s="1" t="s">
        <v>316</v>
      </c>
      <c r="B44"/>
      <c r="C44"/>
      <c r="D44" s="149">
        <v>46631</v>
      </c>
      <c r="E44" s="147" t="s">
        <v>321</v>
      </c>
    </row>
    <row r="45" spans="1:13" x14ac:dyDescent="0.3">
      <c r="B45"/>
      <c r="C45"/>
    </row>
    <row r="46" spans="1:13" x14ac:dyDescent="0.3">
      <c r="A46" s="1" t="s">
        <v>317</v>
      </c>
      <c r="B46"/>
      <c r="C46"/>
      <c r="D46" s="1">
        <f>(12*YEAR(D44)+MONTH(D44))-(12*YEAR(D43)+MONTH(D43))</f>
        <v>62</v>
      </c>
      <c r="E46" s="1" t="s">
        <v>318</v>
      </c>
    </row>
    <row r="47" spans="1:13" x14ac:dyDescent="0.3">
      <c r="B47"/>
      <c r="C47"/>
      <c r="D47" s="148">
        <f>D46/12</f>
        <v>5.166666666666667</v>
      </c>
      <c r="E47" s="1" t="s">
        <v>319</v>
      </c>
    </row>
    <row r="48" spans="1:13" x14ac:dyDescent="0.3">
      <c r="B48"/>
      <c r="C48"/>
      <c r="E48" s="97"/>
    </row>
    <row r="49" spans="1:4" x14ac:dyDescent="0.3">
      <c r="A49" s="1" t="s">
        <v>401</v>
      </c>
      <c r="B49"/>
      <c r="C49"/>
      <c r="D49" s="148">
        <f>(1+$C$29)^D47</f>
        <v>1.0474414409791739</v>
      </c>
    </row>
    <row r="50" spans="1:4" x14ac:dyDescent="0.3">
      <c r="A50" s="1" t="s">
        <v>320</v>
      </c>
      <c r="B50"/>
      <c r="D50" s="55">
        <f>D49*G36</f>
        <v>13093018.012239674</v>
      </c>
    </row>
  </sheetData>
  <mergeCells count="3">
    <mergeCell ref="B5:B6"/>
    <mergeCell ref="C5:F5"/>
    <mergeCell ref="G5:G6"/>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8C4DA1-E143-47C3-AD0F-66CE696AC76C}"/>
</file>

<file path=customXml/itemProps2.xml><?xml version="1.0" encoding="utf-8"?>
<ds:datastoreItem xmlns:ds="http://schemas.openxmlformats.org/officeDocument/2006/customXml" ds:itemID="{A67CB874-B6FA-459B-8DF1-45B858F20452}"/>
</file>

<file path=customXml/itemProps3.xml><?xml version="1.0" encoding="utf-8"?>
<ds:datastoreItem xmlns:ds="http://schemas.openxmlformats.org/officeDocument/2006/customXml" ds:itemID="{94AB3918-7BBE-49FA-BF71-8DB40449C842}"/>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6'!_Hlk203128582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Scott Lennox</cp:lastModifiedBy>
  <cp:lastPrinted>2018-12-31T14:01:19Z</cp:lastPrinted>
  <dcterms:created xsi:type="dcterms:W3CDTF">2016-11-07T18:30:57Z</dcterms:created>
  <dcterms:modified xsi:type="dcterms:W3CDTF">2026-05-07T19:47:22Z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