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GI 301/"/>
    </mc:Choice>
  </mc:AlternateContent>
  <xr:revisionPtr revIDLastSave="0" documentId="8_{45CC13D7-4644-4C53-AB69-8EA4ED257EAE}" xr6:coauthVersionLast="47" xr6:coauthVersionMax="47" xr10:uidLastSave="{00000000-0000-0000-0000-000000000000}"/>
  <bookViews>
    <workbookView xWindow="1536" yWindow="0" windowWidth="19632" windowHeight="12240" xr2:uid="{50242B7A-E4C6-4D90-9183-15FAB8587C89}"/>
  </bookViews>
  <sheets>
    <sheet name="Q01" sheetId="15" r:id="rId1"/>
    <sheet name="Q02" sheetId="11" r:id="rId2"/>
    <sheet name="Q03" sheetId="7" r:id="rId3"/>
    <sheet name="Q04" sheetId="14" r:id="rId4"/>
    <sheet name="Q05" sheetId="13" r:id="rId5"/>
    <sheet name="Q06" sheetId="8" r:id="rId6"/>
    <sheet name="Q07" sheetId="9" r:id="rId7"/>
    <sheet name="Q08" sheetId="4" r:id="rId8"/>
    <sheet name="Q09" sheetId="5" r:id="rId9"/>
    <sheet name="Q10" sheetId="3" r:id="rId10"/>
    <sheet name="Q11"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3" i="4" l="1"/>
  <c r="H83" i="4"/>
  <c r="G83" i="4"/>
  <c r="J30" i="9"/>
  <c r="J36" i="9"/>
  <c r="D68" i="9"/>
  <c r="D67" i="9"/>
  <c r="B57" i="9"/>
  <c r="J35" i="9" l="1"/>
  <c r="J34" i="9"/>
  <c r="J33" i="9"/>
  <c r="J32" i="9"/>
  <c r="J29" i="9"/>
  <c r="J28" i="9"/>
  <c r="J27" i="9"/>
  <c r="F41" i="8" l="1"/>
  <c r="F40" i="8"/>
  <c r="G40" i="13" l="1"/>
  <c r="G39" i="13"/>
  <c r="G38" i="13"/>
  <c r="G37" i="13"/>
  <c r="G36" i="13"/>
  <c r="A40" i="13"/>
  <c r="A39" i="13"/>
  <c r="A38" i="13"/>
  <c r="A37" i="13"/>
  <c r="A36" i="13"/>
  <c r="C23" i="15" l="1"/>
  <c r="H22" i="15"/>
  <c r="O35" i="15"/>
  <c r="O36" i="15" s="1"/>
  <c r="O37" i="15" s="1"/>
  <c r="O38" i="15" s="1"/>
  <c r="O39" i="15" s="1"/>
  <c r="O40" i="15" s="1"/>
  <c r="O41" i="15" s="1"/>
  <c r="O42" i="15" s="1"/>
  <c r="P34" i="15"/>
  <c r="P35" i="15" s="1"/>
  <c r="P36" i="15" s="1"/>
  <c r="P37" i="15" s="1"/>
  <c r="P38" i="15" s="1"/>
  <c r="P39" i="15" s="1"/>
  <c r="P40" i="15" s="1"/>
  <c r="P41" i="15" s="1"/>
  <c r="P42" i="15" s="1"/>
  <c r="O34" i="15"/>
  <c r="R32" i="15"/>
  <c r="S32" i="15" s="1"/>
  <c r="T32" i="15" s="1"/>
  <c r="U32" i="15" s="1"/>
  <c r="V32" i="15" s="1"/>
  <c r="W32" i="15" s="1"/>
  <c r="X32" i="15" s="1"/>
  <c r="Y32" i="15" s="1"/>
  <c r="Z32" i="15" s="1"/>
  <c r="AB26" i="15"/>
  <c r="R42" i="15" s="1"/>
  <c r="S42" i="15" s="1"/>
  <c r="T42" i="15" s="1"/>
  <c r="U42" i="15" s="1"/>
  <c r="V42" i="15" s="1"/>
  <c r="W42" i="15" s="1"/>
  <c r="X42" i="15" s="1"/>
  <c r="Y42" i="15" s="1"/>
  <c r="Z42" i="15" s="1"/>
  <c r="AA42" i="15" s="1"/>
  <c r="AB25" i="15"/>
  <c r="S41" i="15" s="1"/>
  <c r="T41" i="15" s="1"/>
  <c r="U41" i="15" s="1"/>
  <c r="V41" i="15" s="1"/>
  <c r="W41" i="15" s="1"/>
  <c r="X41" i="15" s="1"/>
  <c r="Y41" i="15" s="1"/>
  <c r="Z41" i="15" s="1"/>
  <c r="AA41" i="15" s="1"/>
  <c r="AB24" i="15"/>
  <c r="T40" i="15" s="1"/>
  <c r="U40" i="15" s="1"/>
  <c r="V40" i="15" s="1"/>
  <c r="W40" i="15" s="1"/>
  <c r="X40" i="15" s="1"/>
  <c r="Y40" i="15" s="1"/>
  <c r="Z40" i="15" s="1"/>
  <c r="AA40" i="15" s="1"/>
  <c r="AB23" i="15"/>
  <c r="U39" i="15" s="1"/>
  <c r="V39" i="15" s="1"/>
  <c r="W39" i="15" s="1"/>
  <c r="X39" i="15" s="1"/>
  <c r="Y39" i="15" s="1"/>
  <c r="Z39" i="15" s="1"/>
  <c r="AA39" i="15" s="1"/>
  <c r="AB22" i="15"/>
  <c r="V38" i="15" s="1"/>
  <c r="W38" i="15" s="1"/>
  <c r="X38" i="15" s="1"/>
  <c r="Y38" i="15" s="1"/>
  <c r="Z38" i="15" s="1"/>
  <c r="AA38" i="15" s="1"/>
  <c r="AB21" i="15"/>
  <c r="W37" i="15" s="1"/>
  <c r="X37" i="15" s="1"/>
  <c r="Y37" i="15" s="1"/>
  <c r="Z37" i="15" s="1"/>
  <c r="AA37" i="15" s="1"/>
  <c r="AB20" i="15"/>
  <c r="X36" i="15" s="1"/>
  <c r="Y36" i="15" s="1"/>
  <c r="Z36" i="15" s="1"/>
  <c r="AA36" i="15" s="1"/>
  <c r="AB19" i="15"/>
  <c r="Y35" i="15" s="1"/>
  <c r="Z35" i="15" s="1"/>
  <c r="AA35" i="15" s="1"/>
  <c r="P19" i="15"/>
  <c r="P20" i="15" s="1"/>
  <c r="P21" i="15" s="1"/>
  <c r="P22" i="15" s="1"/>
  <c r="P23" i="15" s="1"/>
  <c r="P24" i="15" s="1"/>
  <c r="P25" i="15" s="1"/>
  <c r="P26" i="15" s="1"/>
  <c r="P27" i="15" s="1"/>
  <c r="O19" i="15"/>
  <c r="O20" i="15" s="1"/>
  <c r="O21" i="15" s="1"/>
  <c r="O22" i="15" s="1"/>
  <c r="O23" i="15" s="1"/>
  <c r="O24" i="15" s="1"/>
  <c r="O25" i="15" s="1"/>
  <c r="O26" i="15" s="1"/>
  <c r="O27" i="15" s="1"/>
  <c r="AB18" i="15"/>
  <c r="Z34" i="15" s="1"/>
  <c r="AA34" i="15" s="1"/>
  <c r="R17" i="15"/>
  <c r="S17" i="15" s="1"/>
  <c r="T17" i="15" s="1"/>
  <c r="U17" i="15" s="1"/>
  <c r="V17" i="15" s="1"/>
  <c r="W17" i="15" s="1"/>
  <c r="X17" i="15" s="1"/>
  <c r="Y17" i="15" s="1"/>
  <c r="Z17" i="15" s="1"/>
  <c r="P6" i="15"/>
  <c r="P7" i="15" s="1"/>
  <c r="P8" i="15" s="1"/>
  <c r="P9" i="15" s="1"/>
  <c r="P10" i="15" s="1"/>
  <c r="P11" i="15" s="1"/>
  <c r="P12" i="15" s="1"/>
  <c r="P13" i="15" s="1"/>
  <c r="P5" i="15"/>
  <c r="O5" i="15"/>
  <c r="O6" i="15" s="1"/>
  <c r="O7" i="15" s="1"/>
  <c r="O8" i="15" s="1"/>
  <c r="O9" i="15" s="1"/>
  <c r="O10" i="15" s="1"/>
  <c r="O11" i="15" s="1"/>
  <c r="O12" i="15" s="1"/>
  <c r="O13" i="15" s="1"/>
  <c r="R3" i="15"/>
  <c r="S3" i="15" s="1"/>
  <c r="T3" i="15" s="1"/>
  <c r="U3" i="15" s="1"/>
  <c r="V3" i="15" s="1"/>
  <c r="W3" i="15" s="1"/>
  <c r="X3" i="15" s="1"/>
  <c r="Y3" i="15" s="1"/>
  <c r="Z3" i="15" s="1"/>
  <c r="AA43" i="15" l="1"/>
  <c r="H84" i="12" l="1"/>
  <c r="H83" i="12"/>
  <c r="H82" i="12"/>
  <c r="H81" i="12"/>
  <c r="H80" i="12"/>
  <c r="H79" i="12"/>
  <c r="H78" i="12"/>
  <c r="H77" i="12"/>
  <c r="H76" i="12"/>
  <c r="H75" i="12"/>
  <c r="G84" i="12"/>
  <c r="G83" i="12"/>
  <c r="G82" i="12"/>
  <c r="G81" i="12"/>
  <c r="G80" i="12"/>
  <c r="G79" i="12"/>
  <c r="G78" i="12"/>
  <c r="G77" i="12"/>
  <c r="G76" i="12"/>
  <c r="G75" i="12"/>
  <c r="D87" i="12" l="1"/>
  <c r="E87" i="12"/>
  <c r="B32" i="11"/>
  <c r="C16" i="8"/>
  <c r="I20" i="8"/>
  <c r="H20" i="8"/>
  <c r="G20" i="8"/>
  <c r="D61" i="14"/>
  <c r="C48" i="14"/>
  <c r="D35" i="14"/>
  <c r="D34" i="14"/>
  <c r="D33" i="14"/>
  <c r="B61" i="12" l="1"/>
  <c r="B60" i="12"/>
  <c r="B59" i="12"/>
  <c r="B58" i="12"/>
  <c r="B57" i="12"/>
  <c r="B56" i="12"/>
  <c r="B55" i="12"/>
  <c r="B54" i="12"/>
  <c r="B53" i="12"/>
  <c r="B52" i="12"/>
  <c r="D38" i="8" l="1"/>
  <c r="D32" i="15"/>
  <c r="E32" i="15" s="1"/>
  <c r="F32" i="15" s="1"/>
  <c r="G32" i="15" s="1"/>
  <c r="H32" i="15" s="1"/>
  <c r="H30" i="15"/>
  <c r="H30" i="15" a="1"/>
  <c r="G30" i="15"/>
  <c r="G31" i="15" s="1"/>
  <c r="G33" i="15" s="1"/>
  <c r="G30" i="15" a="1"/>
  <c r="F30" i="15" a="1"/>
  <c r="F30" i="15" s="1"/>
  <c r="F31" i="15" s="1"/>
  <c r="F33" i="15" s="1"/>
  <c r="E30" i="15" a="1"/>
  <c r="E30" i="15" s="1"/>
  <c r="E31" i="15" s="1"/>
  <c r="E33" i="15" s="1"/>
  <c r="D30" i="15"/>
  <c r="D31" i="15" s="1"/>
  <c r="D33" i="15" s="1"/>
  <c r="D30" i="15" a="1"/>
  <c r="C30" i="15"/>
  <c r="C31" i="15" s="1"/>
  <c r="C33" i="15" s="1"/>
  <c r="C30" i="15" a="1"/>
  <c r="E24" i="15"/>
  <c r="D24" i="15"/>
  <c r="G22" i="15"/>
  <c r="F22" i="15"/>
  <c r="E22" i="15"/>
  <c r="D22" i="15"/>
  <c r="D23" i="15" s="1"/>
  <c r="D25" i="15" s="1"/>
  <c r="C22" i="15"/>
  <c r="C25" i="15" s="1"/>
  <c r="H31" i="15" l="1"/>
  <c r="H33" i="15" s="1"/>
  <c r="E23" i="15"/>
  <c r="E25" i="15" s="1"/>
  <c r="F24" i="15"/>
  <c r="F23" i="15" l="1"/>
  <c r="F25" i="15" s="1"/>
  <c r="G24" i="15"/>
  <c r="H24" i="15" l="1"/>
  <c r="H23" i="15" s="1"/>
  <c r="H25" i="15" s="1"/>
  <c r="G23" i="15"/>
  <c r="G25" i="15" s="1"/>
  <c r="D86" i="12" l="1"/>
  <c r="D100" i="12" s="1"/>
  <c r="F83" i="12"/>
  <c r="I83" i="12" s="1"/>
  <c r="F80" i="12"/>
  <c r="I80" i="12" s="1"/>
  <c r="F76" i="12"/>
  <c r="I76" i="12" s="1"/>
  <c r="E86" i="12"/>
  <c r="E100" i="12" s="1"/>
  <c r="F35" i="12"/>
  <c r="G35" i="12" s="1"/>
  <c r="H35" i="12" s="1"/>
  <c r="C52" i="12" s="1"/>
  <c r="F36" i="12"/>
  <c r="F37" i="12"/>
  <c r="F38" i="12"/>
  <c r="F39" i="12"/>
  <c r="F40" i="12"/>
  <c r="F41" i="12"/>
  <c r="F42" i="12"/>
  <c r="F43" i="12"/>
  <c r="F44" i="12"/>
  <c r="F78" i="12" l="1"/>
  <c r="I78" i="12" s="1"/>
  <c r="F75" i="12"/>
  <c r="I75" i="12" s="1"/>
  <c r="F82" i="12"/>
  <c r="I82" i="12" s="1"/>
  <c r="F77" i="12"/>
  <c r="I77" i="12" s="1"/>
  <c r="F84" i="12"/>
  <c r="I84" i="12" s="1"/>
  <c r="F79" i="12"/>
  <c r="I79" i="12" s="1"/>
  <c r="F81" i="12"/>
  <c r="I81" i="12" s="1"/>
  <c r="G43" i="12"/>
  <c r="H43" i="12" s="1"/>
  <c r="C60" i="12" s="1"/>
  <c r="G42" i="12"/>
  <c r="H42" i="12" s="1"/>
  <c r="C59" i="12" s="1"/>
  <c r="G36" i="12"/>
  <c r="H36" i="12" s="1"/>
  <c r="C53" i="12" s="1"/>
  <c r="G40" i="12"/>
  <c r="H40" i="12" s="1"/>
  <c r="C57" i="12" s="1"/>
  <c r="G44" i="12"/>
  <c r="H44" i="12" s="1"/>
  <c r="C61" i="12" s="1"/>
  <c r="G41" i="12"/>
  <c r="H41" i="12" s="1"/>
  <c r="C58" i="12" s="1"/>
  <c r="G39" i="12"/>
  <c r="H39" i="12" s="1"/>
  <c r="C56" i="12" s="1"/>
  <c r="G37" i="12"/>
  <c r="H37" i="12" s="1"/>
  <c r="C54" i="12" s="1"/>
  <c r="G38" i="12"/>
  <c r="H38" i="12" s="1"/>
  <c r="C55" i="12" s="1"/>
  <c r="F87" i="12" l="1"/>
  <c r="E101" i="12"/>
  <c r="F86" i="12"/>
  <c r="F100" i="12" s="1"/>
  <c r="D91" i="12" l="1"/>
  <c r="D101" i="12"/>
  <c r="F101" i="12"/>
  <c r="D103" i="12" l="1"/>
  <c r="E106" i="12" s="1"/>
  <c r="E107" i="12" s="1"/>
  <c r="E91" i="12"/>
  <c r="D90" i="12"/>
  <c r="E90" i="12"/>
  <c r="E92" i="12" l="1"/>
  <c r="E93" i="12" s="1"/>
  <c r="D92" i="12"/>
  <c r="D93" i="12" s="1"/>
  <c r="D106" i="12"/>
  <c r="D107" i="12" s="1"/>
  <c r="F31" i="3" l="1"/>
  <c r="F30" i="3"/>
  <c r="C31" i="3"/>
  <c r="C30" i="3"/>
  <c r="D26" i="3"/>
  <c r="E26" i="3" s="1"/>
  <c r="D27" i="3"/>
  <c r="E27" i="3" s="1"/>
  <c r="D25" i="3"/>
  <c r="E25" i="3" s="1"/>
  <c r="G70" i="5"/>
  <c r="F70" i="5" s="1"/>
  <c r="D81" i="5"/>
  <c r="D82" i="5"/>
  <c r="D83" i="5"/>
  <c r="D84" i="5"/>
  <c r="D85" i="5"/>
  <c r="C82" i="5"/>
  <c r="E82" i="5" s="1"/>
  <c r="C83" i="5"/>
  <c r="E83" i="5" s="1"/>
  <c r="C84" i="5"/>
  <c r="E84" i="5" s="1"/>
  <c r="C85" i="5"/>
  <c r="E85" i="5" s="1"/>
  <c r="C81" i="5"/>
  <c r="E81" i="5" s="1"/>
  <c r="C53" i="5"/>
  <c r="C52" i="5"/>
  <c r="C51" i="5"/>
  <c r="C50" i="5"/>
  <c r="C49" i="5"/>
  <c r="G46" i="5"/>
  <c r="D49" i="5" s="1"/>
  <c r="F45" i="5"/>
  <c r="E45" i="5"/>
  <c r="D45" i="5"/>
  <c r="C45" i="5"/>
  <c r="F81" i="5" l="1"/>
  <c r="G81" i="5" s="1"/>
  <c r="H81" i="5" s="1"/>
  <c r="I81" i="5" s="1"/>
  <c r="J81" i="5" s="1"/>
  <c r="C32" i="3"/>
  <c r="D30" i="3"/>
  <c r="D31" i="3"/>
  <c r="E31" i="3" s="1"/>
  <c r="F82" i="5"/>
  <c r="G82" i="5" s="1"/>
  <c r="H82" i="5" s="1"/>
  <c r="I82" i="5" s="1"/>
  <c r="J82" i="5" s="1"/>
  <c r="E70" i="5"/>
  <c r="E49" i="5"/>
  <c r="G49" i="5" s="1"/>
  <c r="F46" i="5"/>
  <c r="E30" i="3" l="1"/>
  <c r="E32" i="3" s="1"/>
  <c r="D32" i="3"/>
  <c r="D70" i="5"/>
  <c r="F83" i="5"/>
  <c r="G83" i="5" s="1"/>
  <c r="H83" i="5" s="1"/>
  <c r="I83" i="5" s="1"/>
  <c r="J83" i="5" s="1"/>
  <c r="E46" i="5"/>
  <c r="D50" i="5"/>
  <c r="E50" i="5" s="1"/>
  <c r="G50" i="5" s="1"/>
  <c r="F26" i="3" l="1"/>
  <c r="G26" i="3" s="1"/>
  <c r="F27" i="3"/>
  <c r="G27" i="3" s="1"/>
  <c r="F25" i="3"/>
  <c r="G25" i="3" s="1"/>
  <c r="C34" i="3" s="1"/>
  <c r="F84" i="5"/>
  <c r="G84" i="5" s="1"/>
  <c r="H84" i="5" s="1"/>
  <c r="I84" i="5" s="1"/>
  <c r="J84" i="5" s="1"/>
  <c r="C70" i="5"/>
  <c r="F85" i="5" s="1"/>
  <c r="G85" i="5" s="1"/>
  <c r="H85" i="5" s="1"/>
  <c r="I85" i="5" s="1"/>
  <c r="J85" i="5" s="1"/>
  <c r="D46" i="5"/>
  <c r="D51" i="5"/>
  <c r="E51" i="5" s="1"/>
  <c r="G51" i="5" s="1"/>
  <c r="I82" i="4"/>
  <c r="H82" i="4"/>
  <c r="H67" i="4"/>
  <c r="I67" i="4"/>
  <c r="H68" i="4"/>
  <c r="I68" i="4"/>
  <c r="H69" i="4"/>
  <c r="I69" i="4"/>
  <c r="H70" i="4"/>
  <c r="I70" i="4"/>
  <c r="H71" i="4"/>
  <c r="I71" i="4"/>
  <c r="H72" i="4"/>
  <c r="I72" i="4"/>
  <c r="G68" i="4"/>
  <c r="G69" i="4"/>
  <c r="G70" i="4"/>
  <c r="G71" i="4"/>
  <c r="G72" i="4"/>
  <c r="G67" i="4"/>
  <c r="E43" i="4"/>
  <c r="D43" i="4"/>
  <c r="C43" i="4"/>
  <c r="E42" i="4"/>
  <c r="D42" i="4"/>
  <c r="C42" i="4"/>
  <c r="D40" i="4"/>
  <c r="D41" i="4" s="1"/>
  <c r="E40" i="4"/>
  <c r="E41" i="4" s="1"/>
  <c r="C40" i="4"/>
  <c r="C41" i="4" s="1"/>
  <c r="E39" i="4"/>
  <c r="D39" i="4"/>
  <c r="C39" i="4"/>
  <c r="C46" i="5" l="1"/>
  <c r="D53" i="5" s="1"/>
  <c r="E53" i="5" s="1"/>
  <c r="G53" i="5" s="1"/>
  <c r="D52" i="5"/>
  <c r="E52" i="5" s="1"/>
  <c r="G52" i="5" s="1"/>
  <c r="G76" i="4"/>
  <c r="I76" i="4"/>
  <c r="H76" i="4"/>
  <c r="I75" i="4"/>
  <c r="G75" i="4"/>
  <c r="H75" i="4"/>
  <c r="H77" i="4" s="1"/>
  <c r="G73" i="4"/>
  <c r="G74" i="4" s="1"/>
  <c r="H73" i="4"/>
  <c r="H74" i="4" s="1"/>
  <c r="I73" i="4"/>
  <c r="I74" i="4" s="1"/>
  <c r="E44" i="4"/>
  <c r="D44" i="4"/>
  <c r="C45" i="4"/>
  <c r="D45" i="4"/>
  <c r="C44" i="4"/>
  <c r="E45" i="4"/>
  <c r="D63" i="9"/>
  <c r="E63" i="9"/>
  <c r="F63" i="9"/>
  <c r="F62" i="9"/>
  <c r="E62" i="9"/>
  <c r="D62" i="9"/>
  <c r="G84" i="4" l="1"/>
  <c r="G81" i="4"/>
  <c r="I84" i="4"/>
  <c r="I81" i="4"/>
  <c r="H84" i="4"/>
  <c r="H81" i="4"/>
  <c r="F64" i="9"/>
  <c r="G63" i="9"/>
  <c r="D64" i="9"/>
  <c r="I77" i="4"/>
  <c r="G77" i="4"/>
  <c r="I78" i="4"/>
  <c r="H79" i="4"/>
  <c r="G78" i="4"/>
  <c r="I79" i="4"/>
  <c r="H78" i="4"/>
  <c r="G79" i="4"/>
  <c r="E64" i="9"/>
  <c r="G62" i="9"/>
  <c r="G64" i="9" l="1"/>
  <c r="D25" i="9"/>
  <c r="D34" i="9"/>
  <c r="D35" i="9"/>
  <c r="D33" i="9"/>
  <c r="D29" i="9"/>
  <c r="D28" i="9"/>
  <c r="G20" i="9"/>
  <c r="G21" i="9"/>
  <c r="G22" i="9"/>
  <c r="G23" i="9"/>
  <c r="G24" i="9"/>
  <c r="G19" i="9"/>
  <c r="E23" i="8"/>
  <c r="I23" i="8" s="1"/>
  <c r="E24" i="8"/>
  <c r="I24" i="8" s="1"/>
  <c r="E25" i="8"/>
  <c r="I25" i="8" s="1"/>
  <c r="D21" i="8"/>
  <c r="D23" i="8" s="1"/>
  <c r="H23" i="8" s="1"/>
  <c r="B38" i="13"/>
  <c r="H38" i="13"/>
  <c r="H39" i="13"/>
  <c r="H40" i="13"/>
  <c r="H36" i="13"/>
  <c r="I30" i="13"/>
  <c r="I31" i="13"/>
  <c r="I32" i="13"/>
  <c r="I29" i="13"/>
  <c r="H29" i="13"/>
  <c r="B37" i="13" s="1"/>
  <c r="H30" i="13"/>
  <c r="H31" i="13"/>
  <c r="B39" i="13" s="1"/>
  <c r="C39" i="13" s="1"/>
  <c r="D39" i="13" s="1"/>
  <c r="E39" i="13" s="1"/>
  <c r="H32" i="13"/>
  <c r="B40" i="13" s="1"/>
  <c r="C40" i="13" s="1"/>
  <c r="D40" i="13" s="1"/>
  <c r="E40" i="13" s="1"/>
  <c r="F40" i="13" s="1"/>
  <c r="H28" i="13"/>
  <c r="B36" i="13" s="1"/>
  <c r="E48" i="9" l="1"/>
  <c r="C47" i="9"/>
  <c r="C46" i="9"/>
  <c r="C48" i="9" s="1"/>
  <c r="D47" i="9"/>
  <c r="F47" i="9" s="1"/>
  <c r="D46" i="9"/>
  <c r="G33" i="9"/>
  <c r="H33" i="9" s="1"/>
  <c r="C38" i="13"/>
  <c r="D38" i="13" s="1"/>
  <c r="E38" i="13" s="1"/>
  <c r="F38" i="13" s="1"/>
  <c r="C37" i="13"/>
  <c r="D37" i="13" s="1"/>
  <c r="E37" i="13" s="1"/>
  <c r="F37" i="13" s="1"/>
  <c r="F39" i="13"/>
  <c r="H37" i="13"/>
  <c r="D36" i="9"/>
  <c r="E46" i="9" s="1"/>
  <c r="D30" i="9"/>
  <c r="G34" i="9"/>
  <c r="H34" i="9" s="1"/>
  <c r="G35" i="9"/>
  <c r="G29" i="9"/>
  <c r="G28" i="9"/>
  <c r="G25" i="9"/>
  <c r="D25" i="8"/>
  <c r="H25" i="8" s="1"/>
  <c r="D24" i="8"/>
  <c r="H24" i="8" s="1"/>
  <c r="C21" i="8"/>
  <c r="E64" i="7"/>
  <c r="E65" i="7" s="1"/>
  <c r="E66" i="7" s="1"/>
  <c r="D64" i="7"/>
  <c r="D65" i="7" s="1"/>
  <c r="D66" i="7" s="1"/>
  <c r="D38" i="7"/>
  <c r="D39" i="7" s="1"/>
  <c r="E38" i="7"/>
  <c r="E39" i="7" s="1"/>
  <c r="F38" i="7"/>
  <c r="F39" i="7" s="1"/>
  <c r="G38" i="7"/>
  <c r="G39" i="7" s="1"/>
  <c r="H38" i="7"/>
  <c r="H39" i="7" s="1"/>
  <c r="C38" i="7"/>
  <c r="C39" i="7" s="1"/>
  <c r="H24" i="7"/>
  <c r="G24" i="7"/>
  <c r="F24" i="7"/>
  <c r="E24" i="7"/>
  <c r="D24" i="7"/>
  <c r="C24" i="7"/>
  <c r="H22" i="7"/>
  <c r="H23" i="7" s="1"/>
  <c r="G22" i="7"/>
  <c r="F22" i="7"/>
  <c r="E22" i="7"/>
  <c r="D22" i="7"/>
  <c r="C22" i="7"/>
  <c r="E47" i="9" l="1"/>
  <c r="F46" i="9"/>
  <c r="D48" i="9"/>
  <c r="F48" i="9" s="1"/>
  <c r="G30" i="9"/>
  <c r="B67" i="9"/>
  <c r="H29" i="9"/>
  <c r="B68" i="9"/>
  <c r="G36" i="9"/>
  <c r="H36" i="9" s="1"/>
  <c r="I36" i="9" s="1"/>
  <c r="H28" i="9"/>
  <c r="H35" i="9"/>
  <c r="C24" i="8"/>
  <c r="G24" i="8" s="1"/>
  <c r="C25" i="8"/>
  <c r="G25" i="8" s="1"/>
  <c r="C23" i="8"/>
  <c r="G23" i="8" s="1"/>
  <c r="I40" i="13"/>
  <c r="J40" i="13" s="1"/>
  <c r="K40" i="13" s="1"/>
  <c r="L40" i="13" s="1"/>
  <c r="I39" i="13"/>
  <c r="J39" i="13" s="1"/>
  <c r="K39" i="13" s="1"/>
  <c r="L39" i="13" s="1"/>
  <c r="C40" i="7"/>
  <c r="D40" i="7"/>
  <c r="E40" i="7"/>
  <c r="H40" i="7"/>
  <c r="F40" i="7"/>
  <c r="G40" i="7"/>
  <c r="G23" i="7"/>
  <c r="G25" i="7" s="1"/>
  <c r="G26" i="7" s="1"/>
  <c r="H25" i="7"/>
  <c r="H26" i="7" s="1"/>
  <c r="H30" i="9" l="1"/>
  <c r="I30" i="9" s="1"/>
  <c r="B69" i="9"/>
  <c r="I28" i="9"/>
  <c r="I29" i="9"/>
  <c r="I33" i="9"/>
  <c r="I35" i="9"/>
  <c r="I34" i="9"/>
  <c r="I37" i="13"/>
  <c r="J37" i="13" s="1"/>
  <c r="K37" i="13" s="1"/>
  <c r="L37" i="13" s="1"/>
  <c r="I38" i="13"/>
  <c r="J38" i="13" s="1"/>
  <c r="K38" i="13" s="1"/>
  <c r="L38" i="13" s="1"/>
  <c r="I40" i="7"/>
  <c r="F23" i="7"/>
  <c r="F25" i="7" s="1"/>
  <c r="F26" i="7" s="1"/>
  <c r="E59" i="9" l="1"/>
  <c r="F59" i="9"/>
  <c r="D59" i="9"/>
  <c r="E23" i="7"/>
  <c r="E25" i="7" s="1"/>
  <c r="E26" i="7" s="1"/>
  <c r="D23" i="7" l="1"/>
  <c r="D25" i="7" s="1"/>
  <c r="D26" i="7" s="1"/>
  <c r="C23" i="7" l="1"/>
  <c r="C25" i="7" s="1"/>
  <c r="C26" i="7" s="1"/>
  <c r="I26" i="7" s="1"/>
  <c r="AB42" i="11" l="1"/>
  <c r="AB5" i="11"/>
  <c r="AB6" i="11"/>
  <c r="AB7" i="11"/>
  <c r="AB8" i="11"/>
  <c r="AB9" i="11"/>
  <c r="AB10" i="11"/>
  <c r="AB11" i="11"/>
  <c r="AB12" i="11"/>
  <c r="AB13" i="11"/>
  <c r="AB14" i="11"/>
  <c r="AB15" i="11"/>
  <c r="AB16" i="11"/>
  <c r="AB17" i="11"/>
  <c r="AB18" i="11"/>
  <c r="AB19" i="11"/>
  <c r="AB20" i="11"/>
  <c r="AB21" i="11"/>
  <c r="AB22" i="11"/>
  <c r="AB23" i="11"/>
  <c r="AB24" i="11"/>
  <c r="AB25" i="11"/>
  <c r="AB26" i="11"/>
  <c r="AB27" i="11"/>
  <c r="AB28" i="11"/>
  <c r="AB29" i="11"/>
  <c r="AB30" i="11"/>
  <c r="AB31" i="11"/>
  <c r="AB32" i="11"/>
  <c r="AB33" i="11"/>
  <c r="AB34" i="11"/>
  <c r="AB35" i="11"/>
  <c r="AB36" i="11"/>
  <c r="AB37" i="11"/>
  <c r="AB38" i="11"/>
  <c r="AB39" i="11"/>
  <c r="AB4" i="11"/>
  <c r="AB40" i="11" l="1"/>
  <c r="AB41" i="11" s="1"/>
  <c r="AB43" i="11" s="1"/>
</calcChain>
</file>

<file path=xl/sharedStrings.xml><?xml version="1.0" encoding="utf-8"?>
<sst xmlns="http://schemas.openxmlformats.org/spreadsheetml/2006/main" count="800" uniqueCount="516">
  <si>
    <t>Answer in the space below</t>
  </si>
  <si>
    <t>Probability</t>
  </si>
  <si>
    <t>(a)</t>
  </si>
  <si>
    <t>(b)</t>
  </si>
  <si>
    <t>Question 3</t>
  </si>
  <si>
    <t>Question 4</t>
  </si>
  <si>
    <t>Be sure that it is possible to follow your formulas and that your answers are clearly indicated.</t>
  </si>
  <si>
    <t>Question 1</t>
  </si>
  <si>
    <t>Question 2</t>
  </si>
  <si>
    <t>Question 6</t>
  </si>
  <si>
    <t>Question 11</t>
  </si>
  <si>
    <t>Question 5</t>
  </si>
  <si>
    <t>Question 7</t>
  </si>
  <si>
    <t>Question 8</t>
  </si>
  <si>
    <t>Question 9</t>
  </si>
  <si>
    <t>Question 10</t>
  </si>
  <si>
    <t>(c)</t>
  </si>
  <si>
    <t>(d)</t>
  </si>
  <si>
    <t>Accident Year</t>
  </si>
  <si>
    <t>Increment</t>
  </si>
  <si>
    <t>Onlevel Premium</t>
  </si>
  <si>
    <t>G(from)</t>
  </si>
  <si>
    <t>G(to)</t>
  </si>
  <si>
    <t>mu-hat</t>
  </si>
  <si>
    <t>loglikelihood</t>
  </si>
  <si>
    <t>ELR</t>
  </si>
  <si>
    <t>Maximization of Likelihood Function - loglogistic distribution</t>
  </si>
  <si>
    <t>Reported</t>
  </si>
  <si>
    <t>Ultimate</t>
  </si>
  <si>
    <t>IBNR</t>
  </si>
  <si>
    <t>q</t>
  </si>
  <si>
    <t>w</t>
  </si>
  <si>
    <t>Premium Data</t>
  </si>
  <si>
    <t>Paid Loss Data</t>
  </si>
  <si>
    <t>AY</t>
  </si>
  <si>
    <t>Premium</t>
  </si>
  <si>
    <t>12-24</t>
  </si>
  <si>
    <t>24-36</t>
  </si>
  <si>
    <t>36-48</t>
  </si>
  <si>
    <t>Trend period</t>
  </si>
  <si>
    <t>LDF</t>
  </si>
  <si>
    <t>The chain ladder approach assumes the development factors are uncorrelated between development years.</t>
  </si>
  <si>
    <t>You are using the following methods to test for correlation:</t>
  </si>
  <si>
    <t>You plan to apply Clark’s stochastic reserving model using the loglogistic distribution function and the Cape Cod method.</t>
  </si>
  <si>
    <t>Clark states the following:</t>
  </si>
  <si>
    <t>(AY)</t>
  </si>
  <si>
    <t>Cumulative Reported Claims (000) Excess of 500,000 Limit</t>
  </si>
  <si>
    <t>N/A</t>
  </si>
  <si>
    <t>The reported claims for AY 2018 at 36 months of development are not available due to a data issue.</t>
  </si>
  <si>
    <t>48-60</t>
  </si>
  <si>
    <t>60-72</t>
  </si>
  <si>
    <t>You are considering using the increased limit factor (ILF) method and are given the following additional information:</t>
  </si>
  <si>
    <t>Internal Systemic Risk- Balanced Scorecard</t>
  </si>
  <si>
    <t>Risk Component</t>
  </si>
  <si>
    <t>Weight</t>
  </si>
  <si>
    <t>Risk Indicator</t>
  </si>
  <si>
    <t>Score</t>
  </si>
  <si>
    <t>Specification error</t>
  </si>
  <si>
    <t>Parameter selection error</t>
  </si>
  <si>
    <t>Data error</t>
  </si>
  <si>
    <t>You are given the following information regarding an analysis completed for that line’s claim liabilities:</t>
  </si>
  <si>
    <t>Potential Risk Indicator</t>
  </si>
  <si>
    <t>I</t>
  </si>
  <si>
    <t>A GLM model is used in the assessment of random effects for the liabilities.</t>
  </si>
  <si>
    <t>II</t>
  </si>
  <si>
    <t>Comprehensive reasonableness checks on the valuation model outcomes are conducted by the actuarial peer review team.</t>
  </si>
  <si>
    <t>III</t>
  </si>
  <si>
    <t>An actuary reviewed the data used for the valuation model and identified a significant data issue.</t>
  </si>
  <si>
    <t>IV</t>
  </si>
  <si>
    <t>The company recently implemented a claim cost reduction initiative.</t>
  </si>
  <si>
    <t>V</t>
  </si>
  <si>
    <t>A new variable has been tested and added to the valuation model due to the recent claim process change.</t>
  </si>
  <si>
    <t>Justification</t>
  </si>
  <si>
    <t>You have assigned a score of 2 for higher risk and 4 for lower risk.</t>
  </si>
  <si>
    <t>You are provided with the following coefficient of variation (CoV) scale.</t>
  </si>
  <si>
    <t>Score from balanced scorecard</t>
  </si>
  <si>
    <t>CoV</t>
  </si>
  <si>
    <t>1.0-2.5</t>
  </si>
  <si>
    <t>2.5-3.5</t>
  </si>
  <si>
    <t>3.5-4.5</t>
  </si>
  <si>
    <t>4.5-5.0</t>
  </si>
  <si>
    <t>You are given the following additional information.</t>
  </si>
  <si>
    <t>Claims</t>
  </si>
  <si>
    <t>Case Reserves</t>
  </si>
  <si>
    <t>Ultimate Claims Based Upon</t>
  </si>
  <si>
    <t>Selected Ultimate Claims</t>
  </si>
  <si>
    <t>Reported Development Method</t>
  </si>
  <si>
    <t>Expected Claims Ratio Method</t>
  </si>
  <si>
    <t>The following was recorded as of March 31, 2025:</t>
  </si>
  <si>
    <t xml:space="preserve">Case Reserves </t>
  </si>
  <si>
    <t>Compare actual minus expected results as of March 31, 2025, for each of accident year 2021 to 2024, assuming ultimate claims are based upon each of the following:</t>
  </si>
  <si>
    <t>You  are given:</t>
  </si>
  <si>
    <t xml:space="preserve">An insurer only writes property policies with a 2,000 deductible. The insurer is considering doubling the deductible for all policies. </t>
  </si>
  <si>
    <t>You are given:</t>
  </si>
  <si>
    <t>Type of Use</t>
  </si>
  <si>
    <t>Territory</t>
  </si>
  <si>
    <t>Earned Exposures</t>
  </si>
  <si>
    <t>Frequency per Exposure</t>
  </si>
  <si>
    <t>Claim Severity</t>
  </si>
  <si>
    <t>A</t>
  </si>
  <si>
    <t>Rural</t>
  </si>
  <si>
    <t>B</t>
  </si>
  <si>
    <t>Suburban</t>
  </si>
  <si>
    <t>Urban</t>
  </si>
  <si>
    <t>The minimum bias method is used to obtain the final relativities.  The process starts with the one-way analysis relativities for the “Territory” rating variable.</t>
  </si>
  <si>
    <t>An insurer is reviewing the claims experience for three companies, each seeking individual rating for their coverage, and are given the following claims experience.</t>
  </si>
  <si>
    <t>Claims Experience (in millions)</t>
  </si>
  <si>
    <t>Company A</t>
  </si>
  <si>
    <t>Company B</t>
  </si>
  <si>
    <t>Company C</t>
  </si>
  <si>
    <t>Gross Reported Claims ('000)</t>
  </si>
  <si>
    <t>Gross Earned Premium (‘000)</t>
  </si>
  <si>
    <t>Net Reported Claims ('000)</t>
  </si>
  <si>
    <t>Ceded Reported Claims ('000)</t>
  </si>
  <si>
    <t>-</t>
  </si>
  <si>
    <t>Reinsurer-A Selected LDF</t>
  </si>
  <si>
    <t>60+</t>
  </si>
  <si>
    <t>Ultimate Loss Ratio</t>
  </si>
  <si>
    <t>The annual risk-free rate on investments is 3%.</t>
  </si>
  <si>
    <t>An alternative measure of risk transfer is the Risk Coverage Ratio (RCR).</t>
  </si>
  <si>
    <t>Catastrophe models are often used instead of historical data to predict future losses from catastrophe events.</t>
  </si>
  <si>
    <t>Losses (000)</t>
  </si>
  <si>
    <t xml:space="preserve">Company X </t>
  </si>
  <si>
    <t>Company Y</t>
  </si>
  <si>
    <t>The reinsurance company calculates risk loads using the Marginal Variance (MV) method applied to an ELT.</t>
  </si>
  <si>
    <t>The MV risk load multiplier, λ, is 0.00000002.</t>
  </si>
  <si>
    <t>i</t>
  </si>
  <si>
    <t>Development Year, j</t>
  </si>
  <si>
    <t>More robust to outliers</t>
  </si>
  <si>
    <t>Does not assume underlying random variables have the same variance.</t>
  </si>
  <si>
    <t>Development Year j</t>
  </si>
  <si>
    <t>0-1</t>
  </si>
  <si>
    <t>1-2</t>
  </si>
  <si>
    <t>2-3</t>
  </si>
  <si>
    <t>3-4</t>
  </si>
  <si>
    <t>4-5</t>
  </si>
  <si>
    <t>5-6</t>
  </si>
  <si>
    <t>Pearson correlation r_j</t>
  </si>
  <si>
    <t>Test statistic</t>
  </si>
  <si>
    <t>DoF v_j</t>
  </si>
  <si>
    <t>p value</t>
  </si>
  <si>
    <t>Spearman correlation</t>
  </si>
  <si>
    <r>
      <t>(</t>
    </r>
    <r>
      <rPr>
        <i/>
        <sz val="12"/>
        <color rgb="FF002060"/>
        <rFont val="Times New Roman"/>
        <family val="1"/>
      </rPr>
      <t>2 points</t>
    </r>
    <r>
      <rPr>
        <sz val="12"/>
        <color rgb="FF002060"/>
        <rFont val="Times New Roman"/>
        <family val="1"/>
      </rPr>
      <t>)  State the following:</t>
    </r>
  </si>
  <si>
    <r>
      <t>(i)</t>
    </r>
    <r>
      <rPr>
        <sz val="7"/>
        <color theme="4" tint="-0.499984740745262"/>
        <rFont val="Times New Roman"/>
        <family val="1"/>
      </rPr>
      <t xml:space="preserve">             </t>
    </r>
    <r>
      <rPr>
        <sz val="12"/>
        <color theme="4" tint="-0.499984740745262"/>
        <rFont val="Times New Roman"/>
        <family val="1"/>
      </rPr>
      <t>Clark’s reasoning for statement I.</t>
    </r>
  </si>
  <si>
    <r>
      <t>(ii)</t>
    </r>
    <r>
      <rPr>
        <sz val="7"/>
        <color theme="4" tint="-0.499984740745262"/>
        <rFont val="Times New Roman"/>
        <family val="1"/>
      </rPr>
      <t xml:space="preserve">           </t>
    </r>
    <r>
      <rPr>
        <sz val="12"/>
        <color theme="4" tint="-0.499984740745262"/>
        <rFont val="Times New Roman"/>
        <family val="1"/>
      </rPr>
      <t>The observed random variables in Clark’s approach.</t>
    </r>
  </si>
  <si>
    <r>
      <t>(iii)</t>
    </r>
    <r>
      <rPr>
        <sz val="7"/>
        <color theme="4" tint="-0.499984740745262"/>
        <rFont val="Times New Roman"/>
        <family val="1"/>
      </rPr>
      <t xml:space="preserve">         </t>
    </r>
    <r>
      <rPr>
        <sz val="12"/>
        <color theme="4" tint="-0.499984740745262"/>
        <rFont val="Times New Roman"/>
        <family val="1"/>
      </rPr>
      <t>The distribution that Clark assumes for the random variables in (ii).</t>
    </r>
  </si>
  <si>
    <t>see to the right of the data</t>
  </si>
  <si>
    <t>sigma-sq</t>
  </si>
  <si>
    <t xml:space="preserve">Reserve </t>
  </si>
  <si>
    <t>sd = ANSWER</t>
  </si>
  <si>
    <t>Your numerical calculation(s) may be provided below or to the right of the data.</t>
  </si>
  <si>
    <t>Age to age factors</t>
  </si>
  <si>
    <t>72 to 84</t>
  </si>
  <si>
    <t>CDF</t>
  </si>
  <si>
    <t>Total</t>
  </si>
  <si>
    <t>At 500,000 limits</t>
  </si>
  <si>
    <t xml:space="preserve">You are given the following additional information based on historical data: </t>
  </si>
  <si>
    <t>84 to Ult</t>
  </si>
  <si>
    <t>Age-to-Age Factors
(Unlimited Reported Claims)</t>
  </si>
  <si>
    <t xml:space="preserve">Severity Relativity 
500,000 to Unlimited (Rt) </t>
  </si>
  <si>
    <t>Total Limits</t>
  </si>
  <si>
    <t>XS 500,000</t>
  </si>
  <si>
    <t>ILF factor trended</t>
  </si>
  <si>
    <t>Unlimited Utimate claims</t>
  </si>
  <si>
    <t>IBNR for excess of 500,000 limits</t>
  </si>
  <si>
    <r>
      <t xml:space="preserve">(b) </t>
    </r>
    <r>
      <rPr>
        <i/>
        <sz val="12"/>
        <color theme="8" tint="-0.499984740745262"/>
        <rFont val="Times New Roman"/>
        <family val="1"/>
      </rPr>
      <t xml:space="preserve"> </t>
    </r>
  </si>
  <si>
    <t xml:space="preserve">(c)   </t>
  </si>
  <si>
    <t xml:space="preserve">(d)  </t>
  </si>
  <si>
    <t>Selected Risk Indicator 
(I to V)</t>
  </si>
  <si>
    <t>Reasonableness checks</t>
  </si>
  <si>
    <t>Data Issue</t>
  </si>
  <si>
    <t>Model Predictors respond to process changes</t>
  </si>
  <si>
    <t>Risk Margin (in millions)</t>
  </si>
  <si>
    <t>Paid Claims</t>
  </si>
  <si>
    <t>Ult / Reported</t>
  </si>
  <si>
    <t>Expected 1 year Dev</t>
  </si>
  <si>
    <t>Reported 2025-03-31</t>
  </si>
  <si>
    <t>Expected 1/4</t>
  </si>
  <si>
    <t>Expected 2025-03-31</t>
  </si>
  <si>
    <t>Actual - Expected</t>
  </si>
  <si>
    <t>Home value</t>
  </si>
  <si>
    <t>Insurer's Claims</t>
  </si>
  <si>
    <t>Insured's Retained Losses</t>
  </si>
  <si>
    <t>Loss Amount</t>
  </si>
  <si>
    <t>Coinsurance penalty%</t>
  </si>
  <si>
    <t xml:space="preserve">Coinsurance </t>
  </si>
  <si>
    <t>Min Value</t>
  </si>
  <si>
    <t>Deductible</t>
  </si>
  <si>
    <t xml:space="preserve">insurer would pay insured value less earthquake deductible: </t>
  </si>
  <si>
    <t>Base Rate</t>
  </si>
  <si>
    <t xml:space="preserve">II.               </t>
  </si>
  <si>
    <t xml:space="preserve">The loglogistic distribution function provides the form of loss development, but it is not the distribution of any observed random variable. </t>
  </si>
  <si>
    <r>
      <t>I.</t>
    </r>
    <r>
      <rPr>
        <sz val="7"/>
        <color theme="4" tint="-0.499984740745262"/>
        <rFont val="Times New Roman"/>
        <family val="1"/>
      </rPr>
      <t xml:space="preserve">               </t>
    </r>
  </si>
  <si>
    <t>The Cape Cod method is generally preferred over the LDF method.</t>
  </si>
  <si>
    <t>Pure Premium / Exposure</t>
  </si>
  <si>
    <t>Relativity</t>
  </si>
  <si>
    <t>C</t>
  </si>
  <si>
    <t>One-way Territory relativities:</t>
  </si>
  <si>
    <t>First iteration for new Type of Use relativities using one-way territory relativities as starting point:</t>
  </si>
  <si>
    <t>Experience rating is a prospective assessment of an insured's premium based on their past claims experience.</t>
  </si>
  <si>
    <t>Annual Average</t>
  </si>
  <si>
    <t>Min</t>
  </si>
  <si>
    <t>Max</t>
  </si>
  <si>
    <t>Min / Ave</t>
  </si>
  <si>
    <t>Max / Ave</t>
  </si>
  <si>
    <t>retro claims  adjustment</t>
  </si>
  <si>
    <t>retro min</t>
  </si>
  <si>
    <t>retro max</t>
  </si>
  <si>
    <t>RETRO PREM</t>
  </si>
  <si>
    <t>Fixed Premium</t>
  </si>
  <si>
    <t xml:space="preserve">If not, take fixed cost.  </t>
  </si>
  <si>
    <t>Max - Min</t>
  </si>
  <si>
    <t xml:space="preserve">With retrospective rating, the insurer will need to estimate an asset for the additional premium it will be due as claims develop. </t>
  </si>
  <si>
    <t xml:space="preserve">This is often referred to as the retro reserve. </t>
  </si>
  <si>
    <r>
      <t>(</t>
    </r>
    <r>
      <rPr>
        <i/>
        <sz val="12"/>
        <color rgb="FF002060"/>
        <rFont val="Times New Roman"/>
        <family val="1"/>
      </rPr>
      <t>1.5 points</t>
    </r>
    <r>
      <rPr>
        <sz val="12"/>
        <color rgb="FF002060"/>
        <rFont val="Times New Roman"/>
        <family val="1"/>
      </rPr>
      <t>)  Compare the Berry approach to estimate the retro reserve to the approach used by Teng and Perkins.</t>
    </r>
  </si>
  <si>
    <t>Gross Ult</t>
  </si>
  <si>
    <t>Ceded Ult</t>
  </si>
  <si>
    <t>•  A large claim loading of 1.46 as of January 1, 2024 cost level was selected for ratemaking purposes.</t>
  </si>
  <si>
    <t>•  The annual trend factor for the large claim loading is 5%.</t>
  </si>
  <si>
    <t>•  The central estimate for claim liabilities is 750 million.</t>
  </si>
  <si>
    <t>•  The independent risk CoV is 7.5%.</t>
  </si>
  <si>
    <t>•  The external systemic risk CoV is 10%.</t>
  </si>
  <si>
    <t>•  Claim liabilities are assumed to be normally distributed.  The z-value of the 75th percentile of the normal distribution is 0.674.</t>
  </si>
  <si>
    <t>(i)             Expected Reinsurer Deficit (ERD) with a 1% threshold</t>
  </si>
  <si>
    <t>(ii)           The 10-10 rule</t>
  </si>
  <si>
    <t>Claims (LR * Prem)</t>
  </si>
  <si>
    <t>PV</t>
  </si>
  <si>
    <t>Time</t>
  </si>
  <si>
    <t xml:space="preserve">Commission </t>
  </si>
  <si>
    <t>Interest Rate</t>
  </si>
  <si>
    <t>Discount</t>
  </si>
  <si>
    <t>PV Claims</t>
  </si>
  <si>
    <t>PV Prem-Comm</t>
  </si>
  <si>
    <t>Gain / Loss</t>
  </si>
  <si>
    <t>ERD = pT / P</t>
  </si>
  <si>
    <t>Passes test at 1% level</t>
  </si>
  <si>
    <t>p(loss) = 4% &lt; 10%, so fails the test</t>
  </si>
  <si>
    <r>
      <t>(</t>
    </r>
    <r>
      <rPr>
        <i/>
        <sz val="12"/>
        <color rgb="FF002060"/>
        <rFont val="Times New Roman"/>
        <family val="1"/>
      </rPr>
      <t>1.5 points</t>
    </r>
    <r>
      <rPr>
        <sz val="12"/>
        <color rgb="FF002060"/>
        <rFont val="Times New Roman"/>
        <family val="1"/>
      </rPr>
      <t xml:space="preserve">)  </t>
    </r>
  </si>
  <si>
    <t>(i)            Describe what RCR measures.</t>
  </si>
  <si>
    <t>(ii)          State both versions of the formula for RCR (i.e., with and without ERD in the formula). Define all of the terms included in each formula.</t>
  </si>
  <si>
    <r>
      <t xml:space="preserve">Event </t>
    </r>
    <r>
      <rPr>
        <b/>
        <i/>
        <sz val="12"/>
        <color theme="4" tint="-0.499984740745262"/>
        <rFont val="Times New Roman"/>
        <family val="1"/>
      </rPr>
      <t>i</t>
    </r>
  </si>
  <si>
    <t>(i)             Calculate the occurrence exceedance probabilities (OEP)</t>
  </si>
  <si>
    <t>(ii)          Plot the OEP curve for Company X.</t>
  </si>
  <si>
    <t>1-p</t>
  </si>
  <si>
    <t>OEP</t>
  </si>
  <si>
    <t>Answer in the space below or above</t>
  </si>
  <si>
    <t xml:space="preserve"> λ</t>
  </si>
  <si>
    <r>
      <t xml:space="preserve">Event </t>
    </r>
    <r>
      <rPr>
        <b/>
        <i/>
        <sz val="11"/>
        <color theme="1"/>
        <rFont val="Times New Roman"/>
        <family val="1"/>
      </rPr>
      <t>i</t>
    </r>
  </si>
  <si>
    <t>Loss to Company X</t>
  </si>
  <si>
    <t>Loss to Company Y</t>
  </si>
  <si>
    <t>Sum of X and Y</t>
  </si>
  <si>
    <t>X</t>
  </si>
  <si>
    <t>Y</t>
  </si>
  <si>
    <t>Total Variance</t>
  </si>
  <si>
    <t>Marginal Variance</t>
  </si>
  <si>
    <t>Risk Load</t>
  </si>
  <si>
    <t>Shapley Value</t>
  </si>
  <si>
    <t>Cumulative claim payments, C_i,j</t>
  </si>
  <si>
    <t>1 &gt;</t>
  </si>
  <si>
    <t>2 &gt;</t>
  </si>
  <si>
    <t>Individual development factors f_i,j</t>
  </si>
  <si>
    <r>
      <t>(</t>
    </r>
    <r>
      <rPr>
        <i/>
        <sz val="12"/>
        <color theme="4" tint="-0.499984740745262"/>
        <rFont val="Times New Roman"/>
        <family val="1"/>
      </rPr>
      <t>3.5 points</t>
    </r>
    <r>
      <rPr>
        <sz val="12"/>
        <color theme="4" tint="-0.499984740745262"/>
        <rFont val="Times New Roman"/>
        <family val="1"/>
      </rPr>
      <t>)  Calculate the p-values using the two methods.</t>
    </r>
  </si>
  <si>
    <t>Weighted average DFs</t>
  </si>
  <si>
    <t>Answer in the tables below</t>
  </si>
  <si>
    <t>PEARSON CORRELATION METHOD</t>
  </si>
  <si>
    <t>SPEARMAN RANK CORRELATION METHOD</t>
  </si>
  <si>
    <t>Projected cumulative claims</t>
  </si>
  <si>
    <t>Reserve</t>
  </si>
  <si>
    <r>
      <t>(</t>
    </r>
    <r>
      <rPr>
        <i/>
        <sz val="12"/>
        <color theme="4" tint="-0.499984740745262"/>
        <rFont val="Times New Roman"/>
        <family val="1"/>
      </rPr>
      <t>1 point</t>
    </r>
    <r>
      <rPr>
        <sz val="12"/>
        <color theme="4" tint="-0.499984740745262"/>
        <rFont val="Times New Roman"/>
        <family val="1"/>
      </rPr>
      <t>)  Evaluate whether the development factors are uncorrelated using the results in (b).</t>
    </r>
  </si>
  <si>
    <t>Therefore, the underlying assumption appears to hold for this data set.</t>
  </si>
  <si>
    <t>Total Reserve Estimate</t>
  </si>
  <si>
    <t>Year</t>
  </si>
  <si>
    <t>Accident</t>
  </si>
  <si>
    <t>From</t>
  </si>
  <si>
    <t>(months)</t>
  </si>
  <si>
    <t>To</t>
  </si>
  <si>
    <t>Onlevel</t>
  </si>
  <si>
    <r>
      <t>(</t>
    </r>
    <r>
      <rPr>
        <i/>
        <sz val="12"/>
        <color theme="4" tint="-0.499984740745262"/>
        <rFont val="Times New Roman"/>
        <family val="1"/>
      </rPr>
      <t>1 point</t>
    </r>
    <r>
      <rPr>
        <sz val="12"/>
        <color theme="4" tint="-0.499984740745262"/>
        <rFont val="Times New Roman"/>
        <family val="1"/>
      </rPr>
      <t>)  Critique your colleague’s statement.</t>
    </r>
  </si>
  <si>
    <r>
      <t>(</t>
    </r>
    <r>
      <rPr>
        <i/>
        <sz val="12"/>
        <color theme="4" tint="-0.499984740745262"/>
        <rFont val="Times New Roman"/>
        <family val="1"/>
      </rPr>
      <t>2 points</t>
    </r>
    <r>
      <rPr>
        <sz val="12"/>
        <color theme="4" tint="-0.499984740745262"/>
        <rFont val="Times New Roman"/>
        <family val="1"/>
      </rPr>
      <t>)  Estimate the process variance for the reserve, using Clark’s approach and the information in this tab.</t>
    </r>
  </si>
  <si>
    <r>
      <t>(</t>
    </r>
    <r>
      <rPr>
        <i/>
        <sz val="12"/>
        <color rgb="FF002060"/>
        <rFont val="Times New Roman"/>
        <family val="1"/>
      </rPr>
      <t>5 points</t>
    </r>
    <r>
      <rPr>
        <sz val="12"/>
        <color rgb="FF002060"/>
        <rFont val="Times New Roman"/>
        <family val="1"/>
      </rPr>
      <t xml:space="preserve">)  You have been provided data extracted from a triangle of cumulative paid losses.  The data and analysis are in cells O1 to AA43.
</t>
    </r>
  </si>
  <si>
    <t xml:space="preserve">The data and analysis included in this tab contains the calculation of the maximum likelihood estimates for the model’s three parameters. </t>
  </si>
  <si>
    <t>Your colleague stated that the semi-parametric bootstrap, as described by Taylor and McGuire, can be applied to Clark’s model as an alternative way to estimate
 the variance of reserves.</t>
  </si>
  <si>
    <t>Basic limit</t>
  </si>
  <si>
    <t>Large claim loading</t>
  </si>
  <si>
    <t>•  The basic limit is 500,000.</t>
  </si>
  <si>
    <t>Accident 
Year</t>
  </si>
  <si>
    <t>Ultimate Claims (000) 
at Basic Limits</t>
  </si>
  <si>
    <t xml:space="preserve">
AY</t>
  </si>
  <si>
    <r>
      <t>(</t>
    </r>
    <r>
      <rPr>
        <i/>
        <sz val="12"/>
        <color theme="8" tint="-0.499984740745262"/>
        <rFont val="Times New Roman"/>
        <family val="1"/>
      </rPr>
      <t>1.25 points</t>
    </r>
    <r>
      <rPr>
        <sz val="12"/>
        <color theme="8" tint="-0.499984740745262"/>
        <rFont val="Times New Roman"/>
        <family val="1"/>
      </rPr>
      <t>)  Calculate IBNR for AYs 2023 and 2024 for the claims excess of 500,000 limits using the ILF method.</t>
    </r>
  </si>
  <si>
    <r>
      <t>(</t>
    </r>
    <r>
      <rPr>
        <i/>
        <sz val="12"/>
        <color theme="8" tint="-0.499984740745262"/>
        <rFont val="Times New Roman"/>
        <family val="1"/>
      </rPr>
      <t>4.5 points</t>
    </r>
    <r>
      <rPr>
        <sz val="12"/>
        <color theme="8" tint="-0.499984740745262"/>
        <rFont val="Times New Roman"/>
        <family val="1"/>
      </rPr>
      <t>)  You are provided the following information as of December 31, 2024.</t>
    </r>
  </si>
  <si>
    <t>Answer in the table below</t>
  </si>
  <si>
    <t>by inspection of the table at the calculated score</t>
  </si>
  <si>
    <t>million</t>
  </si>
  <si>
    <t>Central est. claim liabilities</t>
  </si>
  <si>
    <t>Independent risk CoV</t>
  </si>
  <si>
    <t>External systemic CoV</t>
  </si>
  <si>
    <t>z-value  75th percentile</t>
  </si>
  <si>
    <r>
      <rPr>
        <i/>
        <sz val="12"/>
        <color theme="8" tint="-0.499984740745262"/>
        <rFont val="Times New Roman"/>
        <family val="1"/>
      </rPr>
      <t>(0.75 points)</t>
    </r>
    <r>
      <rPr>
        <sz val="12"/>
        <color theme="8" tint="-0.499984740745262"/>
        <rFont val="Times New Roman"/>
        <family val="1"/>
      </rPr>
      <t xml:space="preserve">  Calculate the required risk margin for claim liabilities at a 75% probability of adequacy.</t>
    </r>
  </si>
  <si>
    <r>
      <rPr>
        <i/>
        <sz val="12"/>
        <color theme="8" tint="-0.499984740745262"/>
        <rFont val="Times New Roman"/>
        <family val="1"/>
      </rPr>
      <t>(0.5 points)</t>
    </r>
    <r>
      <rPr>
        <sz val="12"/>
        <color theme="8" tint="-0.499984740745262"/>
        <rFont val="Times New Roman"/>
        <family val="1"/>
      </rPr>
      <t xml:space="preserve">  Calculate the internal systemic risk CoV based on the completed balanced scorecard from (a) and (b) and the CoV scale provided.</t>
    </r>
  </si>
  <si>
    <r>
      <rPr>
        <i/>
        <sz val="12"/>
        <color theme="8" tint="-0.499984740745262"/>
        <rFont val="Times New Roman"/>
        <family val="1"/>
      </rPr>
      <t>(0.75 points)</t>
    </r>
    <r>
      <rPr>
        <sz val="12"/>
        <color theme="8" tint="-0.499984740745262"/>
        <rFont val="Times New Roman"/>
        <family val="1"/>
      </rPr>
      <t xml:space="preserve"> Select a score of 2 or 4 for each risk indicator identified in (a).</t>
    </r>
  </si>
  <si>
    <r>
      <rPr>
        <i/>
        <sz val="12"/>
        <color theme="8" tint="-0.499984740745262"/>
        <rFont val="Times New Roman"/>
        <family val="1"/>
      </rPr>
      <t>(3 points)</t>
    </r>
    <r>
      <rPr>
        <sz val="12"/>
        <color theme="8" tint="-0.499984740745262"/>
        <rFont val="Times New Roman"/>
        <family val="1"/>
      </rPr>
      <t xml:space="preserve">  You are given the following as of December 31, 2024:</t>
    </r>
  </si>
  <si>
    <r>
      <t>(i)</t>
    </r>
    <r>
      <rPr>
        <sz val="7"/>
        <color theme="8" tint="-0.499984740745262"/>
        <rFont val="Times New Roman"/>
        <family val="1"/>
      </rPr>
      <t xml:space="preserve">             </t>
    </r>
    <r>
      <rPr>
        <sz val="12"/>
        <color theme="8" tint="-0.499984740745262"/>
        <rFont val="Times New Roman"/>
        <family val="1"/>
      </rPr>
      <t>Selected</t>
    </r>
  </si>
  <si>
    <r>
      <t>(ii)</t>
    </r>
    <r>
      <rPr>
        <sz val="7"/>
        <color theme="8" tint="-0.499984740745262"/>
        <rFont val="Times New Roman"/>
        <family val="1"/>
      </rPr>
      <t xml:space="preserve">           </t>
    </r>
    <r>
      <rPr>
        <sz val="12"/>
        <color theme="8" tint="-0.499984740745262"/>
        <rFont val="Times New Roman"/>
        <family val="1"/>
      </rPr>
      <t>Reported development method</t>
    </r>
  </si>
  <si>
    <t>Paid 
Claims</t>
  </si>
  <si>
    <t>Property value</t>
  </si>
  <si>
    <t>Coinsurance</t>
  </si>
  <si>
    <t>Dedductible</t>
  </si>
  <si>
    <r>
      <t>·</t>
    </r>
    <r>
      <rPr>
        <sz val="7"/>
        <color theme="8" tint="-0.499984740745262"/>
        <rFont val="Times New Roman"/>
        <family val="1"/>
      </rPr>
      <t xml:space="preserve">       </t>
    </r>
    <r>
      <rPr>
        <sz val="12"/>
        <color theme="8" tint="-0.499984740745262"/>
        <rFont val="Times New Roman"/>
        <family val="1"/>
      </rPr>
      <t xml:space="preserve">An insured’s home is valued at 250,000 </t>
    </r>
  </si>
  <si>
    <r>
      <t>·</t>
    </r>
    <r>
      <rPr>
        <sz val="7"/>
        <color theme="8" tint="-0.499984740745262"/>
        <rFont val="Times New Roman"/>
        <family val="1"/>
      </rPr>
      <t xml:space="preserve">       </t>
    </r>
    <r>
      <rPr>
        <sz val="12"/>
        <color theme="8" tint="-0.499984740745262"/>
        <rFont val="Times New Roman"/>
        <family val="1"/>
      </rPr>
      <t>The home is insured by an all-perils policy with an insured value of 200,000.</t>
    </r>
  </si>
  <si>
    <r>
      <t>·</t>
    </r>
    <r>
      <rPr>
        <sz val="7"/>
        <color theme="8" tint="-0.499984740745262"/>
        <rFont val="Times New Roman"/>
        <family val="1"/>
      </rPr>
      <t xml:space="preserve">       </t>
    </r>
    <r>
      <rPr>
        <sz val="12"/>
        <color theme="8" tint="-0.499984740745262"/>
        <rFont val="Times New Roman"/>
        <family val="1"/>
      </rPr>
      <t>The policy includes an 85% coinsurance clause.</t>
    </r>
  </si>
  <si>
    <r>
      <t>·</t>
    </r>
    <r>
      <rPr>
        <sz val="7"/>
        <color theme="8" tint="-0.499984740745262"/>
        <rFont val="Times New Roman"/>
        <family val="1"/>
      </rPr>
      <t xml:space="preserve">       </t>
    </r>
    <r>
      <rPr>
        <sz val="12"/>
        <color theme="8" tint="-0.499984740745262"/>
        <rFont val="Times New Roman"/>
        <family val="1"/>
      </rPr>
      <t>The policy has an earthquake (EQ) deductible of 10%, applicable to insured value, and a 3,000 deductible for other insured perils (OIP).</t>
    </r>
  </si>
  <si>
    <r>
      <t>·</t>
    </r>
    <r>
      <rPr>
        <sz val="7"/>
        <color theme="8" tint="-0.499984740745262"/>
        <rFont val="Times New Roman"/>
        <family val="1"/>
      </rPr>
      <t xml:space="preserve">       </t>
    </r>
    <r>
      <rPr>
        <sz val="12"/>
        <color theme="8" tint="-0.499984740745262"/>
        <rFont val="Times New Roman"/>
        <family val="1"/>
      </rPr>
      <t>The deductible applies after coinsurance.</t>
    </r>
  </si>
  <si>
    <r>
      <t>·</t>
    </r>
    <r>
      <rPr>
        <sz val="7"/>
        <color theme="8" tint="-0.499984740745262"/>
        <rFont val="Times New Roman"/>
        <family val="1"/>
      </rPr>
      <t xml:space="preserve">       </t>
    </r>
    <r>
      <rPr>
        <sz val="12"/>
        <color theme="8" tint="-0.499984740745262"/>
        <rFont val="Times New Roman"/>
        <family val="1"/>
      </rPr>
      <t>The home is destroyed by an earthquake during the policy period.</t>
    </r>
  </si>
  <si>
    <r>
      <t>(</t>
    </r>
    <r>
      <rPr>
        <i/>
        <sz val="12"/>
        <color theme="8" tint="-0.499984740745262"/>
        <rFont val="Times New Roman"/>
        <family val="1"/>
      </rPr>
      <t>0.5 points</t>
    </r>
    <r>
      <rPr>
        <sz val="12"/>
        <color theme="8" tint="-0.499984740745262"/>
        <rFont val="Times New Roman"/>
        <family val="1"/>
      </rPr>
      <t>)  Calculate the amount the insurer would pay to the insured for the loss of their home.</t>
    </r>
  </si>
  <si>
    <r>
      <t>(</t>
    </r>
    <r>
      <rPr>
        <i/>
        <sz val="12"/>
        <color theme="8" tint="-0.499984740745262"/>
        <rFont val="Times New Roman"/>
        <family val="1"/>
      </rPr>
      <t>2 points</t>
    </r>
    <r>
      <rPr>
        <sz val="12"/>
        <color theme="8" tint="-0.499984740745262"/>
        <rFont val="Times New Roman"/>
        <family val="1"/>
      </rPr>
      <t>)  Explain what the insurer should expect regarding the frequency, severity and total claims if it made this change. State all assumptions.</t>
    </r>
  </si>
  <si>
    <r>
      <t>(</t>
    </r>
    <r>
      <rPr>
        <i/>
        <sz val="12"/>
        <color theme="8" tint="-0.499984740745262"/>
        <rFont val="Times New Roman"/>
        <family val="1"/>
      </rPr>
      <t>3.5 points</t>
    </r>
    <r>
      <rPr>
        <sz val="12"/>
        <color theme="8" tint="-0.499984740745262"/>
        <rFont val="Times New Roman"/>
        <family val="1"/>
      </rPr>
      <t>)  You are given:</t>
    </r>
  </si>
  <si>
    <r>
      <t>·</t>
    </r>
    <r>
      <rPr>
        <sz val="7"/>
        <color theme="8" tint="-0.499984740745262"/>
        <rFont val="Times New Roman"/>
        <family val="1"/>
      </rPr>
      <t xml:space="preserve">       </t>
    </r>
    <r>
      <rPr>
        <sz val="12"/>
        <color theme="8" tint="-0.499984740745262"/>
        <rFont val="Times New Roman"/>
        <family val="1"/>
      </rPr>
      <t>An insured’s home is valued at 25,000.</t>
    </r>
  </si>
  <si>
    <r>
      <t>·</t>
    </r>
    <r>
      <rPr>
        <sz val="7"/>
        <color theme="8" tint="-0.499984740745262"/>
        <rFont val="Times New Roman"/>
        <family val="1"/>
      </rPr>
      <t xml:space="preserve">       </t>
    </r>
    <r>
      <rPr>
        <sz val="12"/>
        <color theme="8" tint="-0.499984740745262"/>
        <rFont val="Times New Roman"/>
        <family val="1"/>
      </rPr>
      <t>The insurance policy has an 80% coinsurance requirement and a 1,000 per claim deductible.</t>
    </r>
  </si>
  <si>
    <r>
      <t>(</t>
    </r>
    <r>
      <rPr>
        <i/>
        <sz val="12"/>
        <color theme="8" tint="-0.499984740745262"/>
        <rFont val="Times New Roman"/>
        <family val="1"/>
      </rPr>
      <t>1 point</t>
    </r>
    <r>
      <rPr>
        <sz val="12"/>
        <color theme="8" tint="-0.499984740745262"/>
        <rFont val="Times New Roman"/>
        <family val="1"/>
      </rPr>
      <t>)  Calculate the insured’s retained loss for the following claim and insured amount scenarios.</t>
    </r>
  </si>
  <si>
    <r>
      <t>(i)</t>
    </r>
    <r>
      <rPr>
        <sz val="7"/>
        <color theme="8" tint="-0.499984740745262"/>
        <rFont val="Times New Roman"/>
        <family val="1"/>
      </rPr>
      <t xml:space="preserve">             </t>
    </r>
    <r>
      <rPr>
        <sz val="12"/>
        <color theme="8" tint="-0.499984740745262"/>
        <rFont val="Times New Roman"/>
        <family val="1"/>
      </rPr>
      <t>Claim amounts: 18,000, 21,500 and 25,000</t>
    </r>
  </si>
  <si>
    <r>
      <t>(ii)</t>
    </r>
    <r>
      <rPr>
        <sz val="7"/>
        <color theme="8" tint="-0.499984740745262"/>
        <rFont val="Times New Roman"/>
        <family val="1"/>
      </rPr>
      <t xml:space="preserve">           </t>
    </r>
    <r>
      <rPr>
        <sz val="12"/>
        <color theme="8" tint="-0.499984740745262"/>
        <rFont val="Times New Roman"/>
        <family val="1"/>
      </rPr>
      <t>Policy insured amounts: 16,000, 19,000, 22,000</t>
    </r>
  </si>
  <si>
    <t>Insured value</t>
  </si>
  <si>
    <t>EQ Deductible</t>
  </si>
  <si>
    <t>OIP Deductible</t>
  </si>
  <si>
    <r>
      <t>(</t>
    </r>
    <r>
      <rPr>
        <i/>
        <sz val="12"/>
        <color theme="8" tint="-0.499984740745262"/>
        <rFont val="Times New Roman"/>
        <family val="1"/>
      </rPr>
      <t>5 points</t>
    </r>
    <r>
      <rPr>
        <sz val="12"/>
        <color theme="8" tint="-0.499984740745262"/>
        <rFont val="Times New Roman"/>
        <family val="1"/>
      </rPr>
      <t>)  You are conducting a risk classification analysis for a book of business that has only two rating variables.   Rates are calculated as the base rate times the type of use relativity times the territory relativity. The base rate is 630.17.</t>
    </r>
  </si>
  <si>
    <r>
      <rPr>
        <i/>
        <sz val="12"/>
        <color theme="8" tint="-0.499984740745262"/>
        <rFont val="Times New Roman"/>
        <family val="1"/>
      </rPr>
      <t>(1.5 points)</t>
    </r>
    <r>
      <rPr>
        <sz val="12"/>
        <color theme="8" tint="-0.499984740745262"/>
        <rFont val="Times New Roman"/>
        <family val="1"/>
      </rPr>
      <t xml:space="preserve">  Apply a one-way analysis to each rating variable to determine their relativities.</t>
    </r>
  </si>
  <si>
    <r>
      <t>(</t>
    </r>
    <r>
      <rPr>
        <i/>
        <sz val="12"/>
        <color theme="8" tint="-0.499984740745262"/>
        <rFont val="Times New Roman"/>
        <family val="1"/>
      </rPr>
      <t>1.5 points</t>
    </r>
    <r>
      <rPr>
        <sz val="12"/>
        <color theme="8" tint="-0.499984740745262"/>
        <rFont val="Times New Roman"/>
        <family val="1"/>
      </rPr>
      <t>)  Assess whether the one-way analysis is suitable to determine the relativities for both rating variables.</t>
    </r>
  </si>
  <si>
    <r>
      <t>(2</t>
    </r>
    <r>
      <rPr>
        <i/>
        <sz val="12"/>
        <color theme="8" tint="-0.499984740745262"/>
        <rFont val="Times New Roman"/>
        <family val="1"/>
      </rPr>
      <t xml:space="preserve"> points</t>
    </r>
    <r>
      <rPr>
        <sz val="12"/>
        <color theme="8" tint="-0.499984740745262"/>
        <rFont val="Times New Roman"/>
        <family val="1"/>
      </rPr>
      <t xml:space="preserve">)  Calculate the revised relativities for “Type of Use” that result from a single iteration of the minimum bias method. </t>
    </r>
  </si>
  <si>
    <t>Retrospective rating is a retroactive adjustment to a deposit premium based on actual claims experience during the policy period.</t>
  </si>
  <si>
    <r>
      <t>(</t>
    </r>
    <r>
      <rPr>
        <i/>
        <sz val="12"/>
        <color theme="8" tint="-0.499984740745262"/>
        <rFont val="Times New Roman"/>
        <family val="1"/>
      </rPr>
      <t>6 points</t>
    </r>
    <r>
      <rPr>
        <sz val="12"/>
        <color theme="8" tint="-0.499984740745262"/>
        <rFont val="Times New Roman"/>
        <family val="1"/>
      </rPr>
      <t xml:space="preserve">)   </t>
    </r>
  </si>
  <si>
    <r>
      <rPr>
        <i/>
        <sz val="12"/>
        <color theme="8" tint="-0.499984740745262"/>
        <rFont val="Times New Roman"/>
        <family val="1"/>
      </rPr>
      <t>(1 point)</t>
    </r>
    <r>
      <rPr>
        <sz val="12"/>
        <color theme="8" tint="-0.499984740745262"/>
        <rFont val="Times New Roman"/>
        <family val="1"/>
      </rPr>
      <t xml:space="preserve">  Compare retrospective rating to experience rating.</t>
    </r>
  </si>
  <si>
    <t>Accident
 Year</t>
  </si>
  <si>
    <r>
      <t>·</t>
    </r>
    <r>
      <rPr>
        <sz val="7"/>
        <color theme="4" tint="-0.499984740745262"/>
        <rFont val="Times New Roman"/>
        <family val="1"/>
      </rPr>
      <t xml:space="preserve">       </t>
    </r>
    <r>
      <rPr>
        <sz val="12"/>
        <color theme="4" tint="-0.499984740745262"/>
        <rFont val="Times New Roman"/>
        <family val="1"/>
      </rPr>
      <t>During the experience period, each company had similar coverage.</t>
    </r>
  </si>
  <si>
    <r>
      <t>·</t>
    </r>
    <r>
      <rPr>
        <sz val="7"/>
        <color theme="4" tint="-0.499984740745262"/>
        <rFont val="Times New Roman"/>
        <family val="1"/>
      </rPr>
      <t xml:space="preserve">       </t>
    </r>
    <r>
      <rPr>
        <sz val="12"/>
        <color theme="4" tint="-0.499984740745262"/>
        <rFont val="Times New Roman"/>
        <family val="1"/>
      </rPr>
      <t>Each company’s claims experience is fully credible.</t>
    </r>
  </si>
  <si>
    <r>
      <t>·</t>
    </r>
    <r>
      <rPr>
        <sz val="7"/>
        <color theme="4" tint="-0.499984740745262"/>
        <rFont val="Times New Roman"/>
        <family val="1"/>
      </rPr>
      <t xml:space="preserve">       </t>
    </r>
    <r>
      <rPr>
        <sz val="12"/>
        <color theme="4" tint="-0.499984740745262"/>
        <rFont val="Times New Roman"/>
        <family val="1"/>
      </rPr>
      <t>All claims are developed to ultimate value.</t>
    </r>
  </si>
  <si>
    <r>
      <t>·</t>
    </r>
    <r>
      <rPr>
        <sz val="7"/>
        <color theme="4" tint="-0.499984740745262"/>
        <rFont val="Times New Roman"/>
        <family val="1"/>
      </rPr>
      <t xml:space="preserve">       </t>
    </r>
    <r>
      <rPr>
        <sz val="12"/>
        <color theme="4" tint="-0.499984740745262"/>
        <rFont val="Times New Roman"/>
        <family val="1"/>
      </rPr>
      <t>The annual claims trend is 0%, applicable to both frequency and severity.</t>
    </r>
  </si>
  <si>
    <r>
      <t>·</t>
    </r>
    <r>
      <rPr>
        <sz val="7"/>
        <color theme="4" tint="-0.499984740745262"/>
        <rFont val="Times New Roman"/>
        <family val="1"/>
      </rPr>
      <t xml:space="preserve">       </t>
    </r>
    <r>
      <rPr>
        <sz val="12"/>
        <color theme="4" tint="-0.499984740745262"/>
        <rFont val="Times New Roman"/>
        <family val="1"/>
      </rPr>
      <t>Past claims experience is a reasonable indicator for future claims experience.</t>
    </r>
  </si>
  <si>
    <r>
      <t>(</t>
    </r>
    <r>
      <rPr>
        <i/>
        <sz val="12"/>
        <color theme="4" tint="-0.499984740745262"/>
        <rFont val="Times New Roman"/>
        <family val="1"/>
      </rPr>
      <t>1.5 points</t>
    </r>
    <r>
      <rPr>
        <sz val="12"/>
        <color theme="4" tint="-0.499984740745262"/>
        <rFont val="Times New Roman"/>
        <family val="1"/>
      </rPr>
      <t xml:space="preserve">)  Evaluate each company for retrospective rating, from the perspective of the </t>
    </r>
    <r>
      <rPr>
        <u/>
        <sz val="12"/>
        <color theme="4" tint="-0.499984740745262"/>
        <rFont val="Times New Roman"/>
        <family val="1"/>
      </rPr>
      <t>insurance company</t>
    </r>
    <r>
      <rPr>
        <sz val="12"/>
        <color theme="4" tint="-0.499984740745262"/>
        <rFont val="Times New Roman"/>
        <family val="1"/>
      </rPr>
      <t>.</t>
    </r>
  </si>
  <si>
    <t>Fixed P</t>
  </si>
  <si>
    <t>Retro base P</t>
  </si>
  <si>
    <t>Retro P</t>
  </si>
  <si>
    <t>claims</t>
  </si>
  <si>
    <t>Retro max P</t>
  </si>
  <si>
    <r>
      <t>·</t>
    </r>
    <r>
      <rPr>
        <sz val="7"/>
        <color theme="8" tint="-0.499984740745262"/>
        <rFont val="Times New Roman"/>
        <family val="1"/>
      </rPr>
      <t xml:space="preserve">       </t>
    </r>
    <r>
      <rPr>
        <sz val="12"/>
        <color theme="8" tint="-0.499984740745262"/>
        <rFont val="Times New Roman"/>
        <family val="1"/>
      </rPr>
      <t xml:space="preserve">The price of the fixed premium policy is 1.75 million. </t>
    </r>
  </si>
  <si>
    <r>
      <t>·</t>
    </r>
    <r>
      <rPr>
        <sz val="7"/>
        <color theme="8" tint="-0.499984740745262"/>
        <rFont val="Times New Roman"/>
        <family val="1"/>
      </rPr>
      <t xml:space="preserve">       </t>
    </r>
    <r>
      <rPr>
        <sz val="12"/>
        <color theme="8" tint="-0.499984740745262"/>
        <rFont val="Times New Roman"/>
        <family val="1"/>
      </rPr>
      <t>The price of the retrospective rated policy is 0.35 million plus 120% of claims with a total maximum premium of 3.75 million.</t>
    </r>
  </si>
  <si>
    <r>
      <t>(</t>
    </r>
    <r>
      <rPr>
        <i/>
        <sz val="12"/>
        <color theme="8" tint="-0.499984740745262"/>
        <rFont val="Times New Roman"/>
        <family val="1"/>
      </rPr>
      <t>2 points</t>
    </r>
    <r>
      <rPr>
        <sz val="12"/>
        <color theme="8" tint="-0.499984740745262"/>
        <rFont val="Times New Roman"/>
        <family val="1"/>
      </rPr>
      <t>)  Recommend for each company the policy that should be selected. Justify your recommendation.</t>
    </r>
  </si>
  <si>
    <t xml:space="preserve">The policy details are the same for each company. </t>
  </si>
  <si>
    <t xml:space="preserve">The insurer has offered each company the choice of either a fixed-premium policy or a retrospectively rated policy for 2026. </t>
  </si>
  <si>
    <t>Gross Ultimate Claims 
(‘000)</t>
  </si>
  <si>
    <t>Gross 
Earned Premium (‘000)</t>
  </si>
  <si>
    <t xml:space="preserve">
12</t>
  </si>
  <si>
    <t xml:space="preserve">
24</t>
  </si>
  <si>
    <t xml:space="preserve">
36</t>
  </si>
  <si>
    <t xml:space="preserve">
60</t>
  </si>
  <si>
    <t>Tail factor at 60 months</t>
  </si>
  <si>
    <t>PIC calculates ceded ultimate claims as the difference between gross and net ultimate claims calculated using the reported development methodology. 
PIC assumes a tail factor of 1.05 for development beyond 60 months.</t>
  </si>
  <si>
    <r>
      <t>·</t>
    </r>
    <r>
      <rPr>
        <sz val="7"/>
        <color theme="8" tint="-0.499984740745262"/>
        <rFont val="Times New Roman"/>
        <family val="1"/>
      </rPr>
      <t xml:space="preserve">       </t>
    </r>
    <r>
      <rPr>
        <sz val="12"/>
        <color theme="8" tint="-0.499984740745262"/>
        <rFont val="Times New Roman"/>
        <family val="1"/>
      </rPr>
      <t>The reinsurance premium is 3% of earned premium.</t>
    </r>
  </si>
  <si>
    <r>
      <t>·</t>
    </r>
    <r>
      <rPr>
        <sz val="7"/>
        <color theme="8" tint="-0.499984740745262"/>
        <rFont val="Times New Roman"/>
        <family val="1"/>
      </rPr>
      <t xml:space="preserve">       </t>
    </r>
    <r>
      <rPr>
        <sz val="12"/>
        <color theme="8" tint="-0.499984740745262"/>
        <rFont val="Times New Roman"/>
        <family val="1"/>
      </rPr>
      <t>The expected loss ratio is 60%.</t>
    </r>
  </si>
  <si>
    <r>
      <t>(</t>
    </r>
    <r>
      <rPr>
        <i/>
        <sz val="12"/>
        <color theme="8" tint="-0.499984740745262"/>
        <rFont val="Times New Roman"/>
        <family val="1"/>
      </rPr>
      <t>5 points</t>
    </r>
    <r>
      <rPr>
        <sz val="12"/>
        <color theme="8" tint="-0.499984740745262"/>
        <rFont val="Times New Roman"/>
        <family val="1"/>
      </rPr>
      <t>)   You are given:</t>
    </r>
  </si>
  <si>
    <r>
      <t>·</t>
    </r>
    <r>
      <rPr>
        <sz val="7"/>
        <color theme="8" tint="-0.499984740745262"/>
        <rFont val="Times New Roman"/>
        <family val="1"/>
      </rPr>
      <t xml:space="preserve">       </t>
    </r>
    <r>
      <rPr>
        <sz val="12"/>
        <color theme="8" tint="-0.499984740745262"/>
        <rFont val="Times New Roman"/>
        <family val="1"/>
      </rPr>
      <t>Primary Insurer Company (PIC) writes policies up to a limit of 500,000.</t>
    </r>
  </si>
  <si>
    <r>
      <t>(</t>
    </r>
    <r>
      <rPr>
        <i/>
        <sz val="12"/>
        <color theme="8" tint="-0.499984740745262"/>
        <rFont val="Times New Roman"/>
        <family val="1"/>
      </rPr>
      <t>2 points</t>
    </r>
    <r>
      <rPr>
        <sz val="12"/>
        <color theme="8" tint="-0.499984740745262"/>
        <rFont val="Times New Roman"/>
        <family val="1"/>
      </rPr>
      <t>)  Calculate ceded ultimate claims for each accident year from PIC’s perspective.</t>
    </r>
  </si>
  <si>
    <r>
      <t>(</t>
    </r>
    <r>
      <rPr>
        <i/>
        <sz val="12"/>
        <color theme="8" tint="-0.499984740745262"/>
        <rFont val="Times New Roman"/>
        <family val="1"/>
      </rPr>
      <t>1 point</t>
    </r>
    <r>
      <rPr>
        <sz val="12"/>
        <color theme="8" tint="-0.499984740745262"/>
        <rFont val="Times New Roman"/>
        <family val="1"/>
      </rPr>
      <t>)  State four reasons why a reinsurer’s estimate of ultimate ceded claims may be different from a direct writer’s estimate.</t>
    </r>
  </si>
  <si>
    <t>Reinsurance inception date</t>
  </si>
  <si>
    <t>Reinsurance premium (RP)</t>
  </si>
  <si>
    <r>
      <t>(</t>
    </r>
    <r>
      <rPr>
        <i/>
        <sz val="12"/>
        <color theme="8" tint="-0.499984740745262"/>
        <rFont val="Times New Roman"/>
        <family val="1"/>
      </rPr>
      <t>4.5 points</t>
    </r>
    <r>
      <rPr>
        <sz val="12"/>
        <color theme="8" tint="-0.499984740745262"/>
        <rFont val="Times New Roman"/>
        <family val="1"/>
      </rPr>
      <t>)   A direct insurance company is considering the following annual quota share reinsurance contract:</t>
    </r>
  </si>
  <si>
    <r>
      <t>·</t>
    </r>
    <r>
      <rPr>
        <sz val="7"/>
        <color theme="8" tint="-0.499984740745262"/>
        <rFont val="Times New Roman"/>
        <family val="1"/>
      </rPr>
      <t xml:space="preserve">       </t>
    </r>
    <r>
      <rPr>
        <sz val="12"/>
        <color theme="8" tint="-0.499984740745262"/>
        <rFont val="Times New Roman"/>
        <family val="1"/>
      </rPr>
      <t>Reinsurance inception date: January 1, 2026</t>
    </r>
  </si>
  <si>
    <r>
      <t>·</t>
    </r>
    <r>
      <rPr>
        <sz val="7"/>
        <color theme="8" tint="-0.499984740745262"/>
        <rFont val="Times New Roman"/>
        <family val="1"/>
      </rPr>
      <t xml:space="preserve">       </t>
    </r>
    <r>
      <rPr>
        <sz val="12"/>
        <color theme="8" tint="-0.499984740745262"/>
        <rFont val="Times New Roman"/>
        <family val="1"/>
      </rPr>
      <t>Reinsurance premium: 1,000,000</t>
    </r>
  </si>
  <si>
    <r>
      <t>·</t>
    </r>
    <r>
      <rPr>
        <sz val="7"/>
        <color theme="8" tint="-0.499984740745262"/>
        <rFont val="Times New Roman"/>
        <family val="1"/>
      </rPr>
      <t xml:space="preserve">       </t>
    </r>
    <r>
      <rPr>
        <sz val="12"/>
        <color theme="8" tint="-0.499984740745262"/>
        <rFont val="Times New Roman"/>
        <family val="1"/>
      </rPr>
      <t>50% of reinsurance premium paid at inception date and 50% paid on July 1, 2026</t>
    </r>
  </si>
  <si>
    <r>
      <t>·</t>
    </r>
    <r>
      <rPr>
        <sz val="7"/>
        <color theme="8" tint="-0.499984740745262"/>
        <rFont val="Times New Roman"/>
        <family val="1"/>
      </rPr>
      <t xml:space="preserve">       </t>
    </r>
    <r>
      <rPr>
        <sz val="12"/>
        <color theme="8" tint="-0.499984740745262"/>
        <rFont val="Times New Roman"/>
        <family val="1"/>
      </rPr>
      <t>Reinsurance commission: 30%, paid with the reinsurance premium</t>
    </r>
  </si>
  <si>
    <r>
      <t>·</t>
    </r>
    <r>
      <rPr>
        <sz val="7"/>
        <color theme="8" tint="-0.499984740745262"/>
        <rFont val="Times New Roman"/>
        <family val="1"/>
      </rPr>
      <t xml:space="preserve">       </t>
    </r>
    <r>
      <rPr>
        <sz val="12"/>
        <color theme="8" tint="-0.499984740745262"/>
        <rFont val="Times New Roman"/>
        <family val="1"/>
      </rPr>
      <t>All reinsured losses are paid on January 1, 2029</t>
    </r>
  </si>
  <si>
    <r>
      <t>·</t>
    </r>
    <r>
      <rPr>
        <sz val="7"/>
        <color theme="8" tint="-0.499984740745262"/>
        <rFont val="Times New Roman"/>
        <family val="1"/>
      </rPr>
      <t xml:space="preserve">       </t>
    </r>
    <r>
      <rPr>
        <sz val="12"/>
        <color theme="8" tint="-0.499984740745262"/>
        <rFont val="Times New Roman"/>
        <family val="1"/>
      </rPr>
      <t xml:space="preserve">The treaty’s ultimate loss ratio is represented by the following discrete distribution: </t>
    </r>
  </si>
  <si>
    <r>
      <rPr>
        <i/>
        <sz val="12"/>
        <color theme="8" tint="-0.499984740745262"/>
        <rFont val="Times New Roman"/>
        <family val="1"/>
      </rPr>
      <t xml:space="preserve">(1 point) </t>
    </r>
    <r>
      <rPr>
        <sz val="12"/>
        <color theme="8" tint="-0.499984740745262"/>
        <rFont val="Times New Roman"/>
        <family val="1"/>
      </rPr>
      <t xml:space="preserve"> Describe two advantages and one disadvantage of the ERD method over the 10-10 rule for assessing risk transfer.</t>
    </r>
  </si>
  <si>
    <r>
      <t>(</t>
    </r>
    <r>
      <rPr>
        <i/>
        <sz val="12"/>
        <color theme="8" tint="-0.499984740745262"/>
        <rFont val="Times New Roman"/>
        <family val="1"/>
      </rPr>
      <t>1.5 points</t>
    </r>
    <r>
      <rPr>
        <sz val="12"/>
        <color theme="8" tint="-0.499984740745262"/>
        <rFont val="Times New Roman"/>
        <family val="1"/>
      </rPr>
      <t xml:space="preserve">)  </t>
    </r>
  </si>
  <si>
    <t>Ultimate LR</t>
  </si>
  <si>
    <r>
      <t>(</t>
    </r>
    <r>
      <rPr>
        <i/>
        <sz val="12"/>
        <color theme="8" tint="-0.499984740745262"/>
        <rFont val="Times New Roman"/>
        <family val="1"/>
      </rPr>
      <t>2 points</t>
    </r>
    <r>
      <rPr>
        <sz val="12"/>
        <color theme="8" tint="-0.499984740745262"/>
        <rFont val="Times New Roman"/>
        <family val="1"/>
      </rPr>
      <t>)  Calculate the renewal risk load for Company X and Y.</t>
    </r>
  </si>
  <si>
    <t>You may use the graph below as a starting point or create one without using it.</t>
  </si>
  <si>
    <t>Graph Data</t>
  </si>
  <si>
    <t>Horizontal</t>
  </si>
  <si>
    <t>Vertical</t>
  </si>
  <si>
    <t>*  where score is</t>
  </si>
  <si>
    <t>2 for higher risk and</t>
  </si>
  <si>
    <t>4 for lower risk</t>
  </si>
  <si>
    <t>Score*</t>
  </si>
  <si>
    <t>III is clearly related to the error that can arise due to poor data or unavailability of data required. i.e. data error</t>
  </si>
  <si>
    <t>II relates to reducing the error that can arise from an inability to build a model that is fully representative of the underlying insurance process i.e., specification error</t>
  </si>
  <si>
    <t>V relates to reducing the error that can arise because the model is unable to adequately measure all predictors of claim cost outcomes or trends i.e., parameter selection error.</t>
  </si>
  <si>
    <t>(i) Selected</t>
  </si>
  <si>
    <t>(ii) Reported Development</t>
  </si>
  <si>
    <t>Coeff. of Variation</t>
  </si>
  <si>
    <t>Renewal</t>
  </si>
  <si>
    <t>Variance X</t>
  </si>
  <si>
    <t>Variance Y</t>
  </si>
  <si>
    <t>Variance (X+Y)</t>
  </si>
  <si>
    <r>
      <t>(</t>
    </r>
    <r>
      <rPr>
        <i/>
        <sz val="12"/>
        <color rgb="FF002060"/>
        <rFont val="Times New Roman"/>
        <family val="1"/>
      </rPr>
      <t>5 points</t>
    </r>
    <r>
      <rPr>
        <sz val="12"/>
        <color rgb="FF002060"/>
        <rFont val="Times New Roman"/>
        <family val="1"/>
      </rPr>
      <t>)  You have developed an ultimate claims reserve estimate using a chain ladder approach.  The data and analysis are in cells O1:AA43.</t>
    </r>
  </si>
  <si>
    <r>
      <t>·</t>
    </r>
    <r>
      <rPr>
        <sz val="7"/>
        <color rgb="FF002060"/>
        <rFont val="Times New Roman"/>
        <family val="1"/>
      </rPr>
      <t xml:space="preserve">       </t>
    </r>
    <r>
      <rPr>
        <sz val="12"/>
        <color rgb="FF002060"/>
        <rFont val="Times New Roman"/>
        <family val="1"/>
      </rPr>
      <t>Pearson correlation</t>
    </r>
  </si>
  <si>
    <r>
      <t>·</t>
    </r>
    <r>
      <rPr>
        <sz val="7"/>
        <color rgb="FF002060"/>
        <rFont val="Times New Roman"/>
        <family val="1"/>
      </rPr>
      <t xml:space="preserve">       </t>
    </r>
    <r>
      <rPr>
        <sz val="12"/>
        <color rgb="FF002060"/>
        <rFont val="Times New Roman"/>
        <family val="1"/>
      </rPr>
      <t>Spearman rank correlation</t>
    </r>
  </si>
  <si>
    <r>
      <t>(</t>
    </r>
    <r>
      <rPr>
        <i/>
        <sz val="12"/>
        <color rgb="FF002060"/>
        <rFont val="Times New Roman"/>
        <family val="1"/>
      </rPr>
      <t>0.5 points</t>
    </r>
    <r>
      <rPr>
        <sz val="12"/>
        <color rgb="FF002060"/>
        <rFont val="Times New Roman"/>
        <family val="1"/>
      </rPr>
      <t>)  Provide two reasons why the Spearman rank correlation is better.</t>
    </r>
  </si>
  <si>
    <t xml:space="preserve">None of the correlations between successive development factor vectors are significant at any reasonable p-value using either Pearson or Spearman correlation. </t>
  </si>
  <si>
    <t>This row was provided as values for the exam.</t>
  </si>
  <si>
    <t>It is acceptable to apply the semi-parametric bootstrap to Clark’s model. This bootstrap method is based on assuming that normalized residuals are identically and independently distributed. This is a reasonable assumption for Clark’s model. Hence, bootstrap samples of residuals can be taken, and the variance of reserves calculated.</t>
  </si>
  <si>
    <t xml:space="preserve">The Cape Cod method has many fewer parameters. With limited data points, the LDF method is likely prone to overfitting. </t>
  </si>
  <si>
    <t xml:space="preserve">The random variables are the observed incremental losses. </t>
  </si>
  <si>
    <t xml:space="preserve">The distribution is the over-dispersed Poisson distribution. </t>
  </si>
  <si>
    <t>Assuming no development past 84 months of development as the 72-84 LDF is close to 1.</t>
  </si>
  <si>
    <r>
      <rPr>
        <i/>
        <sz val="12"/>
        <color theme="8" tint="-0.499984740745262"/>
        <rFont val="Times New Roman"/>
        <family val="1"/>
      </rPr>
      <t>(1.25 points)</t>
    </r>
    <r>
      <rPr>
        <sz val="12"/>
        <color theme="8" tint="-0.499984740745262"/>
        <rFont val="Times New Roman"/>
        <family val="1"/>
      </rPr>
      <t xml:space="preserve"> Calculate total IBNR for the claims excess of 500,000 limits using Siewert's formula.</t>
    </r>
  </si>
  <si>
    <r>
      <t>(</t>
    </r>
    <r>
      <rPr>
        <i/>
        <sz val="12"/>
        <color rgb="FF002060"/>
        <rFont val="Times New Roman"/>
        <family val="1"/>
      </rPr>
      <t>1 point</t>
    </r>
    <r>
      <rPr>
        <sz val="12"/>
        <color rgb="FF002060"/>
        <rFont val="Times New Roman"/>
        <family val="1"/>
      </rPr>
      <t>)  Calculate total IBNR for claims excess of 500,000 limits using volume weighted average loss development factors.</t>
    </r>
  </si>
  <si>
    <t>Excess</t>
  </si>
  <si>
    <r>
      <t>(</t>
    </r>
    <r>
      <rPr>
        <i/>
        <sz val="12"/>
        <color rgb="FF002060"/>
        <rFont val="Times New Roman"/>
        <family val="1"/>
      </rPr>
      <t>1 point</t>
    </r>
    <r>
      <rPr>
        <sz val="12"/>
        <color rgb="FF002060"/>
        <rFont val="Times New Roman"/>
        <family val="1"/>
      </rPr>
      <t>) Identify two reasons why alternative approaches should be considered for estimating the IBNR based on the results in (a) and (b).</t>
    </r>
  </si>
  <si>
    <t>There is a significant difference in the estimated IBNR between the two methods.</t>
  </si>
  <si>
    <t>The high CDF for report year 2024 indicates high volatility in the ultimate estimates.</t>
  </si>
  <si>
    <t>at</t>
  </si>
  <si>
    <t>cost level</t>
  </si>
  <si>
    <t>Annual loading trend</t>
  </si>
  <si>
    <r>
      <t>(</t>
    </r>
    <r>
      <rPr>
        <i/>
        <sz val="12"/>
        <color rgb="FF002060"/>
        <rFont val="Times New Roman"/>
        <family val="1"/>
      </rPr>
      <t>1.5 points</t>
    </r>
    <r>
      <rPr>
        <sz val="12"/>
        <color rgb="FF002060"/>
        <rFont val="Times New Roman"/>
        <family val="1"/>
      </rPr>
      <t>)  Identify one risk indicator from the list of potential risk indicators above for each risk component. Justify your selection.</t>
    </r>
  </si>
  <si>
    <r>
      <t>(</t>
    </r>
    <r>
      <rPr>
        <i/>
        <sz val="12"/>
        <color rgb="FF002060"/>
        <rFont val="Times New Roman"/>
        <family val="1"/>
      </rPr>
      <t>3.5 points</t>
    </r>
    <r>
      <rPr>
        <sz val="12"/>
        <color rgb="FF002060"/>
        <rFont val="Times New Roman"/>
        <family val="1"/>
      </rPr>
      <t>)  You are using a balanced scorecard approach described in “A Framework for Assessing Risk Margins” by Marshall et al. (Marshall) to measure the internal systemic risk coefficient of variation (CoV) for a line of business.</t>
    </r>
  </si>
  <si>
    <t>The calculated amounts for (i) and (ii) are significantly different.</t>
  </si>
  <si>
    <t>Insured Value</t>
  </si>
  <si>
    <t>deductible:</t>
  </si>
  <si>
    <t>as only the EQ deductible applies</t>
  </si>
  <si>
    <t>mimnimum insured value required by the coinsurance clause</t>
  </si>
  <si>
    <t xml:space="preserve">However, the loss (250,000) is greater than the minimum insured value required by the coinsurance clause (212,500) so there is no coinsurance penalty.  </t>
  </si>
  <si>
    <t>Assuming no change in written exposures:</t>
  </si>
  <si>
    <t>However, the assumption of no change in exposures is not reasonable. A change such as this would likely have a significant impact on written exposures.</t>
  </si>
  <si>
    <r>
      <t>·</t>
    </r>
    <r>
      <rPr>
        <sz val="7"/>
        <color theme="1"/>
        <rFont val="Times New Roman"/>
        <family val="1"/>
      </rPr>
      <t xml:space="preserve">       </t>
    </r>
    <r>
      <rPr>
        <sz val="12"/>
        <color theme="1"/>
        <rFont val="Times New Roman"/>
        <family val="1"/>
      </rPr>
      <t>Increasing deductibles will reduce the frequency of claims, since claims between 2000 - 4000 would not be paid</t>
    </r>
  </si>
  <si>
    <r>
      <t>·</t>
    </r>
    <r>
      <rPr>
        <sz val="7"/>
        <color theme="1"/>
        <rFont val="Times New Roman"/>
        <family val="1"/>
      </rPr>
      <t xml:space="preserve">       </t>
    </r>
    <r>
      <rPr>
        <sz val="12"/>
        <color theme="1"/>
        <rFont val="Times New Roman"/>
        <family val="1"/>
      </rPr>
      <t>The severity change will depend on the distribution of exposures and the loss distribution. The total loss amount would be reduced.</t>
    </r>
  </si>
  <si>
    <r>
      <t>·</t>
    </r>
    <r>
      <rPr>
        <sz val="7"/>
        <color theme="1"/>
        <rFont val="Times New Roman"/>
        <family val="1"/>
      </rPr>
      <t xml:space="preserve">       </t>
    </r>
    <r>
      <rPr>
        <sz val="12"/>
        <color theme="1"/>
        <rFont val="Times New Roman"/>
        <family val="1"/>
      </rPr>
      <t>Exposure changes will depend on the insurer's position in the market for premiums (high, competitive, low) and deductibles.</t>
    </r>
  </si>
  <si>
    <r>
      <t>·</t>
    </r>
    <r>
      <rPr>
        <sz val="7"/>
        <color theme="1"/>
        <rFont val="Times New Roman"/>
        <family val="1"/>
      </rPr>
      <t xml:space="preserve">       </t>
    </r>
    <r>
      <rPr>
        <sz val="12"/>
        <color theme="1"/>
        <rFont val="Times New Roman"/>
        <family val="1"/>
      </rPr>
      <t>Exposure changes will depend on the amount of premium reduction for the increased deductible.</t>
    </r>
  </si>
  <si>
    <r>
      <t>·</t>
    </r>
    <r>
      <rPr>
        <sz val="7"/>
        <color theme="1"/>
        <rFont val="Times New Roman"/>
        <family val="1"/>
      </rPr>
      <t xml:space="preserve">       </t>
    </r>
    <r>
      <rPr>
        <sz val="12"/>
        <color theme="1"/>
        <rFont val="Times New Roman"/>
        <family val="1"/>
      </rPr>
      <t>Customers that want a 2,000 deductible will see if it is offered by another insurer at an affordable premium.</t>
    </r>
  </si>
  <si>
    <r>
      <t>·</t>
    </r>
    <r>
      <rPr>
        <sz val="7"/>
        <color theme="1"/>
        <rFont val="Times New Roman"/>
        <family val="1"/>
      </rPr>
      <t xml:space="preserve">       </t>
    </r>
    <r>
      <rPr>
        <sz val="12"/>
        <color theme="1"/>
        <rFont val="Times New Roman"/>
        <family val="1"/>
      </rPr>
      <t>The insurer should expect exposure changes dependent on their pricing strategy and position in the market. This will affect both their premiums and losses.</t>
    </r>
  </si>
  <si>
    <t>TOTAL</t>
  </si>
  <si>
    <t>Rural %</t>
  </si>
  <si>
    <t>Suburban%</t>
  </si>
  <si>
    <t>Urban %</t>
  </si>
  <si>
    <t>clearly differs for each type of use.</t>
  </si>
  <si>
    <t>This is because there is a distributional bias.</t>
  </si>
  <si>
    <t>This method is not suitable because there exists a significant distributional bias as shown above.</t>
  </si>
  <si>
    <t>This can be seen in the following table by examining the distribution by territory for each type of use</t>
  </si>
  <si>
    <t>A/B relative difference</t>
  </si>
  <si>
    <t>Exposures</t>
  </si>
  <si>
    <t>Total Pure Premium</t>
  </si>
  <si>
    <t xml:space="preserve">Total claims </t>
  </si>
  <si>
    <t>Company B is not a good choice because of large fluctuations, including lots of 0 years and a big loss year.</t>
  </si>
  <si>
    <t>Company C appears to have an upward trend in annual claims, so retrpective rating is good from insurer's perspective as this would entail charging for the increase.</t>
  </si>
  <si>
    <t>Company A appears to have a downward trend. It is a reasonable candidate for retrospective rating but it would involve downward premium adjsutements.</t>
  </si>
  <si>
    <t>Companies A and C have experience at around +/- 25% of average, so they appear reasonably stable and are a candidate for retrospective rating.</t>
  </si>
  <si>
    <t>AVERAGE</t>
  </si>
  <si>
    <t>Percent difference</t>
  </si>
  <si>
    <t>Average cost of retro &lt;&lt; fixed premium.  If B has the capital and risk appetite for volatility to withstand the additional premiums of the high loss cost risk year, the retro policy is the choice.</t>
  </si>
  <si>
    <t>Fixed and retro premiums are close, but given the upward trend, fixed will be bette as the retro premium will be increasing.</t>
  </si>
  <si>
    <t>Fixed and retro premiums are close - probably would take retro if comfortable with the potential variability, particularly noting the downward trend whih lower the retro premium.</t>
  </si>
  <si>
    <t xml:space="preserve">Berry estimates ultimate premium using the historical premium emergence pattern then subtracts current premium. This is like the claims development method but with premiums. </t>
  </si>
  <si>
    <t>Teng &amp; Perkins predict premiums using expected loss development and the retro-rating parameters, using premium development to</t>
  </si>
  <si>
    <t>loss development (PDLD) ratios.  The PDLD ratios can be derived formulaically  or based on experience.</t>
  </si>
  <si>
    <t>Avg Retro minus Fixed Premium</t>
  </si>
  <si>
    <t>Average Retro Premium</t>
  </si>
  <si>
    <t>12 to 24</t>
  </si>
  <si>
    <t>24 to 36</t>
  </si>
  <si>
    <t>36 to 48</t>
  </si>
  <si>
    <t>48 to 60</t>
  </si>
  <si>
    <t>60 to ultimate</t>
  </si>
  <si>
    <t>Net</t>
  </si>
  <si>
    <t>Net Reported</t>
  </si>
  <si>
    <t>Net CDF</t>
  </si>
  <si>
    <t>Net Ult.</t>
  </si>
  <si>
    <r>
      <t>·</t>
    </r>
    <r>
      <rPr>
        <sz val="7"/>
        <color theme="8" tint="-0.499984740745262"/>
        <rFont val="Times New Roman"/>
        <family val="1"/>
      </rPr>
      <t>      </t>
    </r>
    <r>
      <rPr>
        <sz val="12"/>
        <color theme="8" tint="-0.499984740745262"/>
        <rFont val="Times New Roman"/>
        <family val="1"/>
      </rPr>
      <t>There is a per occurrence excess of loss treaty with reinsurance company RB Reinsurance (RB) for 300,000 excess of 200,000.</t>
    </r>
  </si>
  <si>
    <t>RB calculates its ceded ultimate claims using the Bornheutter Ferguson methodology.</t>
  </si>
  <si>
    <t>RB Selected LDF</t>
  </si>
  <si>
    <t>PIC maximum policy limit</t>
  </si>
  <si>
    <t>Excess layer attachment</t>
  </si>
  <si>
    <t>Excess layer limit</t>
  </si>
  <si>
    <r>
      <t>(</t>
    </r>
    <r>
      <rPr>
        <i/>
        <sz val="12"/>
        <color rgb="FF002060"/>
        <rFont val="Times New Roman"/>
        <family val="1"/>
      </rPr>
      <t>2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RB’s loss ratio for each accident year.</t>
    </r>
  </si>
  <si>
    <t>Reinsurance P % of PIC EP</t>
  </si>
  <si>
    <t>Ceded</t>
  </si>
  <si>
    <t>% Future Claims</t>
  </si>
  <si>
    <t>Ultimate Claims</t>
  </si>
  <si>
    <t>Future 
Claims</t>
  </si>
  <si>
    <t>Reinsurance Premium</t>
  </si>
  <si>
    <t>ELR Claims Reinsurance</t>
  </si>
  <si>
    <t>Reinsured Reported</t>
  </si>
  <si>
    <t>RB 
Loss Ratio</t>
  </si>
  <si>
    <t>1) Each entity may have different reserving philosophies (methodology, conservativeness).</t>
  </si>
  <si>
    <t>2) The reinsurer would not generally have access to gross claims data, while the insurer would.</t>
  </si>
  <si>
    <t>3) The reinsurer would base development patterns using amounts grouped from multiple ceding copies, whereas the insurer does not have this information.</t>
  </si>
  <si>
    <t>4) The reinsurer may be subject to different legislation or financial reporting requirements that affect the standard for reserve estimates.</t>
  </si>
  <si>
    <t>of RP Paid on</t>
  </si>
  <si>
    <t>Reinsured losses paid on</t>
  </si>
  <si>
    <r>
      <t>(</t>
    </r>
    <r>
      <rPr>
        <i/>
        <sz val="12"/>
        <color rgb="FF002060"/>
        <rFont val="Times New Roman"/>
        <family val="1"/>
      </rPr>
      <t>2 points</t>
    </r>
    <r>
      <rPr>
        <sz val="12"/>
        <color rgb="FF002060"/>
        <rFont val="Times New Roman"/>
        <family val="1"/>
      </rPr>
      <t>)  Apply the following methods to determine whether this reinsurance contract transfers sufficient risk to permit reinsurance accounting using</t>
    </r>
  </si>
  <si>
    <t xml:space="preserve"> &gt; 1%</t>
  </si>
  <si>
    <t>RCR measures risk relative to expected return, instead of premium</t>
  </si>
  <si>
    <t>Advantage 1)</t>
  </si>
  <si>
    <t>Advantage 2)</t>
  </si>
  <si>
    <t>Disadvantage 1)</t>
  </si>
  <si>
    <t>The cutoff point for risk is economic breakeven, rather than a statistical percentile; Therefore, it could be considered more meaningful than a statistical definition based on a percentile, because the impact of risk on a company is in economic terms.</t>
  </si>
  <si>
    <t>It can identify risk transfer when there is a very small chance of catastrophic loss.</t>
  </si>
  <si>
    <t>It is more difficult to calculate.</t>
  </si>
  <si>
    <t>E[G] = expected economic gain across all possibilities,</t>
  </si>
  <si>
    <t>P = premium,</t>
  </si>
  <si>
    <t>p = probability of net economic loss, and</t>
  </si>
  <si>
    <t>T = average severity of net economic loss, when it occurs</t>
  </si>
  <si>
    <t>RCR, % form = ERD / (E[G] / P)</t>
  </si>
  <si>
    <t>and</t>
  </si>
  <si>
    <t>RCR = E[G] / (pT)</t>
  </si>
  <si>
    <r>
      <t xml:space="preserve">Event </t>
    </r>
    <r>
      <rPr>
        <i/>
        <sz val="12"/>
        <rFont val="Times New Roman"/>
        <family val="1"/>
      </rPr>
      <t>i</t>
    </r>
  </si>
  <si>
    <t>Probability (p)</t>
  </si>
  <si>
    <r>
      <rPr>
        <sz val="12"/>
        <color theme="1"/>
        <rFont val="Symbol"/>
        <family val="1"/>
        <charset val="2"/>
      </rPr>
      <t>P</t>
    </r>
    <r>
      <rPr>
        <vertAlign val="subscript"/>
        <sz val="12"/>
        <color theme="1"/>
        <rFont val="Times New Roman"/>
        <family val="1"/>
      </rPr>
      <t xml:space="preserve">1 to i </t>
    </r>
    <r>
      <rPr>
        <sz val="12"/>
        <color theme="1"/>
        <rFont val="Times New Roman"/>
        <family val="1"/>
      </rPr>
      <t>[1-p]</t>
    </r>
  </si>
  <si>
    <t>Expected</t>
  </si>
  <si>
    <t>Variance</t>
  </si>
  <si>
    <t>Variance of other account</t>
  </si>
  <si>
    <t>Catastrophe models simulate significantly more realistically plausible events than those that may be contained in the historical record.</t>
  </si>
  <si>
    <t>Catastrophe models allow users to analyze the current exposure and settlement terms, therefore avoiding the pitfalls in adjusting historical experience to reflect changes in insured properties exposed to the hazard and the insurance terms.</t>
  </si>
  <si>
    <t>A reinsurance company is renewing property catastrophe excess-of-loss covers from two companies, X and Y. You are given each company’s event loss table (ELT). The events are assumed to be independent random variables, each following a Bernoulli distribution.</t>
  </si>
  <si>
    <r>
      <t>(5</t>
    </r>
    <r>
      <rPr>
        <i/>
        <sz val="12"/>
        <color rgb="FF002060"/>
        <rFont val="Times New Roman"/>
        <family val="1"/>
      </rPr>
      <t xml:space="preserve"> points</t>
    </r>
    <r>
      <rPr>
        <sz val="12"/>
        <color rgb="FF002060"/>
        <rFont val="Times New Roman"/>
        <family val="1"/>
      </rPr>
      <t xml:space="preserve">) </t>
    </r>
  </si>
  <si>
    <r>
      <t>(</t>
    </r>
    <r>
      <rPr>
        <i/>
        <sz val="12"/>
        <color rgb="FF002060"/>
        <rFont val="Times New Roman"/>
        <family val="1"/>
      </rPr>
      <t>0.5 points</t>
    </r>
    <r>
      <rPr>
        <sz val="12"/>
        <color rgb="FF002060"/>
        <rFont val="Times New Roman"/>
        <family val="1"/>
      </rPr>
      <t xml:space="preserve">)  State two advantages of using catastrophe models instead of historical data. </t>
    </r>
  </si>
  <si>
    <t>X+Y</t>
  </si>
  <si>
    <r>
      <t>(</t>
    </r>
    <r>
      <rPr>
        <i/>
        <sz val="12"/>
        <color theme="4" tint="-0.499984740745262"/>
        <rFont val="Times New Roman"/>
        <family val="1"/>
      </rPr>
      <t>1 point</t>
    </r>
    <r>
      <rPr>
        <sz val="12"/>
        <color theme="4" tint="-0.499984740745262"/>
        <rFont val="Times New Roman"/>
        <family val="1"/>
      </rPr>
      <t>)  Calculate the renewal risk load for Company X and Y using the Shapley Method.</t>
    </r>
  </si>
  <si>
    <t>Cov(X,Y)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</si>
</sst>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0.0%"/>
    <numFmt numFmtId="165" formatCode="0.000"/>
    <numFmt numFmtId="166" formatCode="_(* #,##0.000_);_(* \(#,##0.000\);_(* &quot;-&quot;??_);_(@_)"/>
    <numFmt numFmtId="167" formatCode="0.00000"/>
    <numFmt numFmtId="168" formatCode="_(* #,##0_);_(* \(#,##0\);_(* &quot;-&quot;??_);_(@_)"/>
    <numFmt numFmtId="169" formatCode="_(* #,##0.0000_);_(* \(#,##0.0000\);_(* &quot;-&quot;??_);_(@_)"/>
    <numFmt numFmtId="170" formatCode="_(* #,##0.00000_);_(* \(#,##0.00000\);_(* &quot;-&quot;??_);_(@_)"/>
    <numFmt numFmtId="171" formatCode="_(* #,##0.0_);_(* \(#,##0.0\);_(* &quot;-&quot;??_);_(@_)"/>
    <numFmt numFmtId="172" formatCode="_ * #,##0.00_ ;_ * \-#,##0.00_ ;_ * &quot;-&quot;??_ ;_ @_ "/>
    <numFmt numFmtId="173" formatCode="_ * #,##0_ ;_ * \-#,##0_ ;_ * &quot;-&quot;??_ ;_ @_ "/>
    <numFmt numFmtId="174" formatCode="0.0000"/>
    <numFmt numFmtId="175" formatCode="0.0"/>
    <numFmt numFmtId="176" formatCode="_-* #,##0.00_-;\-* #,##0.00_-;_-* &quot;-&quot;??_-;_-@_-"/>
    <numFmt numFmtId="177" formatCode="_-* #,##0_-;\-* #,##0_-;_-* &quot;-&quot;??_-;_-@_-"/>
    <numFmt numFmtId="178" formatCode="[$-409]mmmm\ d\,\ yyyy;@"/>
    <numFmt numFmtId="179" formatCode="#,##0.00000"/>
    <numFmt numFmtId="180" formatCode="0.0000%"/>
    <numFmt numFmtId="181" formatCode="0.000000"/>
    <numFmt numFmtId="182" formatCode="mmm\ d\,\ yyyy"/>
    <numFmt numFmtId="183" formatCode="#,##0.000_);\(#,##0.000\)"/>
  </numFmts>
  <fonts count="59">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b/>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b/>
      <sz val="14"/>
      <color rgb="FF002060"/>
      <name val="Times New Roman"/>
      <family val="1"/>
    </font>
    <font>
      <i/>
      <sz val="12"/>
      <color theme="1"/>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i/>
      <sz val="12"/>
      <color theme="4" tint="-0.499984740745262"/>
      <name val="Times New Roman"/>
      <family val="1"/>
    </font>
    <font>
      <sz val="12"/>
      <color theme="4" tint="-0.499984740745262"/>
      <name val="Symbol"/>
      <family val="1"/>
      <charset val="2"/>
    </font>
    <font>
      <sz val="7"/>
      <color theme="4" tint="-0.499984740745262"/>
      <name val="Times New Roman"/>
      <family val="1"/>
    </font>
    <font>
      <b/>
      <sz val="11"/>
      <color theme="4" tint="-0.499984740745262"/>
      <name val="Times New Roman"/>
      <family val="1"/>
    </font>
    <font>
      <i/>
      <sz val="12"/>
      <name val="Times New Roman"/>
      <family val="1"/>
    </font>
    <font>
      <sz val="11"/>
      <color theme="1"/>
      <name val="Times New Roman"/>
      <family val="1"/>
    </font>
    <font>
      <b/>
      <i/>
      <sz val="12"/>
      <name val="Times New Roman"/>
      <family val="1"/>
    </font>
    <font>
      <b/>
      <i/>
      <sz val="12"/>
      <color theme="4" tint="-0.499984740745262"/>
      <name val="Symbol"/>
      <family val="1"/>
      <charset val="2"/>
    </font>
    <font>
      <i/>
      <sz val="12"/>
      <color theme="8" tint="-0.499984740745262"/>
      <name val="Times New Roman"/>
      <family val="1"/>
    </font>
    <font>
      <b/>
      <sz val="12"/>
      <name val="Times New Roman"/>
      <family val="1"/>
    </font>
    <font>
      <b/>
      <sz val="11"/>
      <color theme="1"/>
      <name val="Times New Roman"/>
      <family val="1"/>
    </font>
    <font>
      <b/>
      <i/>
      <sz val="12"/>
      <color theme="4" tint="-0.499984740745262"/>
      <name val="Times New Roman"/>
      <family val="1"/>
    </font>
    <font>
      <b/>
      <i/>
      <sz val="12"/>
      <color theme="8" tint="-0.499984740745262"/>
      <name val="Times New Roman"/>
      <family val="1"/>
    </font>
    <font>
      <sz val="11"/>
      <color theme="1"/>
      <name val="Calibri"/>
      <family val="2"/>
      <charset val="134"/>
      <scheme val="minor"/>
    </font>
    <font>
      <sz val="11"/>
      <name val="Times New Roman"/>
      <family val="1"/>
    </font>
    <font>
      <b/>
      <i/>
      <sz val="11"/>
      <color theme="1"/>
      <name val="Times New Roman"/>
      <family val="1"/>
    </font>
    <font>
      <sz val="11"/>
      <color rgb="FFFF0000"/>
      <name val="Times New Roman"/>
      <family val="1"/>
    </font>
    <font>
      <sz val="12"/>
      <color rgb="FFFF0000"/>
      <name val="Times New Roman"/>
      <family val="1"/>
    </font>
    <font>
      <u/>
      <sz val="11"/>
      <color theme="4" tint="-0.499984740745262"/>
      <name val="Times New Roman"/>
      <family val="1"/>
    </font>
    <font>
      <b/>
      <u/>
      <sz val="11"/>
      <color rgb="FFFF0000"/>
      <name val="Times New Roman"/>
      <family val="1"/>
    </font>
    <font>
      <b/>
      <sz val="11"/>
      <color rgb="FFFF0000"/>
      <name val="Times New Roman"/>
      <family val="1"/>
    </font>
    <font>
      <b/>
      <sz val="11"/>
      <color theme="8" tint="-0.499984740745262"/>
      <name val="Times New Roman"/>
      <family val="1"/>
    </font>
    <font>
      <sz val="11"/>
      <color theme="8" tint="-0.499984740745262"/>
      <name val="Calibri"/>
      <family val="2"/>
      <scheme val="minor"/>
    </font>
    <font>
      <sz val="11"/>
      <color theme="8" tint="-0.499984740745262"/>
      <name val="Times New Roman"/>
      <family val="1"/>
    </font>
    <font>
      <sz val="12"/>
      <color theme="8" tint="-0.499984740745262"/>
      <name val="Symbol"/>
      <family val="1"/>
      <charset val="2"/>
    </font>
    <font>
      <sz val="7"/>
      <color theme="8" tint="-0.499984740745262"/>
      <name val="Times New Roman"/>
      <family val="1"/>
    </font>
    <font>
      <i/>
      <sz val="11"/>
      <color theme="1"/>
      <name val="Times New Roman"/>
      <family val="1"/>
    </font>
    <font>
      <b/>
      <sz val="14"/>
      <color theme="8" tint="-0.499984740745262"/>
      <name val="Times New Roman"/>
      <family val="1"/>
    </font>
    <font>
      <sz val="6"/>
      <color theme="8" tint="-0.499984740745262"/>
      <name val="Times New Roman"/>
      <family val="1"/>
    </font>
    <font>
      <u/>
      <sz val="12"/>
      <color theme="4" tint="-0.499984740745262"/>
      <name val="Times New Roman"/>
      <family val="1"/>
    </font>
    <font>
      <i/>
      <sz val="10"/>
      <color theme="1"/>
      <name val="Times New Roman"/>
      <family val="1"/>
    </font>
    <font>
      <sz val="10"/>
      <color theme="1"/>
      <name val="Times New Roman"/>
      <family val="1"/>
    </font>
    <font>
      <sz val="11"/>
      <color rgb="FF002060"/>
      <name val="Calibri"/>
      <family val="2"/>
      <scheme val="minor"/>
    </font>
    <font>
      <sz val="12"/>
      <color rgb="FF002060"/>
      <name val="Symbol"/>
      <family val="1"/>
      <charset val="2"/>
    </font>
    <font>
      <sz val="7"/>
      <color rgb="FF002060"/>
      <name val="Times New Roman"/>
      <family val="1"/>
    </font>
    <font>
      <sz val="12"/>
      <color rgb="FF0070C0"/>
      <name val="Times New Roman"/>
      <family val="1"/>
    </font>
    <font>
      <i/>
      <sz val="12"/>
      <color rgb="FF0070C0"/>
      <name val="Times New Roman"/>
      <family val="1"/>
    </font>
    <font>
      <sz val="12"/>
      <color theme="1"/>
      <name val="Symbol"/>
      <family val="1"/>
      <charset val="2"/>
    </font>
    <font>
      <sz val="7"/>
      <color theme="1"/>
      <name val="Times New Roman"/>
      <family val="1"/>
    </font>
    <font>
      <b/>
      <sz val="11"/>
      <name val="Times New Roman"/>
      <family val="1"/>
    </font>
    <font>
      <vertAlign val="subscript"/>
      <sz val="12"/>
      <color theme="1"/>
      <name val="Times New Roman"/>
      <family val="1"/>
    </font>
    <font>
      <sz val="12"/>
      <color theme="1"/>
      <name val="Times New Roman"/>
      <family val="1"/>
      <charset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darkGrid">
        <fgColor theme="7" tint="0.79998168889431442"/>
        <bgColor indexed="65"/>
      </patternFill>
    </fill>
    <fill>
      <patternFill patternType="darkGrid">
        <fgColor theme="7" tint="0.79998168889431442"/>
        <bgColor auto="1"/>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30" fillId="0" borderId="0">
      <alignment vertical="center"/>
    </xf>
    <xf numFmtId="172" fontId="30" fillId="0" borderId="0" applyFont="0" applyFill="0" applyBorder="0" applyAlignment="0" applyProtection="0">
      <alignment vertical="center"/>
    </xf>
    <xf numFmtId="9" fontId="30" fillId="0" borderId="0" applyFont="0" applyFill="0" applyBorder="0" applyAlignment="0" applyProtection="0">
      <alignment vertical="center"/>
    </xf>
    <xf numFmtId="176" fontId="1" fillId="0" borderId="0" applyFont="0" applyFill="0" applyBorder="0" applyAlignment="0" applyProtection="0"/>
  </cellStyleXfs>
  <cellXfs count="531">
    <xf numFmtId="0" fontId="0" fillId="0" borderId="0" xfId="0"/>
    <xf numFmtId="0" fontId="2" fillId="0" borderId="0" xfId="0" applyFont="1"/>
    <xf numFmtId="0" fontId="3" fillId="0" borderId="0" xfId="0" applyFont="1"/>
    <xf numFmtId="0" fontId="2" fillId="2" borderId="0" xfId="0" applyFont="1" applyFill="1"/>
    <xf numFmtId="0" fontId="6" fillId="0" borderId="0" xfId="0" applyFont="1"/>
    <xf numFmtId="0" fontId="8" fillId="2" borderId="0" xfId="0" applyFont="1" applyFill="1"/>
    <xf numFmtId="0" fontId="8" fillId="0" borderId="0" xfId="0" applyFont="1"/>
    <xf numFmtId="0" fontId="8" fillId="2" borderId="0" xfId="0" applyFont="1" applyFill="1" applyAlignment="1">
      <alignment vertical="center"/>
    </xf>
    <xf numFmtId="0" fontId="10" fillId="2" borderId="0" xfId="0" applyFont="1" applyFill="1"/>
    <xf numFmtId="0" fontId="8" fillId="2" borderId="0" xfId="0" applyFont="1" applyFill="1" applyAlignment="1">
      <alignment horizontal="left" vertical="center"/>
    </xf>
    <xf numFmtId="0" fontId="11" fillId="2" borderId="0" xfId="0" applyFont="1" applyFill="1"/>
    <xf numFmtId="0" fontId="9" fillId="2" borderId="0" xfId="0" applyFont="1" applyFill="1"/>
    <xf numFmtId="0" fontId="12" fillId="4" borderId="0" xfId="0" applyFont="1" applyFill="1"/>
    <xf numFmtId="0" fontId="8" fillId="4" borderId="0" xfId="0" applyFont="1" applyFill="1"/>
    <xf numFmtId="0" fontId="8" fillId="2" borderId="0" xfId="0" applyFont="1" applyFill="1" applyAlignment="1">
      <alignment horizontal="left" vertical="center" wrapText="1"/>
    </xf>
    <xf numFmtId="0" fontId="6" fillId="0" borderId="0" xfId="0" applyFont="1" applyAlignment="1">
      <alignment wrapText="1"/>
    </xf>
    <xf numFmtId="0" fontId="2" fillId="0" borderId="0" xfId="0" applyFont="1" applyAlignment="1">
      <alignment vertical="center"/>
    </xf>
    <xf numFmtId="0" fontId="13" fillId="0" borderId="0" xfId="0" applyFont="1"/>
    <xf numFmtId="0" fontId="2" fillId="0" borderId="0" xfId="0" applyFont="1" applyAlignment="1">
      <alignment horizontal="center"/>
    </xf>
    <xf numFmtId="164" fontId="2" fillId="0" borderId="0" xfId="0" applyNumberFormat="1" applyFont="1"/>
    <xf numFmtId="0" fontId="8" fillId="2" borderId="0" xfId="0" applyFont="1" applyFill="1" applyAlignment="1">
      <alignment horizontal="center"/>
    </xf>
    <xf numFmtId="0" fontId="16" fillId="2" borderId="1" xfId="0" applyFont="1" applyFill="1" applyBorder="1" applyAlignment="1">
      <alignment horizontal="center"/>
    </xf>
    <xf numFmtId="0" fontId="16" fillId="2" borderId="0" xfId="0" applyFont="1" applyFill="1" applyAlignment="1">
      <alignment vertical="center"/>
    </xf>
    <xf numFmtId="0" fontId="18" fillId="2" borderId="0" xfId="0" applyFont="1" applyFill="1" applyAlignment="1">
      <alignment horizontal="left" vertical="center" indent="1"/>
    </xf>
    <xf numFmtId="0" fontId="15" fillId="2" borderId="1" xfId="0" applyFont="1" applyFill="1" applyBorder="1" applyAlignment="1">
      <alignment horizontal="center" vertical="center" wrapText="1"/>
    </xf>
    <xf numFmtId="0" fontId="8" fillId="2" borderId="0" xfId="0" applyFont="1" applyFill="1" applyAlignment="1">
      <alignment horizontal="left" vertical="top" wrapText="1"/>
    </xf>
    <xf numFmtId="0" fontId="14" fillId="2" borderId="1" xfId="0" applyFont="1" applyFill="1" applyBorder="1" applyAlignment="1">
      <alignment horizontal="center"/>
    </xf>
    <xf numFmtId="3" fontId="14" fillId="2" borderId="1" xfId="0" applyNumberFormat="1" applyFont="1" applyFill="1" applyBorder="1"/>
    <xf numFmtId="0" fontId="16" fillId="2" borderId="1" xfId="0" applyFont="1" applyFill="1" applyBorder="1"/>
    <xf numFmtId="3" fontId="16" fillId="2" borderId="1" xfId="0" applyNumberFormat="1" applyFont="1" applyFill="1" applyBorder="1"/>
    <xf numFmtId="0" fontId="8" fillId="2" borderId="0" xfId="0" applyFont="1" applyFill="1" applyAlignment="1">
      <alignment horizontal="left" vertical="top"/>
    </xf>
    <xf numFmtId="0" fontId="2" fillId="0" borderId="0" xfId="0" applyFont="1" applyAlignment="1">
      <alignment horizontal="left" vertical="center"/>
    </xf>
    <xf numFmtId="0" fontId="21" fillId="0" borderId="0" xfId="0" applyFont="1"/>
    <xf numFmtId="0" fontId="6" fillId="2" borderId="0" xfId="0" applyFont="1" applyFill="1"/>
    <xf numFmtId="3" fontId="6" fillId="0" borderId="0" xfId="0" applyNumberFormat="1" applyFont="1"/>
    <xf numFmtId="0" fontId="16" fillId="0" borderId="0" xfId="0" applyFont="1"/>
    <xf numFmtId="0" fontId="3" fillId="2" borderId="0" xfId="0" applyFont="1" applyFill="1"/>
    <xf numFmtId="166" fontId="2" fillId="0" borderId="0" xfId="1" applyNumberFormat="1" applyFont="1"/>
    <xf numFmtId="0" fontId="16" fillId="2" borderId="0" xfId="0" applyFont="1" applyFill="1"/>
    <xf numFmtId="0" fontId="20" fillId="2" borderId="6" xfId="0" applyFont="1" applyFill="1" applyBorder="1"/>
    <xf numFmtId="0" fontId="20" fillId="2" borderId="6" xfId="0" applyFont="1" applyFill="1" applyBorder="1" applyAlignment="1">
      <alignment wrapText="1"/>
    </xf>
    <xf numFmtId="0" fontId="16" fillId="2" borderId="0" xfId="0" applyFont="1" applyFill="1" applyAlignment="1">
      <alignment horizontal="left" vertical="center"/>
    </xf>
    <xf numFmtId="0" fontId="6" fillId="0" borderId="0" xfId="0" applyFont="1" applyAlignment="1">
      <alignment horizontal="center"/>
    </xf>
    <xf numFmtId="167" fontId="16" fillId="2" borderId="1" xfId="0" applyNumberFormat="1" applyFont="1" applyFill="1" applyBorder="1"/>
    <xf numFmtId="0" fontId="15" fillId="2" borderId="1" xfId="0" applyFont="1" applyFill="1" applyBorder="1" applyAlignment="1">
      <alignment horizontal="center" vertical="center"/>
    </xf>
    <xf numFmtId="0" fontId="24" fillId="2" borderId="1" xfId="0" applyFont="1" applyFill="1" applyBorder="1" applyAlignment="1">
      <alignment horizontal="center" vertical="center"/>
    </xf>
    <xf numFmtId="0" fontId="15" fillId="2" borderId="2" xfId="0" applyFont="1" applyFill="1" applyBorder="1"/>
    <xf numFmtId="0" fontId="15" fillId="2" borderId="3" xfId="0" applyFont="1" applyFill="1" applyBorder="1"/>
    <xf numFmtId="0" fontId="15" fillId="2" borderId="4" xfId="0" applyFont="1" applyFill="1" applyBorder="1"/>
    <xf numFmtId="0" fontId="8" fillId="2" borderId="0" xfId="0" applyFont="1" applyFill="1" applyAlignment="1">
      <alignment vertical="top" wrapText="1"/>
    </xf>
    <xf numFmtId="168" fontId="2" fillId="0" borderId="0" xfId="0" applyNumberFormat="1" applyFont="1"/>
    <xf numFmtId="0" fontId="6" fillId="0" borderId="0" xfId="0" applyFont="1" applyAlignment="1">
      <alignment horizontal="left" vertical="top"/>
    </xf>
    <xf numFmtId="0" fontId="6" fillId="2" borderId="0" xfId="0" applyFont="1" applyFill="1" applyAlignment="1">
      <alignment horizontal="left" vertical="top"/>
    </xf>
    <xf numFmtId="0" fontId="28" fillId="2" borderId="0" xfId="0" applyFont="1" applyFill="1"/>
    <xf numFmtId="0" fontId="17" fillId="2" borderId="0" xfId="0" applyFont="1" applyFill="1"/>
    <xf numFmtId="0" fontId="6" fillId="0" borderId="0" xfId="0" applyFont="1" applyAlignment="1">
      <alignment vertical="top"/>
    </xf>
    <xf numFmtId="43" fontId="16" fillId="2" borderId="1" xfId="1" applyFont="1" applyFill="1" applyBorder="1"/>
    <xf numFmtId="43" fontId="15" fillId="2" borderId="1" xfId="1" applyFont="1" applyFill="1" applyBorder="1"/>
    <xf numFmtId="170" fontId="16" fillId="2" borderId="1" xfId="1" applyNumberFormat="1" applyFont="1" applyFill="1" applyBorder="1"/>
    <xf numFmtId="0" fontId="2" fillId="3" borderId="0" xfId="0" applyFont="1" applyFill="1"/>
    <xf numFmtId="43" fontId="2" fillId="3" borderId="0" xfId="1" applyFont="1" applyFill="1"/>
    <xf numFmtId="43" fontId="7" fillId="3" borderId="0" xfId="1" applyFont="1" applyFill="1"/>
    <xf numFmtId="43" fontId="2" fillId="3" borderId="0" xfId="0" applyNumberFormat="1" applyFont="1" applyFill="1"/>
    <xf numFmtId="43" fontId="7" fillId="3" borderId="0" xfId="0" applyNumberFormat="1" applyFont="1" applyFill="1"/>
    <xf numFmtId="0" fontId="6" fillId="0" borderId="1" xfId="0" applyFont="1" applyBorder="1" applyAlignment="1">
      <alignment horizontal="center" wrapText="1"/>
    </xf>
    <xf numFmtId="0" fontId="2" fillId="0" borderId="0" xfId="0" applyFont="1" applyAlignment="1">
      <alignment wrapText="1"/>
    </xf>
    <xf numFmtId="168" fontId="6" fillId="0" borderId="0" xfId="1" applyNumberFormat="1" applyFont="1" applyFill="1" applyBorder="1"/>
    <xf numFmtId="0" fontId="23" fillId="0" borderId="0" xfId="0" applyFont="1"/>
    <xf numFmtId="166" fontId="6" fillId="0" borderId="0" xfId="0" applyNumberFormat="1" applyFont="1"/>
    <xf numFmtId="0" fontId="6" fillId="0" borderId="1" xfId="0" applyFont="1" applyBorder="1"/>
    <xf numFmtId="168" fontId="6" fillId="0" borderId="1" xfId="1" applyNumberFormat="1" applyFont="1" applyFill="1" applyBorder="1" applyAlignment="1">
      <alignment horizontal="center"/>
    </xf>
    <xf numFmtId="168" fontId="26" fillId="0" borderId="0" xfId="0" applyNumberFormat="1" applyFont="1"/>
    <xf numFmtId="0" fontId="6" fillId="0" borderId="1" xfId="0" applyFont="1" applyBorder="1" applyAlignment="1">
      <alignment horizontal="center"/>
    </xf>
    <xf numFmtId="166" fontId="6" fillId="0" borderId="1" xfId="1" applyNumberFormat="1" applyFont="1" applyFill="1" applyBorder="1" applyAlignment="1">
      <alignment horizontal="center"/>
    </xf>
    <xf numFmtId="166" fontId="6" fillId="0" borderId="1" xfId="1" applyNumberFormat="1" applyFont="1" applyFill="1" applyBorder="1"/>
    <xf numFmtId="168" fontId="6" fillId="0" borderId="1" xfId="1" applyNumberFormat="1" applyFont="1" applyFill="1" applyBorder="1"/>
    <xf numFmtId="168" fontId="6" fillId="0" borderId="0" xfId="1" applyNumberFormat="1" applyFont="1" applyFill="1" applyBorder="1" applyAlignment="1">
      <alignment horizontal="center"/>
    </xf>
    <xf numFmtId="166" fontId="6" fillId="0" borderId="0" xfId="1" applyNumberFormat="1" applyFont="1" applyFill="1" applyBorder="1" applyAlignment="1">
      <alignment horizontal="center"/>
    </xf>
    <xf numFmtId="168" fontId="6" fillId="0" borderId="0" xfId="1" applyNumberFormat="1" applyFont="1" applyFill="1"/>
    <xf numFmtId="168" fontId="6" fillId="0" borderId="0" xfId="0" applyNumberFormat="1" applyFont="1"/>
    <xf numFmtId="0" fontId="6" fillId="0" borderId="0" xfId="0" applyFont="1" applyAlignment="1">
      <alignment horizontal="left" indent="4"/>
    </xf>
    <xf numFmtId="166" fontId="6" fillId="0" borderId="0" xfId="1" applyNumberFormat="1" applyFont="1" applyFill="1"/>
    <xf numFmtId="0" fontId="3" fillId="2" borderId="0" xfId="0" applyFont="1" applyFill="1" applyAlignment="1">
      <alignment vertical="center"/>
    </xf>
    <xf numFmtId="0" fontId="3" fillId="2" borderId="1" xfId="0" applyFont="1" applyFill="1" applyBorder="1" applyAlignment="1">
      <alignment horizontal="center" vertical="center"/>
    </xf>
    <xf numFmtId="3" fontId="3" fillId="2" borderId="1" xfId="0" applyNumberFormat="1" applyFont="1" applyFill="1" applyBorder="1" applyAlignment="1">
      <alignment horizontal="right" vertical="center" indent="2"/>
    </xf>
    <xf numFmtId="166" fontId="3" fillId="2" borderId="0" xfId="1" applyNumberFormat="1" applyFont="1" applyFill="1" applyBorder="1" applyAlignment="1">
      <alignment horizontal="center" vertical="center"/>
    </xf>
    <xf numFmtId="0" fontId="4" fillId="2" borderId="0" xfId="0" applyFont="1" applyFill="1" applyAlignment="1">
      <alignment vertical="center"/>
    </xf>
    <xf numFmtId="166" fontId="3" fillId="2" borderId="1" xfId="1" applyNumberFormat="1" applyFont="1" applyFill="1" applyBorder="1" applyAlignment="1">
      <alignment horizontal="right" vertical="center" indent="2"/>
    </xf>
    <xf numFmtId="166" fontId="3" fillId="2" borderId="1" xfId="1" applyNumberFormat="1" applyFont="1" applyFill="1" applyBorder="1" applyAlignment="1">
      <alignment horizontal="center" vertical="center"/>
    </xf>
    <xf numFmtId="0" fontId="3" fillId="2" borderId="0" xfId="0" applyFont="1" applyFill="1" applyAlignment="1">
      <alignment horizontal="center" vertical="center" wrapText="1"/>
    </xf>
    <xf numFmtId="168" fontId="3" fillId="2" borderId="0" xfId="1" applyNumberFormat="1" applyFont="1" applyFill="1"/>
    <xf numFmtId="168" fontId="3" fillId="2" borderId="0" xfId="0" applyNumberFormat="1" applyFont="1" applyFill="1"/>
    <xf numFmtId="0" fontId="29" fillId="2" borderId="0" xfId="0" applyFont="1" applyFill="1"/>
    <xf numFmtId="0" fontId="3" fillId="2" borderId="1" xfId="0" applyFont="1" applyFill="1" applyBorder="1" applyAlignment="1">
      <alignment horizontal="center"/>
    </xf>
    <xf numFmtId="9" fontId="3" fillId="2" borderId="0" xfId="0" applyNumberFormat="1" applyFont="1" applyFill="1"/>
    <xf numFmtId="168" fontId="26" fillId="3" borderId="0" xfId="0" applyNumberFormat="1" applyFont="1" applyFill="1"/>
    <xf numFmtId="0" fontId="3" fillId="2" borderId="0" xfId="0" applyFont="1" applyFill="1" applyAlignment="1">
      <alignment horizontal="center" vertical="center"/>
    </xf>
    <xf numFmtId="3" fontId="3" fillId="2" borderId="0" xfId="0" applyNumberFormat="1" applyFont="1" applyFill="1" applyAlignment="1">
      <alignment horizontal="right" vertical="center" indent="2"/>
    </xf>
    <xf numFmtId="168" fontId="6" fillId="3" borderId="0" xfId="0" applyNumberFormat="1" applyFont="1" applyFill="1"/>
    <xf numFmtId="0" fontId="13" fillId="3" borderId="0" xfId="0" applyFont="1" applyFill="1"/>
    <xf numFmtId="9" fontId="6" fillId="0" borderId="0" xfId="0" applyNumberFormat="1" applyFont="1" applyAlignment="1">
      <alignment horizontal="center"/>
    </xf>
    <xf numFmtId="0" fontId="4" fillId="2" borderId="0" xfId="0" applyFont="1" applyFill="1"/>
    <xf numFmtId="171" fontId="6" fillId="0" borderId="1" xfId="1" applyNumberFormat="1" applyFont="1" applyBorder="1"/>
    <xf numFmtId="171" fontId="8" fillId="0" borderId="0" xfId="1" applyNumberFormat="1" applyFont="1"/>
    <xf numFmtId="166" fontId="6" fillId="0" borderId="0" xfId="1" applyNumberFormat="1" applyFont="1"/>
    <xf numFmtId="3" fontId="2" fillId="0" borderId="0" xfId="0" applyNumberFormat="1" applyFont="1"/>
    <xf numFmtId="0" fontId="31" fillId="0" borderId="0" xfId="0" applyFont="1"/>
    <xf numFmtId="9" fontId="2" fillId="0" borderId="0" xfId="2" applyFont="1"/>
    <xf numFmtId="168" fontId="2" fillId="0" borderId="0" xfId="1" applyNumberFormat="1" applyFont="1"/>
    <xf numFmtId="0" fontId="7" fillId="0" borderId="0" xfId="0" applyFont="1"/>
    <xf numFmtId="168" fontId="7" fillId="0" borderId="0" xfId="1" applyNumberFormat="1" applyFont="1"/>
    <xf numFmtId="166" fontId="7" fillId="0" borderId="0" xfId="1" applyNumberFormat="1" applyFont="1"/>
    <xf numFmtId="165" fontId="6" fillId="0" borderId="0" xfId="0" applyNumberFormat="1" applyFont="1" applyAlignment="1">
      <alignment horizontal="center"/>
    </xf>
    <xf numFmtId="0" fontId="11" fillId="0" borderId="0" xfId="0" applyFont="1"/>
    <xf numFmtId="0" fontId="9" fillId="0" borderId="0" xfId="0" applyFont="1"/>
    <xf numFmtId="0" fontId="6" fillId="0" borderId="0" xfId="0" applyFont="1" applyAlignment="1">
      <alignment vertical="top" wrapText="1"/>
    </xf>
    <xf numFmtId="9" fontId="6" fillId="0" borderId="0" xfId="2" applyFont="1" applyAlignment="1">
      <alignment vertical="top"/>
    </xf>
    <xf numFmtId="0" fontId="22" fillId="0" borderId="0" xfId="0" applyFont="1"/>
    <xf numFmtId="0" fontId="22" fillId="0" borderId="1" xfId="0" applyFont="1" applyBorder="1" applyAlignment="1">
      <alignment horizontal="center"/>
    </xf>
    <xf numFmtId="177" fontId="22" fillId="0" borderId="0" xfId="0" applyNumberFormat="1" applyFont="1"/>
    <xf numFmtId="177" fontId="22" fillId="0" borderId="0" xfId="6" applyNumberFormat="1" applyFont="1"/>
    <xf numFmtId="37" fontId="22" fillId="0" borderId="1" xfId="6" applyNumberFormat="1" applyFont="1" applyBorder="1" applyAlignment="1">
      <alignment horizontal="right"/>
    </xf>
    <xf numFmtId="0" fontId="22" fillId="0" borderId="0" xfId="0" applyFont="1" applyAlignment="1">
      <alignment horizontal="left" vertical="center" wrapText="1"/>
    </xf>
    <xf numFmtId="167" fontId="22" fillId="0" borderId="1" xfId="0" applyNumberFormat="1" applyFont="1" applyBorder="1" applyAlignment="1">
      <alignment horizontal="center"/>
    </xf>
    <xf numFmtId="0" fontId="27" fillId="0" borderId="1" xfId="0" applyFont="1" applyBorder="1" applyAlignment="1">
      <alignment horizontal="center" wrapText="1"/>
    </xf>
    <xf numFmtId="0" fontId="27" fillId="0" borderId="1" xfId="0" applyFont="1" applyBorder="1" applyAlignment="1">
      <alignment horizontal="center" vertical="center"/>
    </xf>
    <xf numFmtId="0" fontId="22" fillId="0" borderId="0" xfId="0" applyFont="1" applyAlignment="1">
      <alignment vertical="center" wrapText="1"/>
    </xf>
    <xf numFmtId="0" fontId="16" fillId="4" borderId="0" xfId="0" applyFont="1" applyFill="1"/>
    <xf numFmtId="166" fontId="27" fillId="0" borderId="0" xfId="1" applyNumberFormat="1" applyFont="1"/>
    <xf numFmtId="0" fontId="8" fillId="2" borderId="0" xfId="0" applyFont="1" applyFill="1" applyAlignment="1">
      <alignment horizontal="left" wrapText="1"/>
    </xf>
    <xf numFmtId="0" fontId="6" fillId="0" borderId="0" xfId="0" applyFont="1" applyAlignment="1">
      <alignment horizontal="left" vertical="top" wrapText="1"/>
    </xf>
    <xf numFmtId="0" fontId="22" fillId="0" borderId="0" xfId="0" applyFont="1" applyAlignment="1">
      <alignment horizontal="center"/>
    </xf>
    <xf numFmtId="168" fontId="22" fillId="0" borderId="0" xfId="1" applyNumberFormat="1" applyFont="1"/>
    <xf numFmtId="168" fontId="33" fillId="0" borderId="0" xfId="1" applyNumberFormat="1" applyFont="1"/>
    <xf numFmtId="168" fontId="34" fillId="0" borderId="0" xfId="1" applyNumberFormat="1" applyFont="1"/>
    <xf numFmtId="0" fontId="2" fillId="0" borderId="0" xfId="0" applyFont="1" applyAlignment="1">
      <alignment horizontal="right"/>
    </xf>
    <xf numFmtId="0" fontId="20" fillId="0" borderId="0" xfId="0" applyFont="1"/>
    <xf numFmtId="0" fontId="14" fillId="0" borderId="0" xfId="0" applyFont="1"/>
    <xf numFmtId="0" fontId="14" fillId="0" borderId="0" xfId="0" applyFont="1" applyAlignment="1">
      <alignment horizontal="center"/>
    </xf>
    <xf numFmtId="0" fontId="35" fillId="0" borderId="0" xfId="0" applyFont="1"/>
    <xf numFmtId="168" fontId="14" fillId="0" borderId="0" xfId="1" applyNumberFormat="1" applyFont="1"/>
    <xf numFmtId="0" fontId="6" fillId="0" borderId="0" xfId="0" applyFont="1" applyAlignment="1">
      <alignment horizontal="right"/>
    </xf>
    <xf numFmtId="0" fontId="11" fillId="5" borderId="0" xfId="0" applyFont="1" applyFill="1"/>
    <xf numFmtId="0" fontId="16" fillId="5" borderId="0" xfId="0" applyFont="1" applyFill="1"/>
    <xf numFmtId="169" fontId="14" fillId="0" borderId="0" xfId="1" applyNumberFormat="1" applyFont="1" applyFill="1"/>
    <xf numFmtId="169" fontId="14" fillId="0" borderId="0" xfId="1" applyNumberFormat="1" applyFont="1"/>
    <xf numFmtId="170" fontId="14" fillId="0" borderId="0" xfId="1" applyNumberFormat="1" applyFont="1"/>
    <xf numFmtId="0" fontId="26" fillId="0" borderId="0" xfId="0" applyFont="1"/>
    <xf numFmtId="0" fontId="7" fillId="0" borderId="2" xfId="0" applyFont="1" applyBorder="1"/>
    <xf numFmtId="0" fontId="7" fillId="0" borderId="4" xfId="0" applyFont="1" applyBorder="1" applyAlignment="1">
      <alignment horizontal="right"/>
    </xf>
    <xf numFmtId="0" fontId="7" fillId="0" borderId="1" xfId="0" applyFont="1" applyBorder="1" applyAlignment="1">
      <alignment horizontal="center"/>
    </xf>
    <xf numFmtId="16" fontId="7" fillId="0" borderId="1" xfId="0" quotePrefix="1" applyNumberFormat="1" applyFont="1" applyBorder="1" applyAlignment="1">
      <alignment horizontal="center"/>
    </xf>
    <xf numFmtId="0" fontId="7" fillId="0" borderId="1" xfId="0" quotePrefix="1" applyFont="1" applyBorder="1" applyAlignment="1">
      <alignment horizontal="center"/>
    </xf>
    <xf numFmtId="169" fontId="2" fillId="0" borderId="1" xfId="1" applyNumberFormat="1" applyFont="1" applyBorder="1" applyAlignment="1">
      <alignment horizontal="right"/>
    </xf>
    <xf numFmtId="0" fontId="2" fillId="0" borderId="1" xfId="0" applyFont="1" applyBorder="1" applyAlignment="1">
      <alignment horizontal="center"/>
    </xf>
    <xf numFmtId="166" fontId="2" fillId="5" borderId="1" xfId="1" applyNumberFormat="1" applyFont="1" applyFill="1" applyBorder="1" applyAlignment="1">
      <alignment horizontal="right"/>
    </xf>
    <xf numFmtId="0" fontId="7" fillId="0" borderId="0" xfId="0" applyFont="1" applyAlignment="1">
      <alignment horizontal="right"/>
    </xf>
    <xf numFmtId="0" fontId="36" fillId="0" borderId="0" xfId="0" applyFont="1" applyAlignment="1">
      <alignment horizontal="center"/>
    </xf>
    <xf numFmtId="168" fontId="37" fillId="0" borderId="0" xfId="1" applyNumberFormat="1" applyFont="1"/>
    <xf numFmtId="168" fontId="37" fillId="0" borderId="0" xfId="0" applyNumberFormat="1" applyFont="1"/>
    <xf numFmtId="0" fontId="37" fillId="0" borderId="0" xfId="0" applyFont="1"/>
    <xf numFmtId="0" fontId="15" fillId="2" borderId="5" xfId="0" applyFont="1" applyFill="1" applyBorder="1" applyAlignment="1">
      <alignment horizontal="center" vertical="center" wrapText="1"/>
    </xf>
    <xf numFmtId="0" fontId="15" fillId="2" borderId="5" xfId="0" applyFont="1" applyFill="1" applyBorder="1" applyAlignment="1">
      <alignment wrapText="1"/>
    </xf>
    <xf numFmtId="0" fontId="15" fillId="2" borderId="5" xfId="0" applyFont="1" applyFill="1" applyBorder="1"/>
    <xf numFmtId="0" fontId="20" fillId="2" borderId="7" xfId="0" applyFont="1" applyFill="1" applyBorder="1"/>
    <xf numFmtId="0" fontId="20" fillId="2" borderId="7" xfId="0" applyFont="1" applyFill="1" applyBorder="1" applyAlignment="1">
      <alignment wrapText="1"/>
    </xf>
    <xf numFmtId="0" fontId="15" fillId="2" borderId="6" xfId="0" applyFont="1" applyFill="1" applyBorder="1" applyAlignment="1">
      <alignment horizontal="center" vertical="center" wrapText="1"/>
    </xf>
    <xf numFmtId="0" fontId="15" fillId="2" borderId="6" xfId="0" applyFont="1" applyFill="1" applyBorder="1" applyAlignment="1">
      <alignment wrapText="1"/>
    </xf>
    <xf numFmtId="0" fontId="15" fillId="2" borderId="6" xfId="0" applyFont="1" applyFill="1" applyBorder="1"/>
    <xf numFmtId="0" fontId="16" fillId="2" borderId="0" xfId="0" applyFont="1" applyFill="1" applyAlignment="1">
      <alignment horizontal="left" indent="5"/>
    </xf>
    <xf numFmtId="0" fontId="8" fillId="2" borderId="0" xfId="0" applyFont="1" applyFill="1" applyAlignment="1">
      <alignment horizontal="left"/>
    </xf>
    <xf numFmtId="16" fontId="4" fillId="2" borderId="1" xfId="0" quotePrefix="1" applyNumberFormat="1" applyFont="1" applyFill="1" applyBorder="1" applyAlignment="1">
      <alignment horizontal="center" vertical="center"/>
    </xf>
    <xf numFmtId="0" fontId="4" fillId="2" borderId="1" xfId="0" quotePrefix="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Continuous" vertical="center" wrapText="1"/>
    </xf>
    <xf numFmtId="0" fontId="7" fillId="2" borderId="4" xfId="0" applyFont="1" applyFill="1" applyBorder="1" applyAlignment="1">
      <alignment horizontal="centerContinuous"/>
    </xf>
    <xf numFmtId="0" fontId="4" fillId="2" borderId="1" xfId="0" applyFont="1" applyFill="1" applyBorder="1" applyAlignment="1">
      <alignment horizontal="center" wrapText="1"/>
    </xf>
    <xf numFmtId="10" fontId="3" fillId="2" borderId="0" xfId="0" applyNumberFormat="1" applyFont="1" applyFill="1"/>
    <xf numFmtId="164" fontId="3" fillId="2" borderId="0" xfId="0" applyNumberFormat="1" applyFont="1" applyFill="1"/>
    <xf numFmtId="0" fontId="3" fillId="2" borderId="0" xfId="0" applyFont="1" applyFill="1" applyAlignment="1">
      <alignment horizontal="left" vertical="center" indent="2"/>
    </xf>
    <xf numFmtId="0" fontId="3" fillId="2" borderId="0" xfId="0" applyFont="1" applyFill="1" applyAlignment="1">
      <alignment horizontal="left" vertical="top"/>
    </xf>
    <xf numFmtId="0" fontId="3" fillId="2" borderId="0" xfId="0" applyFont="1" applyFill="1" applyAlignment="1">
      <alignment horizontal="left"/>
    </xf>
    <xf numFmtId="0" fontId="3" fillId="2" borderId="0" xfId="0" applyFont="1" applyFill="1" applyAlignment="1">
      <alignment horizontal="left" vertical="top" wrapText="1"/>
    </xf>
    <xf numFmtId="0" fontId="3" fillId="2" borderId="0" xfId="0" applyFont="1" applyFill="1" applyAlignment="1">
      <alignment vertical="center" wrapText="1"/>
    </xf>
    <xf numFmtId="0" fontId="38" fillId="2" borderId="5" xfId="0" applyFont="1" applyFill="1" applyBorder="1" applyAlignment="1">
      <alignment horizontal="center" vertical="center" wrapText="1"/>
    </xf>
    <xf numFmtId="0" fontId="38" fillId="2" borderId="1" xfId="0" applyFont="1" applyFill="1" applyBorder="1" applyAlignment="1">
      <alignment horizontal="centerContinuous" vertical="center"/>
    </xf>
    <xf numFmtId="0" fontId="39" fillId="2" borderId="0" xfId="0" applyFont="1" applyFill="1"/>
    <xf numFmtId="0" fontId="38" fillId="2" borderId="6" xfId="0" applyFont="1" applyFill="1" applyBorder="1" applyAlignment="1">
      <alignment horizontal="center" vertical="center" wrapText="1"/>
    </xf>
    <xf numFmtId="0" fontId="38" fillId="2" borderId="1" xfId="0" applyFont="1" applyFill="1" applyBorder="1" applyAlignment="1">
      <alignment horizontal="center" vertical="center"/>
    </xf>
    <xf numFmtId="0" fontId="40" fillId="2" borderId="1" xfId="0" applyFont="1" applyFill="1" applyBorder="1" applyAlignment="1">
      <alignment horizontal="center" vertical="center"/>
    </xf>
    <xf numFmtId="0" fontId="40" fillId="2" borderId="1" xfId="0" applyFont="1" applyFill="1" applyBorder="1" applyAlignment="1">
      <alignment horizontal="right" vertical="center"/>
    </xf>
    <xf numFmtId="3" fontId="40" fillId="2" borderId="1" xfId="0" applyNumberFormat="1" applyFont="1" applyFill="1" applyBorder="1" applyAlignment="1">
      <alignment horizontal="right" vertical="center"/>
    </xf>
    <xf numFmtId="0" fontId="38" fillId="2" borderId="1" xfId="0" applyFont="1" applyFill="1" applyBorder="1" applyAlignment="1">
      <alignment horizontal="right" vertical="center"/>
    </xf>
    <xf numFmtId="0" fontId="25" fillId="2" borderId="0" xfId="0" applyFont="1" applyFill="1"/>
    <xf numFmtId="0" fontId="15" fillId="2" borderId="1" xfId="0" applyFont="1" applyFill="1" applyBorder="1" applyAlignment="1">
      <alignment horizontal="centerContinuous" vertical="center" wrapText="1"/>
    </xf>
    <xf numFmtId="0" fontId="16" fillId="2" borderId="1" xfId="0" applyFont="1" applyFill="1" applyBorder="1" applyAlignment="1">
      <alignment horizontal="center" vertical="center"/>
    </xf>
    <xf numFmtId="0" fontId="15" fillId="2" borderId="1" xfId="0" applyFont="1" applyFill="1" applyBorder="1" applyAlignment="1">
      <alignment horizontal="center"/>
    </xf>
    <xf numFmtId="0" fontId="26" fillId="0" borderId="1" xfId="0" applyFont="1" applyBorder="1" applyAlignment="1">
      <alignment horizontal="center" vertical="center"/>
    </xf>
    <xf numFmtId="9" fontId="6" fillId="5" borderId="1" xfId="0" applyNumberFormat="1" applyFont="1" applyFill="1" applyBorder="1" applyAlignment="1">
      <alignment horizontal="center" vertical="center"/>
    </xf>
    <xf numFmtId="0" fontId="6" fillId="0" borderId="0" xfId="0" applyFont="1" applyAlignment="1">
      <alignment horizontal="left"/>
    </xf>
    <xf numFmtId="0" fontId="15" fillId="3" borderId="1" xfId="0" applyFont="1" applyFill="1" applyBorder="1" applyAlignment="1">
      <alignment horizontal="centerContinuous" vertical="center" wrapText="1"/>
    </xf>
    <xf numFmtId="0" fontId="16" fillId="3" borderId="1" xfId="0" applyFont="1" applyFill="1" applyBorder="1" applyAlignment="1">
      <alignment horizontal="centerContinuous"/>
    </xf>
    <xf numFmtId="0" fontId="15" fillId="3" borderId="1" xfId="0" applyFont="1" applyFill="1" applyBorder="1" applyAlignment="1">
      <alignment horizontal="center" vertical="center" wrapText="1"/>
    </xf>
    <xf numFmtId="0" fontId="10" fillId="3" borderId="1" xfId="0" applyFont="1" applyFill="1" applyBorder="1" applyAlignment="1">
      <alignment horizontal="centerContinuous" vertical="center"/>
    </xf>
    <xf numFmtId="0" fontId="13" fillId="3" borderId="1" xfId="0" applyFont="1" applyFill="1" applyBorder="1" applyAlignment="1">
      <alignment horizontal="centerContinuous" vertical="center"/>
    </xf>
    <xf numFmtId="0" fontId="16" fillId="3" borderId="1" xfId="0" applyFont="1" applyFill="1" applyBorder="1" applyAlignment="1">
      <alignment horizontal="left" vertical="center"/>
    </xf>
    <xf numFmtId="0" fontId="16" fillId="3" borderId="1" xfId="0" applyFont="1" applyFill="1" applyBorder="1" applyAlignment="1">
      <alignment horizontal="left"/>
    </xf>
    <xf numFmtId="0" fontId="16" fillId="3" borderId="1" xfId="0" applyFont="1" applyFill="1" applyBorder="1" applyAlignment="1">
      <alignment vertical="center" wrapText="1"/>
    </xf>
    <xf numFmtId="0" fontId="16" fillId="3" borderId="1" xfId="0" applyFont="1" applyFill="1" applyBorder="1" applyAlignment="1">
      <alignment vertical="center"/>
    </xf>
    <xf numFmtId="0" fontId="16" fillId="3" borderId="1" xfId="0" applyFont="1" applyFill="1" applyBorder="1"/>
    <xf numFmtId="0" fontId="43" fillId="0" borderId="0" xfId="0" applyFont="1" applyAlignment="1">
      <alignment horizontal="center"/>
    </xf>
    <xf numFmtId="0" fontId="4"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0" fontId="3" fillId="2" borderId="0" xfId="0" applyFont="1" applyFill="1" applyAlignment="1">
      <alignment horizontal="left" vertical="center" indent="4"/>
    </xf>
    <xf numFmtId="0" fontId="25" fillId="2" borderId="2" xfId="0" applyFont="1" applyFill="1" applyBorder="1"/>
    <xf numFmtId="0" fontId="3" fillId="4" borderId="1" xfId="0" applyFont="1" applyFill="1" applyBorder="1"/>
    <xf numFmtId="0" fontId="41" fillId="2" borderId="0" xfId="0" applyFont="1" applyFill="1" applyAlignment="1">
      <alignment horizontal="left" vertical="center" indent="4"/>
    </xf>
    <xf numFmtId="0" fontId="3" fillId="2" borderId="0" xfId="0" applyFont="1" applyFill="1" applyAlignment="1">
      <alignment horizontal="center"/>
    </xf>
    <xf numFmtId="0" fontId="3" fillId="4" borderId="0" xfId="0" applyFont="1" applyFill="1"/>
    <xf numFmtId="0" fontId="40" fillId="2" borderId="0" xfId="0" applyFont="1" applyFill="1"/>
    <xf numFmtId="0" fontId="29" fillId="6" borderId="0" xfId="0" applyFont="1" applyFill="1"/>
    <xf numFmtId="0" fontId="44" fillId="4" borderId="0" xfId="0" applyFont="1" applyFill="1"/>
    <xf numFmtId="0" fontId="3" fillId="2" borderId="0" xfId="0" applyFont="1" applyFill="1" applyAlignment="1">
      <alignment horizontal="left" vertical="center" wrapText="1"/>
    </xf>
    <xf numFmtId="0" fontId="4" fillId="2" borderId="1" xfId="0" applyFont="1" applyFill="1" applyBorder="1" applyAlignment="1">
      <alignment horizontal="center"/>
    </xf>
    <xf numFmtId="0" fontId="3" fillId="2" borderId="1" xfId="0" applyFont="1" applyFill="1" applyBorder="1" applyAlignment="1">
      <alignment vertical="center"/>
    </xf>
    <xf numFmtId="0" fontId="4" fillId="4" borderId="0" xfId="0" applyFont="1" applyFill="1"/>
    <xf numFmtId="0" fontId="4"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right" vertical="center" wrapText="1" indent="1"/>
    </xf>
    <xf numFmtId="0" fontId="3" fillId="2" borderId="1" xfId="0" applyFont="1" applyFill="1" applyBorder="1" applyAlignment="1">
      <alignment horizontal="right" vertical="center" wrapText="1" inden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0" fontId="44" fillId="2" borderId="0" xfId="0" applyFont="1" applyFill="1"/>
    <xf numFmtId="3" fontId="3" fillId="2" borderId="1" xfId="0" applyNumberFormat="1" applyFont="1" applyFill="1" applyBorder="1" applyAlignment="1">
      <alignment horizontal="right" vertical="top" wrapText="1"/>
    </xf>
    <xf numFmtId="9" fontId="3" fillId="2" borderId="1" xfId="0" applyNumberFormat="1" applyFont="1" applyFill="1" applyBorder="1" applyAlignment="1">
      <alignment horizontal="right" vertical="top" wrapText="1"/>
    </xf>
    <xf numFmtId="0" fontId="45" fillId="2" borderId="0" xfId="0" applyFont="1" applyFill="1" applyAlignment="1">
      <alignment horizontal="left" vertical="center" indent="4"/>
    </xf>
    <xf numFmtId="0" fontId="3" fillId="2" borderId="0" xfId="0" applyFont="1" applyFill="1" applyAlignment="1">
      <alignment horizontal="left" vertical="center" indent="9"/>
    </xf>
    <xf numFmtId="0" fontId="4" fillId="2" borderId="2" xfId="0" applyFont="1" applyFill="1" applyBorder="1" applyAlignment="1">
      <alignment horizontal="right" vertical="top" indent="1"/>
    </xf>
    <xf numFmtId="0" fontId="4" fillId="2" borderId="2" xfId="0" applyFont="1" applyFill="1" applyBorder="1" applyAlignment="1">
      <alignment horizontal="right" vertical="top" wrapText="1" inden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xf>
    <xf numFmtId="0" fontId="2" fillId="0" borderId="0" xfId="3" applyFont="1">
      <alignment vertical="center"/>
    </xf>
    <xf numFmtId="0" fontId="2" fillId="0" borderId="8" xfId="3" applyFont="1" applyBorder="1">
      <alignment vertical="center"/>
    </xf>
    <xf numFmtId="0" fontId="3" fillId="2" borderId="0" xfId="0" applyFont="1" applyFill="1" applyAlignment="1">
      <alignment horizontal="left" vertical="center"/>
    </xf>
    <xf numFmtId="43" fontId="3" fillId="4" borderId="1" xfId="1" applyFont="1" applyFill="1" applyBorder="1" applyAlignment="1">
      <alignment horizontal="center" vertical="center"/>
    </xf>
    <xf numFmtId="0" fontId="3" fillId="2" borderId="1" xfId="0" applyFont="1" applyFill="1" applyBorder="1" applyAlignment="1">
      <alignment horizontal="left" indent="1"/>
    </xf>
    <xf numFmtId="164" fontId="3" fillId="2" borderId="1" xfId="2" applyNumberFormat="1" applyFont="1" applyFill="1" applyBorder="1" applyAlignment="1">
      <alignment horizontal="center"/>
    </xf>
    <xf numFmtId="168" fontId="3" fillId="2" borderId="1" xfId="1" applyNumberFormat="1" applyFont="1" applyFill="1" applyBorder="1" applyAlignment="1">
      <alignment horizontal="center"/>
    </xf>
    <xf numFmtId="169" fontId="3" fillId="2" borderId="1" xfId="1" applyNumberFormat="1" applyFont="1" applyFill="1" applyBorder="1" applyAlignment="1">
      <alignment horizontal="center"/>
    </xf>
    <xf numFmtId="164" fontId="3" fillId="2" borderId="0" xfId="2" applyNumberFormat="1" applyFont="1" applyFill="1" applyBorder="1" applyAlignment="1">
      <alignment horizontal="center"/>
    </xf>
    <xf numFmtId="0" fontId="16" fillId="2" borderId="1" xfId="0" applyFont="1" applyFill="1" applyBorder="1" applyAlignment="1">
      <alignment horizontal="center" vertical="center" wrapText="1"/>
    </xf>
    <xf numFmtId="0" fontId="18" fillId="2" borderId="0" xfId="0" applyFont="1" applyFill="1" applyAlignment="1">
      <alignment horizontal="left" vertical="center" indent="5"/>
    </xf>
    <xf numFmtId="0" fontId="15" fillId="0" borderId="1" xfId="0" applyFont="1" applyBorder="1" applyAlignment="1">
      <alignment horizontal="centerContinuous" vertical="center" wrapText="1"/>
    </xf>
    <xf numFmtId="0" fontId="16" fillId="0" borderId="1" xfId="0" applyFont="1" applyBorder="1" applyAlignment="1">
      <alignment horizontal="center" vertical="center"/>
    </xf>
    <xf numFmtId="175" fontId="16" fillId="0" borderId="1" xfId="0" applyNumberFormat="1" applyFont="1" applyBorder="1" applyAlignment="1">
      <alignment horizontal="center" vertical="center" wrapText="1"/>
    </xf>
    <xf numFmtId="0" fontId="41" fillId="2" borderId="0" xfId="0" applyFont="1" applyFill="1" applyAlignment="1">
      <alignment horizontal="left" vertical="center" indent="5"/>
    </xf>
    <xf numFmtId="0" fontId="3" fillId="2" borderId="1" xfId="0" applyFont="1" applyFill="1" applyBorder="1" applyAlignment="1">
      <alignment horizontal="right"/>
    </xf>
    <xf numFmtId="0" fontId="3" fillId="2" borderId="0" xfId="0" applyFont="1" applyFill="1" applyAlignment="1">
      <alignment horizontal="right"/>
    </xf>
    <xf numFmtId="4" fontId="3" fillId="2" borderId="1" xfId="0" applyNumberFormat="1" applyFont="1" applyFill="1" applyBorder="1" applyAlignment="1">
      <alignment horizontal="right"/>
    </xf>
    <xf numFmtId="9" fontId="3" fillId="2" borderId="1" xfId="0" applyNumberFormat="1" applyFont="1" applyFill="1" applyBorder="1" applyAlignment="1">
      <alignment horizontal="right"/>
    </xf>
    <xf numFmtId="3" fontId="16" fillId="2" borderId="1" xfId="0" applyNumberFormat="1" applyFont="1" applyFill="1" applyBorder="1" applyAlignment="1">
      <alignment horizontal="right" vertical="center" indent="2"/>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wrapText="1"/>
    </xf>
    <xf numFmtId="0" fontId="4" fillId="2" borderId="4" xfId="0" applyFont="1" applyFill="1" applyBorder="1" applyAlignment="1">
      <alignment horizontal="centerContinuous" vertical="center" wrapText="1"/>
    </xf>
    <xf numFmtId="3" fontId="3" fillId="2" borderId="0" xfId="0" applyNumberFormat="1" applyFont="1" applyFill="1"/>
    <xf numFmtId="0" fontId="3" fillId="2" borderId="0" xfId="0" applyFont="1" applyFill="1" applyAlignment="1">
      <alignment horizontal="left" vertical="center" indent="1"/>
    </xf>
    <xf numFmtId="0" fontId="41" fillId="2" borderId="0" xfId="0" applyFont="1" applyFill="1" applyAlignment="1">
      <alignment horizontal="left" vertical="center"/>
    </xf>
    <xf numFmtId="3" fontId="3" fillId="2" borderId="1" xfId="0" applyNumberFormat="1" applyFont="1" applyFill="1" applyBorder="1" applyAlignment="1">
      <alignment horizontal="left" vertical="center" indent="3"/>
    </xf>
    <xf numFmtId="3" fontId="3" fillId="2" borderId="1" xfId="0" applyNumberFormat="1" applyFont="1" applyFill="1" applyBorder="1" applyAlignment="1">
      <alignment horizontal="right" vertical="center" indent="1"/>
    </xf>
    <xf numFmtId="0" fontId="3" fillId="2" borderId="1" xfId="0" applyFont="1" applyFill="1" applyBorder="1" applyAlignment="1">
      <alignment horizontal="left" vertical="center" indent="3"/>
    </xf>
    <xf numFmtId="0" fontId="3" fillId="2" borderId="1" xfId="0" applyFont="1" applyFill="1" applyBorder="1" applyAlignment="1">
      <alignment horizontal="right" vertical="center" indent="2"/>
    </xf>
    <xf numFmtId="0" fontId="41" fillId="2" borderId="0" xfId="0" applyFont="1" applyFill="1" applyAlignment="1">
      <alignment horizontal="left" vertical="center" indent="1"/>
    </xf>
    <xf numFmtId="0" fontId="4" fillId="2" borderId="0" xfId="0" applyFont="1" applyFill="1" applyAlignment="1">
      <alignment horizontal="center" vertical="center"/>
    </xf>
    <xf numFmtId="0" fontId="3" fillId="2" borderId="0" xfId="0" applyFont="1" applyFill="1" applyAlignment="1">
      <alignment horizontal="right" vertical="center"/>
    </xf>
    <xf numFmtId="0" fontId="4" fillId="2" borderId="3" xfId="0" applyFont="1" applyFill="1" applyBorder="1" applyAlignment="1">
      <alignment horizontal="right"/>
    </xf>
    <xf numFmtId="3" fontId="3" fillId="2" borderId="0" xfId="0" applyNumberFormat="1" applyFont="1" applyFill="1" applyAlignment="1">
      <alignment horizontal="left" indent="5"/>
    </xf>
    <xf numFmtId="0" fontId="3" fillId="2" borderId="0" xfId="0" applyFont="1" applyFill="1" applyAlignment="1">
      <alignment horizontal="left" indent="5"/>
    </xf>
    <xf numFmtId="0" fontId="40" fillId="2" borderId="0" xfId="0" applyFont="1" applyFill="1" applyAlignment="1">
      <alignment horizontal="center" vertical="center"/>
    </xf>
    <xf numFmtId="9" fontId="3" fillId="2" borderId="1" xfId="0" applyNumberFormat="1" applyFont="1" applyFill="1" applyBorder="1" applyAlignment="1">
      <alignment horizontal="center" vertical="center" wrapText="1"/>
    </xf>
    <xf numFmtId="9" fontId="3" fillId="2" borderId="0" xfId="0" applyNumberFormat="1" applyFont="1" applyFill="1" applyAlignment="1">
      <alignment horizontal="center" vertical="center"/>
    </xf>
    <xf numFmtId="9" fontId="3" fillId="2" borderId="0" xfId="0" applyNumberFormat="1" applyFont="1" applyFill="1" applyAlignment="1">
      <alignment horizontal="center" vertical="center" wrapText="1"/>
    </xf>
    <xf numFmtId="9" fontId="3" fillId="2" borderId="1" xfId="2" applyFont="1" applyFill="1" applyBorder="1" applyAlignment="1">
      <alignment horizontal="right" vertical="center" wrapText="1"/>
    </xf>
    <xf numFmtId="170" fontId="16" fillId="2" borderId="1" xfId="1" applyNumberFormat="1" applyFont="1" applyFill="1" applyBorder="1" applyAlignment="1">
      <alignment horizontal="center" vertical="center"/>
    </xf>
    <xf numFmtId="9" fontId="6" fillId="0" borderId="1" xfId="0" applyNumberFormat="1" applyFont="1" applyBorder="1" applyAlignment="1">
      <alignment horizontal="center" vertical="center"/>
    </xf>
    <xf numFmtId="1" fontId="6" fillId="6" borderId="1" xfId="0" applyNumberFormat="1" applyFont="1" applyFill="1" applyBorder="1" applyAlignment="1">
      <alignment horizontal="center" vertical="center"/>
    </xf>
    <xf numFmtId="0" fontId="47" fillId="0" borderId="5" xfId="0" applyFont="1" applyBorder="1" applyAlignment="1">
      <alignment horizontal="center"/>
    </xf>
    <xf numFmtId="0" fontId="47" fillId="0" borderId="7" xfId="0" applyFont="1" applyBorder="1" applyAlignment="1">
      <alignment horizontal="center"/>
    </xf>
    <xf numFmtId="0" fontId="47" fillId="0" borderId="6" xfId="0" applyFont="1" applyBorder="1" applyAlignment="1">
      <alignment horizontal="center"/>
    </xf>
    <xf numFmtId="0" fontId="6" fillId="3" borderId="0" xfId="0" applyFont="1" applyFill="1"/>
    <xf numFmtId="0" fontId="2" fillId="3" borderId="0" xfId="0" applyFont="1" applyFill="1" applyAlignment="1">
      <alignment wrapText="1"/>
    </xf>
    <xf numFmtId="168" fontId="2" fillId="3" borderId="0" xfId="0" applyNumberFormat="1" applyFont="1" applyFill="1"/>
    <xf numFmtId="9" fontId="2" fillId="0" borderId="1" xfId="5" applyFont="1" applyBorder="1" applyAlignment="1">
      <alignment horizontal="center" vertical="center"/>
    </xf>
    <xf numFmtId="0" fontId="2" fillId="0" borderId="1" xfId="3" applyFont="1" applyBorder="1" applyAlignment="1">
      <alignment horizontal="center" vertical="center" wrapText="1"/>
    </xf>
    <xf numFmtId="0" fontId="2" fillId="0" borderId="5" xfId="3" applyFont="1" applyBorder="1" applyAlignment="1">
      <alignment horizontal="center" vertical="center" wrapText="1"/>
    </xf>
    <xf numFmtId="0" fontId="2" fillId="0" borderId="0" xfId="0" applyFont="1" applyAlignment="1">
      <alignment horizontal="left" indent="2"/>
    </xf>
    <xf numFmtId="0" fontId="2" fillId="0" borderId="1" xfId="0" applyFont="1" applyBorder="1"/>
    <xf numFmtId="175" fontId="2" fillId="0" borderId="1" xfId="0" applyNumberFormat="1" applyFont="1" applyBorder="1"/>
    <xf numFmtId="9" fontId="2" fillId="0" borderId="1" xfId="2" applyFont="1" applyBorder="1"/>
    <xf numFmtId="164" fontId="2" fillId="0" borderId="1" xfId="2" applyNumberFormat="1" applyFont="1" applyBorder="1"/>
    <xf numFmtId="3" fontId="2" fillId="0" borderId="1" xfId="0" applyNumberFormat="1" applyFont="1" applyBorder="1"/>
    <xf numFmtId="166" fontId="2" fillId="0" borderId="1" xfId="1" applyNumberFormat="1" applyFont="1" applyBorder="1"/>
    <xf numFmtId="168" fontId="2" fillId="0" borderId="1" xfId="1" applyNumberFormat="1" applyFont="1" applyBorder="1"/>
    <xf numFmtId="168" fontId="6" fillId="0" borderId="1" xfId="1" applyNumberFormat="1" applyFont="1" applyBorder="1" applyAlignment="1">
      <alignment vertical="top"/>
    </xf>
    <xf numFmtId="164" fontId="6" fillId="0" borderId="1" xfId="2" applyNumberFormat="1" applyFont="1" applyBorder="1" applyAlignment="1">
      <alignment vertical="top"/>
    </xf>
    <xf numFmtId="166" fontId="2" fillId="0" borderId="0" xfId="0" applyNumberFormat="1" applyFont="1" applyAlignment="1">
      <alignment vertical="center"/>
    </xf>
    <xf numFmtId="0" fontId="22" fillId="0" borderId="1" xfId="0" applyFont="1" applyBorder="1" applyAlignment="1">
      <alignment vertical="center" wrapText="1"/>
    </xf>
    <xf numFmtId="177" fontId="22" fillId="0" borderId="1" xfId="6" applyNumberFormat="1" applyFont="1" applyBorder="1" applyAlignment="1">
      <alignment vertical="center" wrapText="1"/>
    </xf>
    <xf numFmtId="0" fontId="22" fillId="0" borderId="1" xfId="0" applyFont="1" applyBorder="1"/>
    <xf numFmtId="177" fontId="22" fillId="0" borderId="1" xfId="6" applyNumberFormat="1" applyFont="1" applyBorder="1"/>
    <xf numFmtId="177" fontId="22" fillId="0" borderId="1" xfId="0" applyNumberFormat="1" applyFont="1" applyBorder="1" applyAlignment="1">
      <alignment vertical="center"/>
    </xf>
    <xf numFmtId="166" fontId="27" fillId="0" borderId="1" xfId="1" applyNumberFormat="1" applyFont="1" applyBorder="1"/>
    <xf numFmtId="0" fontId="48" fillId="0" borderId="1" xfId="0" applyFont="1" applyBorder="1"/>
    <xf numFmtId="0" fontId="48" fillId="0" borderId="1" xfId="0" applyFont="1" applyBorder="1" applyAlignment="1">
      <alignment wrapText="1"/>
    </xf>
    <xf numFmtId="43" fontId="6" fillId="0" borderId="0" xfId="0" applyNumberFormat="1" applyFont="1" applyAlignment="1">
      <alignment vertical="top"/>
    </xf>
    <xf numFmtId="173" fontId="2" fillId="0" borderId="1" xfId="4" applyNumberFormat="1" applyFont="1" applyBorder="1" applyAlignment="1">
      <alignment vertical="center"/>
    </xf>
    <xf numFmtId="173" fontId="2" fillId="0" borderId="1" xfId="3" applyNumberFormat="1" applyFont="1" applyBorder="1">
      <alignment vertical="center"/>
    </xf>
    <xf numFmtId="9" fontId="2" fillId="0" borderId="2" xfId="5" applyFont="1" applyBorder="1" applyAlignment="1">
      <alignment horizontal="center" vertical="center"/>
    </xf>
    <xf numFmtId="9" fontId="2" fillId="0" borderId="3" xfId="5" applyFont="1" applyBorder="1" applyAlignment="1">
      <alignment horizontal="center" vertical="center"/>
    </xf>
    <xf numFmtId="173" fontId="7" fillId="0" borderId="1" xfId="3" applyNumberFormat="1" applyFont="1" applyBorder="1">
      <alignment vertical="center"/>
    </xf>
    <xf numFmtId="43" fontId="2" fillId="0" borderId="0" xfId="0" applyNumberFormat="1" applyFont="1"/>
    <xf numFmtId="0" fontId="49" fillId="2" borderId="0" xfId="0" applyFont="1" applyFill="1"/>
    <xf numFmtId="0" fontId="50" fillId="2" borderId="0" xfId="0" applyFont="1" applyFill="1" applyAlignment="1">
      <alignment horizontal="left" vertical="center" indent="2"/>
    </xf>
    <xf numFmtId="169" fontId="52" fillId="0" borderId="1" xfId="1" applyNumberFormat="1" applyFont="1" applyBorder="1" applyAlignment="1">
      <alignment horizontal="right"/>
    </xf>
    <xf numFmtId="0" fontId="53" fillId="0" borderId="0" xfId="0" applyFont="1"/>
    <xf numFmtId="0" fontId="2" fillId="0" borderId="0" xfId="0" applyFont="1" applyAlignment="1">
      <alignment horizontal="left" vertical="center" indent="5"/>
    </xf>
    <xf numFmtId="0" fontId="21" fillId="3" borderId="0" xfId="0" applyFont="1" applyFill="1" applyAlignment="1">
      <alignment vertical="top"/>
    </xf>
    <xf numFmtId="0" fontId="6" fillId="3" borderId="0" xfId="0" applyFont="1" applyFill="1" applyAlignment="1">
      <alignment vertical="top"/>
    </xf>
    <xf numFmtId="0" fontId="10" fillId="2" borderId="1" xfId="0" applyFont="1" applyFill="1" applyBorder="1" applyAlignment="1">
      <alignment horizontal="right"/>
    </xf>
    <xf numFmtId="3" fontId="8" fillId="2" borderId="1" xfId="0" applyNumberFormat="1" applyFont="1" applyFill="1" applyBorder="1" applyAlignment="1">
      <alignment horizontal="left" vertical="top"/>
    </xf>
    <xf numFmtId="0" fontId="8" fillId="2" borderId="2" xfId="0" applyFont="1" applyFill="1" applyBorder="1" applyAlignment="1">
      <alignment horizontal="left" vertical="top"/>
    </xf>
    <xf numFmtId="0" fontId="10" fillId="2" borderId="4" xfId="0" applyFont="1" applyFill="1" applyBorder="1" applyAlignment="1">
      <alignment horizontal="right" vertical="top"/>
    </xf>
    <xf numFmtId="3" fontId="8" fillId="2" borderId="1" xfId="0" applyNumberFormat="1" applyFont="1" applyFill="1" applyBorder="1"/>
    <xf numFmtId="0" fontId="8" fillId="2" borderId="3" xfId="0" applyFont="1" applyFill="1" applyBorder="1" applyAlignment="1">
      <alignment horizontal="left" vertical="top"/>
    </xf>
    <xf numFmtId="0" fontId="10" fillId="2" borderId="3" xfId="0" applyFont="1" applyFill="1" applyBorder="1" applyAlignment="1">
      <alignment horizontal="center" vertical="top"/>
    </xf>
    <xf numFmtId="0" fontId="10" fillId="2" borderId="3" xfId="0" applyFont="1" applyFill="1" applyBorder="1" applyAlignment="1">
      <alignment horizontal="right" vertical="top"/>
    </xf>
    <xf numFmtId="0" fontId="8" fillId="2" borderId="1" xfId="0" applyFont="1" applyFill="1" applyBorder="1"/>
    <xf numFmtId="0" fontId="10" fillId="2" borderId="1" xfId="0" applyFont="1" applyFill="1" applyBorder="1" applyAlignment="1">
      <alignment horizontal="right" vertical="top"/>
    </xf>
    <xf numFmtId="182" fontId="8" fillId="2" borderId="3" xfId="0" applyNumberFormat="1" applyFont="1" applyFill="1" applyBorder="1" applyAlignment="1">
      <alignment horizontal="center" vertical="top"/>
    </xf>
    <xf numFmtId="9" fontId="10" fillId="2" borderId="1" xfId="0" applyNumberFormat="1" applyFont="1" applyFill="1" applyBorder="1" applyAlignment="1">
      <alignment horizontal="left"/>
    </xf>
    <xf numFmtId="9" fontId="8" fillId="2" borderId="1" xfId="0" applyNumberFormat="1" applyFont="1" applyFill="1" applyBorder="1"/>
    <xf numFmtId="0" fontId="8" fillId="2" borderId="3" xfId="0" applyFont="1" applyFill="1" applyBorder="1" applyAlignment="1">
      <alignment horizontal="centerContinuous" vertical="top" wrapText="1"/>
    </xf>
    <xf numFmtId="0" fontId="10" fillId="2" borderId="1" xfId="0" applyFont="1" applyFill="1" applyBorder="1" applyAlignment="1">
      <alignment horizontal="left"/>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8" fillId="2" borderId="1" xfId="0" applyFont="1" applyFill="1" applyBorder="1" applyAlignment="1">
      <alignment vertical="center"/>
    </xf>
    <xf numFmtId="9" fontId="8" fillId="2" borderId="1" xfId="0" applyNumberFormat="1" applyFont="1" applyFill="1" applyBorder="1" applyAlignment="1">
      <alignment horizontal="center" vertical="center"/>
    </xf>
    <xf numFmtId="9" fontId="8" fillId="2" borderId="1" xfId="2" applyFont="1" applyFill="1" applyBorder="1" applyAlignment="1">
      <alignment horizontal="center" vertical="center" wrapText="1"/>
    </xf>
    <xf numFmtId="0" fontId="8" fillId="2" borderId="2" xfId="0" applyFont="1" applyFill="1" applyBorder="1" applyAlignment="1">
      <alignment vertical="center"/>
    </xf>
    <xf numFmtId="9" fontId="8" fillId="2" borderId="4" xfId="0" applyNumberFormat="1" applyFont="1" applyFill="1" applyBorder="1" applyAlignment="1">
      <alignment horizontal="center" vertical="center"/>
    </xf>
    <xf numFmtId="0" fontId="8" fillId="2" borderId="1" xfId="0" applyFont="1" applyFill="1" applyBorder="1" applyAlignment="1">
      <alignment vertical="center" wrapText="1"/>
    </xf>
    <xf numFmtId="0" fontId="10" fillId="2" borderId="2" xfId="0" applyFont="1" applyFill="1" applyBorder="1" applyAlignment="1">
      <alignment horizontal="centerContinuous" vertical="center"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10" fillId="2" borderId="1" xfId="0" applyFont="1" applyFill="1" applyBorder="1" applyAlignment="1">
      <alignment horizontal="center" vertical="center" wrapText="1"/>
    </xf>
    <xf numFmtId="0" fontId="8" fillId="2" borderId="2" xfId="0" applyFont="1" applyFill="1" applyBorder="1" applyAlignment="1">
      <alignment horizontal="left" vertical="center"/>
    </xf>
    <xf numFmtId="0" fontId="9" fillId="2" borderId="2" xfId="0" applyFont="1" applyFill="1" applyBorder="1"/>
    <xf numFmtId="0" fontId="10" fillId="2" borderId="4" xfId="0" applyFont="1" applyFill="1" applyBorder="1" applyAlignment="1">
      <alignment horizontal="right"/>
    </xf>
    <xf numFmtId="0" fontId="8" fillId="4" borderId="1" xfId="0" applyFont="1" applyFill="1" applyBorder="1"/>
    <xf numFmtId="164" fontId="8" fillId="2" borderId="1" xfId="0" applyNumberFormat="1" applyFont="1" applyFill="1" applyBorder="1"/>
    <xf numFmtId="0" fontId="2" fillId="0" borderId="2" xfId="0" applyFont="1" applyBorder="1"/>
    <xf numFmtId="0" fontId="2" fillId="0" borderId="4" xfId="3" applyFont="1" applyBorder="1" applyAlignment="1">
      <alignment horizontal="center" vertical="center"/>
    </xf>
    <xf numFmtId="0" fontId="2" fillId="0" borderId="2" xfId="3" applyFont="1" applyBorder="1" applyAlignment="1">
      <alignment horizontal="center" vertical="center"/>
    </xf>
    <xf numFmtId="3" fontId="2" fillId="0" borderId="1" xfId="3" applyNumberFormat="1" applyFont="1" applyBorder="1" applyAlignment="1">
      <alignment horizontal="center"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3" fontId="7" fillId="0" borderId="1" xfId="3" applyNumberFormat="1" applyFont="1" applyBorder="1" applyAlignment="1">
      <alignment horizontal="center" vertical="center"/>
    </xf>
    <xf numFmtId="9" fontId="7" fillId="0" borderId="1" xfId="5" applyFont="1" applyBorder="1" applyAlignment="1">
      <alignment horizontal="center" vertical="center"/>
    </xf>
    <xf numFmtId="9" fontId="7" fillId="0" borderId="3" xfId="5" applyFont="1" applyBorder="1" applyAlignment="1">
      <alignment horizontal="center" vertical="center"/>
    </xf>
    <xf numFmtId="9" fontId="7" fillId="0" borderId="4" xfId="5" applyFont="1" applyBorder="1" applyAlignment="1">
      <alignment horizontal="center" vertical="center"/>
    </xf>
    <xf numFmtId="0" fontId="7" fillId="0" borderId="5" xfId="3" applyFont="1" applyBorder="1" applyAlignment="1">
      <alignment horizontal="center" vertical="center" wrapText="1"/>
    </xf>
    <xf numFmtId="173" fontId="7" fillId="0" borderId="1" xfId="4" applyNumberFormat="1" applyFont="1" applyBorder="1" applyAlignment="1">
      <alignment vertical="center"/>
    </xf>
    <xf numFmtId="0" fontId="7" fillId="0" borderId="1" xfId="3" applyFont="1" applyBorder="1" applyAlignment="1">
      <alignment horizontal="center" vertical="center" wrapText="1"/>
    </xf>
    <xf numFmtId="0" fontId="2" fillId="0" borderId="1" xfId="3" applyFont="1" applyBorder="1">
      <alignment vertical="center"/>
    </xf>
    <xf numFmtId="3" fontId="2" fillId="0" borderId="1" xfId="3" applyNumberFormat="1" applyFont="1" applyBorder="1">
      <alignment vertical="center"/>
    </xf>
    <xf numFmtId="9" fontId="2" fillId="0" borderId="1" xfId="3" applyNumberFormat="1" applyFont="1" applyBorder="1">
      <alignment vertical="center"/>
    </xf>
    <xf numFmtId="3" fontId="2" fillId="0" borderId="0" xfId="2" applyNumberFormat="1" applyFont="1"/>
    <xf numFmtId="0" fontId="54" fillId="0" borderId="0" xfId="0" applyFont="1" applyAlignment="1">
      <alignment horizontal="left" vertical="center" indent="7"/>
    </xf>
    <xf numFmtId="0" fontId="7" fillId="0" borderId="1" xfId="0" applyFont="1" applyBorder="1"/>
    <xf numFmtId="166" fontId="7" fillId="0" borderId="1" xfId="1" applyNumberFormat="1" applyFont="1" applyBorder="1"/>
    <xf numFmtId="9" fontId="2" fillId="0" borderId="1" xfId="2" applyFont="1" applyBorder="1" applyAlignment="1">
      <alignment horizontal="center"/>
    </xf>
    <xf numFmtId="9" fontId="2" fillId="0" borderId="0" xfId="2" applyFont="1" applyBorder="1" applyAlignment="1">
      <alignment horizontal="center"/>
    </xf>
    <xf numFmtId="0" fontId="2" fillId="0" borderId="1" xfId="0" applyFont="1" applyBorder="1" applyAlignment="1">
      <alignment horizontal="center" wrapText="1"/>
    </xf>
    <xf numFmtId="0" fontId="7" fillId="0" borderId="0" xfId="0" applyFont="1" applyAlignment="1">
      <alignment horizontal="center"/>
    </xf>
    <xf numFmtId="167" fontId="7" fillId="0" borderId="0" xfId="0" applyNumberFormat="1" applyFont="1" applyAlignment="1">
      <alignment horizontal="center"/>
    </xf>
    <xf numFmtId="0" fontId="6" fillId="0" borderId="1" xfId="0" applyFont="1" applyBorder="1" applyAlignment="1">
      <alignment horizontal="left" indent="1"/>
    </xf>
    <xf numFmtId="164" fontId="6" fillId="0" borderId="1" xfId="2" applyNumberFormat="1" applyFont="1" applyFill="1" applyBorder="1" applyAlignment="1">
      <alignment horizontal="center"/>
    </xf>
    <xf numFmtId="169" fontId="6" fillId="0" borderId="1" xfId="1" applyNumberFormat="1" applyFont="1" applyFill="1" applyBorder="1" applyAlignment="1">
      <alignment horizontal="center"/>
    </xf>
    <xf numFmtId="0" fontId="6" fillId="0" borderId="0" xfId="0" applyFont="1" applyAlignment="1">
      <alignment horizontal="left" indent="1"/>
    </xf>
    <xf numFmtId="169" fontId="6" fillId="0" borderId="0" xfId="1" applyNumberFormat="1" applyFont="1" applyFill="1" applyBorder="1" applyAlignment="1">
      <alignment horizontal="center"/>
    </xf>
    <xf numFmtId="43" fontId="6" fillId="0" borderId="0" xfId="0" applyNumberFormat="1" applyFont="1"/>
    <xf numFmtId="0" fontId="6" fillId="0" borderId="2" xfId="0" applyFont="1" applyBorder="1" applyAlignment="1">
      <alignment horizontal="center" wrapText="1"/>
    </xf>
    <xf numFmtId="168" fontId="6" fillId="0" borderId="2" xfId="1" applyNumberFormat="1" applyFont="1" applyFill="1" applyBorder="1" applyAlignment="1">
      <alignment horizontal="center"/>
    </xf>
    <xf numFmtId="168" fontId="6" fillId="0" borderId="1" xfId="0" applyNumberFormat="1" applyFont="1" applyBorder="1"/>
    <xf numFmtId="43" fontId="2" fillId="0" borderId="1" xfId="1" applyFont="1" applyBorder="1"/>
    <xf numFmtId="9" fontId="2" fillId="0" borderId="0" xfId="0" applyNumberFormat="1" applyFont="1"/>
    <xf numFmtId="0" fontId="26" fillId="0" borderId="1" xfId="0" applyFont="1" applyBorder="1" applyAlignment="1">
      <alignment horizontal="center" vertical="center" wrapText="1"/>
    </xf>
    <xf numFmtId="0" fontId="26" fillId="0" borderId="1" xfId="0" applyFont="1" applyBorder="1" applyAlignment="1">
      <alignment horizontal="centerContinuous" vertical="center" wrapText="1"/>
    </xf>
    <xf numFmtId="0" fontId="6" fillId="0" borderId="1" xfId="0" applyFont="1" applyBorder="1" applyAlignment="1">
      <alignment horizontal="center" vertical="center"/>
    </xf>
    <xf numFmtId="175" fontId="6" fillId="0" borderId="1" xfId="0" applyNumberFormat="1" applyFont="1" applyBorder="1" applyAlignment="1">
      <alignment horizontal="center" vertical="center" wrapText="1"/>
    </xf>
    <xf numFmtId="165" fontId="31" fillId="0" borderId="4" xfId="0" applyNumberFormat="1" applyFont="1" applyBorder="1" applyAlignment="1">
      <alignment horizontal="center"/>
    </xf>
    <xf numFmtId="165" fontId="31" fillId="0" borderId="1" xfId="0" applyNumberFormat="1" applyFont="1" applyBorder="1" applyAlignment="1">
      <alignment horizontal="center"/>
    </xf>
    <xf numFmtId="165" fontId="56" fillId="0" borderId="6" xfId="0" applyNumberFormat="1" applyFont="1" applyBorder="1" applyAlignment="1">
      <alignment horizontal="center"/>
    </xf>
    <xf numFmtId="0" fontId="31" fillId="0" borderId="0" xfId="0" applyFont="1" applyAlignment="1">
      <alignment horizontal="center"/>
    </xf>
    <xf numFmtId="0" fontId="31" fillId="0" borderId="1" xfId="0" applyFont="1" applyBorder="1" applyAlignment="1">
      <alignment horizontal="center" vertical="center"/>
    </xf>
    <xf numFmtId="183" fontId="22" fillId="0" borderId="1" xfId="1" applyNumberFormat="1" applyFont="1" applyBorder="1" applyAlignment="1">
      <alignment horizontal="center"/>
    </xf>
    <xf numFmtId="0" fontId="27" fillId="0" borderId="1" xfId="0" applyFont="1" applyBorder="1"/>
    <xf numFmtId="183" fontId="27" fillId="0" borderId="1" xfId="1" applyNumberFormat="1" applyFont="1" applyBorder="1" applyAlignment="1">
      <alignment horizontal="center"/>
    </xf>
    <xf numFmtId="0" fontId="56" fillId="0" borderId="1" xfId="0" applyFont="1" applyBorder="1" applyAlignment="1">
      <alignment vertical="top"/>
    </xf>
    <xf numFmtId="0" fontId="26" fillId="0" borderId="1" xfId="0" applyFont="1" applyBorder="1" applyAlignment="1">
      <alignment vertical="top"/>
    </xf>
    <xf numFmtId="9" fontId="26" fillId="0" borderId="1" xfId="2" applyFont="1" applyBorder="1" applyAlignment="1">
      <alignment horizontal="center" vertical="top"/>
    </xf>
    <xf numFmtId="0" fontId="43" fillId="0" borderId="0" xfId="0" applyFont="1"/>
    <xf numFmtId="165" fontId="43" fillId="0" borderId="0" xfId="0" applyNumberFormat="1" applyFont="1" applyAlignment="1">
      <alignment horizontal="center"/>
    </xf>
    <xf numFmtId="9" fontId="43" fillId="0" borderId="0" xfId="2" applyFont="1" applyBorder="1" applyAlignment="1">
      <alignment horizontal="center"/>
    </xf>
    <xf numFmtId="0" fontId="27" fillId="0" borderId="2" xfId="0" applyFont="1" applyBorder="1"/>
    <xf numFmtId="0" fontId="32" fillId="0" borderId="4" xfId="0" applyFont="1" applyBorder="1"/>
    <xf numFmtId="3" fontId="6"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horizontal="centerContinuous" vertical="center" wrapText="1"/>
    </xf>
    <xf numFmtId="168" fontId="7" fillId="0" borderId="1" xfId="1" applyNumberFormat="1" applyFont="1" applyFill="1" applyBorder="1"/>
    <xf numFmtId="0" fontId="6" fillId="0" borderId="0" xfId="0" applyFont="1" applyAlignment="1">
      <alignment horizontal="center" vertical="center"/>
    </xf>
    <xf numFmtId="3" fontId="6" fillId="0" borderId="0" xfId="0" applyNumberFormat="1" applyFont="1" applyAlignment="1">
      <alignment horizontal="right" vertical="center"/>
    </xf>
    <xf numFmtId="169" fontId="2" fillId="0" borderId="1" xfId="1" applyNumberFormat="1" applyFont="1" applyBorder="1"/>
    <xf numFmtId="0" fontId="11" fillId="2" borderId="2" xfId="0" applyFont="1" applyFill="1" applyBorder="1"/>
    <xf numFmtId="0" fontId="10" fillId="2" borderId="3" xfId="0" applyFont="1" applyFill="1" applyBorder="1" applyAlignment="1">
      <alignment horizontal="right"/>
    </xf>
    <xf numFmtId="3" fontId="8" fillId="2" borderId="1" xfId="0" applyNumberFormat="1" applyFont="1" applyFill="1" applyBorder="1" applyAlignment="1">
      <alignment horizontal="center"/>
    </xf>
    <xf numFmtId="0" fontId="10" fillId="2" borderId="2" xfId="0" applyFont="1" applyFill="1" applyBorder="1"/>
    <xf numFmtId="0" fontId="6" fillId="0" borderId="1" xfId="0" applyFont="1" applyBorder="1" applyAlignment="1">
      <alignment horizontal="center" vertical="top" wrapText="1"/>
    </xf>
    <xf numFmtId="0" fontId="16" fillId="0" borderId="0" xfId="0" applyFont="1" applyAlignment="1">
      <alignment horizontal="center" vertical="center"/>
    </xf>
    <xf numFmtId="0" fontId="16" fillId="0" borderId="0" xfId="0" applyFont="1" applyAlignment="1">
      <alignment horizontal="right" vertical="center"/>
    </xf>
    <xf numFmtId="3" fontId="16" fillId="0" borderId="0" xfId="0" applyNumberFormat="1" applyFont="1" applyAlignment="1">
      <alignment horizontal="right" vertical="center" wrapText="1"/>
    </xf>
    <xf numFmtId="168" fontId="6" fillId="0" borderId="0" xfId="1" applyNumberFormat="1" applyFont="1" applyBorder="1" applyAlignment="1">
      <alignment vertical="top"/>
    </xf>
    <xf numFmtId="166" fontId="2" fillId="0" borderId="0" xfId="1" applyNumberFormat="1" applyFont="1" applyBorder="1"/>
    <xf numFmtId="164" fontId="6" fillId="0" borderId="0" xfId="2" applyNumberFormat="1" applyFont="1" applyBorder="1" applyAlignment="1">
      <alignment vertical="top"/>
    </xf>
    <xf numFmtId="168" fontId="0" fillId="0" borderId="0" xfId="1" applyNumberFormat="1" applyFont="1" applyBorder="1"/>
    <xf numFmtId="168" fontId="0" fillId="0" borderId="0" xfId="0" applyNumberFormat="1"/>
    <xf numFmtId="9" fontId="0" fillId="3" borderId="0" xfId="2" applyFont="1" applyFill="1" applyBorder="1"/>
    <xf numFmtId="164" fontId="26" fillId="0" borderId="1" xfId="2" applyNumberFormat="1" applyFont="1" applyBorder="1"/>
    <xf numFmtId="0" fontId="6" fillId="0" borderId="2" xfId="0" applyFont="1" applyBorder="1" applyAlignment="1">
      <alignment horizontal="centerContinuous" vertical="center"/>
    </xf>
    <xf numFmtId="0" fontId="6" fillId="0" borderId="3"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6" fillId="0" borderId="0" xfId="0" applyFont="1" applyAlignment="1">
      <alignment vertical="center"/>
    </xf>
    <xf numFmtId="16" fontId="6" fillId="0" borderId="1" xfId="0" quotePrefix="1" applyNumberFormat="1" applyFont="1" applyBorder="1" applyAlignment="1">
      <alignment horizontal="center" vertical="center"/>
    </xf>
    <xf numFmtId="165" fontId="6" fillId="0" borderId="5" xfId="0" applyNumberFormat="1" applyFont="1" applyBorder="1" applyAlignment="1">
      <alignment horizontal="center" vertical="center"/>
    </xf>
    <xf numFmtId="165" fontId="6" fillId="0" borderId="1" xfId="0" applyNumberFormat="1" applyFont="1" applyBorder="1" applyAlignment="1">
      <alignment horizontal="center"/>
    </xf>
    <xf numFmtId="0" fontId="6" fillId="0" borderId="1" xfId="0" applyFont="1" applyBorder="1" applyAlignment="1">
      <alignment horizontal="right" vertical="center"/>
    </xf>
    <xf numFmtId="3" fontId="6" fillId="0" borderId="1" xfId="0" applyNumberFormat="1" applyFont="1" applyBorder="1" applyAlignment="1">
      <alignment horizontal="right" vertical="center" wrapText="1"/>
    </xf>
    <xf numFmtId="0" fontId="6" fillId="0" borderId="0" xfId="0" applyFont="1" applyAlignment="1">
      <alignment horizontal="right" vertical="center"/>
    </xf>
    <xf numFmtId="3" fontId="6" fillId="0" borderId="0" xfId="0" applyNumberFormat="1" applyFont="1" applyAlignment="1">
      <alignment horizontal="right" vertical="center" wrapText="1"/>
    </xf>
    <xf numFmtId="3" fontId="6" fillId="0" borderId="1" xfId="0" applyNumberFormat="1" applyFont="1" applyBorder="1"/>
    <xf numFmtId="166" fontId="6" fillId="0" borderId="1" xfId="1" applyNumberFormat="1" applyFont="1" applyBorder="1"/>
    <xf numFmtId="0" fontId="26" fillId="0" borderId="1" xfId="0" applyFont="1" applyBorder="1" applyAlignment="1">
      <alignment horizontal="center" wrapText="1"/>
    </xf>
    <xf numFmtId="178" fontId="10" fillId="2" borderId="4" xfId="0" applyNumberFormat="1" applyFont="1" applyFill="1" applyBorder="1" applyAlignment="1">
      <alignment horizontal="right"/>
    </xf>
    <xf numFmtId="178" fontId="8" fillId="2" borderId="1" xfId="0" applyNumberFormat="1" applyFont="1" applyFill="1" applyBorder="1"/>
    <xf numFmtId="168" fontId="8" fillId="2" borderId="1" xfId="1" applyNumberFormat="1" applyFont="1" applyFill="1" applyBorder="1" applyAlignment="1">
      <alignment horizontal="left" vertical="center" wrapText="1"/>
    </xf>
    <xf numFmtId="9" fontId="8" fillId="2" borderId="1" xfId="0" applyNumberFormat="1" applyFont="1" applyFill="1" applyBorder="1" applyAlignment="1">
      <alignment horizontal="center"/>
    </xf>
    <xf numFmtId="0" fontId="4" fillId="2" borderId="1" xfId="0" applyFont="1" applyFill="1" applyBorder="1" applyAlignment="1">
      <alignment horizontal="right" vertical="center" wrapText="1"/>
    </xf>
    <xf numFmtId="168" fontId="2" fillId="0" borderId="1" xfId="0" applyNumberFormat="1" applyFont="1" applyBorder="1"/>
    <xf numFmtId="168" fontId="7" fillId="0" borderId="1" xfId="1" applyNumberFormat="1" applyFont="1" applyBorder="1"/>
    <xf numFmtId="180" fontId="7" fillId="0" borderId="1" xfId="2" applyNumberFormat="1" applyFont="1" applyBorder="1"/>
    <xf numFmtId="0" fontId="31" fillId="0" borderId="0" xfId="0" applyFont="1" applyAlignment="1">
      <alignment horizontal="right" vertical="top" wrapText="1"/>
    </xf>
    <xf numFmtId="0" fontId="6" fillId="0" borderId="0" xfId="0" quotePrefix="1" applyFont="1"/>
    <xf numFmtId="9" fontId="6" fillId="0" borderId="1" xfId="0" applyNumberFormat="1" applyFont="1" applyBorder="1" applyAlignment="1">
      <alignment horizontal="center" vertical="center" wrapText="1"/>
    </xf>
    <xf numFmtId="170" fontId="6" fillId="0" borderId="1" xfId="1" applyNumberFormat="1" applyFont="1" applyFill="1" applyBorder="1" applyAlignment="1">
      <alignment horizontal="center" vertical="center"/>
    </xf>
    <xf numFmtId="170" fontId="2" fillId="0" borderId="1" xfId="0" applyNumberFormat="1" applyFont="1" applyBorder="1"/>
    <xf numFmtId="174" fontId="2" fillId="0" borderId="1" xfId="0" applyNumberFormat="1" applyFont="1" applyBorder="1"/>
    <xf numFmtId="181" fontId="2" fillId="0" borderId="1" xfId="0" applyNumberFormat="1" applyFont="1" applyBorder="1"/>
    <xf numFmtId="0" fontId="58" fillId="0" borderId="1" xfId="0" applyFont="1" applyBorder="1" applyAlignment="1">
      <alignment horizontal="center"/>
    </xf>
    <xf numFmtId="0" fontId="12" fillId="2" borderId="0" xfId="0" applyFont="1" applyFill="1"/>
    <xf numFmtId="0" fontId="8" fillId="2" borderId="0" xfId="0" applyFont="1" applyFill="1" applyAlignment="1">
      <alignment vertical="top"/>
    </xf>
    <xf numFmtId="0" fontId="9" fillId="7" borderId="0" xfId="0" applyFont="1" applyFill="1"/>
    <xf numFmtId="0" fontId="2" fillId="7" borderId="0" xfId="0" applyFont="1" applyFill="1"/>
    <xf numFmtId="3" fontId="2" fillId="8" borderId="1" xfId="0" applyNumberFormat="1" applyFont="1" applyFill="1" applyBorder="1" applyAlignment="1">
      <alignment horizontal="center"/>
    </xf>
    <xf numFmtId="179" fontId="2" fillId="8" borderId="1" xfId="0" applyNumberFormat="1" applyFont="1" applyFill="1" applyBorder="1" applyAlignment="1">
      <alignment horizontal="center"/>
    </xf>
    <xf numFmtId="0" fontId="10" fillId="2" borderId="1" xfId="0" applyFont="1" applyFill="1" applyBorder="1" applyAlignment="1">
      <alignment horizontal="left" indent="2"/>
    </xf>
    <xf numFmtId="0" fontId="16" fillId="2" borderId="0" xfId="0" applyFont="1" applyFill="1" applyAlignment="1">
      <alignment horizontal="left"/>
    </xf>
    <xf numFmtId="177" fontId="22" fillId="0" borderId="1" xfId="0" applyNumberFormat="1" applyFont="1" applyBorder="1"/>
    <xf numFmtId="0" fontId="22" fillId="0" borderId="1" xfId="0" applyFont="1" applyBorder="1" applyAlignment="1">
      <alignment horizontal="center" vertical="center"/>
    </xf>
    <xf numFmtId="0" fontId="22" fillId="0" borderId="5" xfId="0" applyFont="1" applyBorder="1" applyAlignment="1">
      <alignment horizontal="center" vertical="center"/>
    </xf>
    <xf numFmtId="169" fontId="22" fillId="0" borderId="1" xfId="1" applyNumberFormat="1" applyFont="1" applyBorder="1"/>
    <xf numFmtId="0" fontId="29" fillId="0" borderId="0" xfId="0" applyFont="1"/>
    <xf numFmtId="0" fontId="25" fillId="0" borderId="0" xfId="0" applyFont="1"/>
    <xf numFmtId="0" fontId="8" fillId="2" borderId="0" xfId="0" applyFont="1" applyFill="1" applyAlignment="1">
      <alignment horizontal="left" vertical="top" wrapText="1"/>
    </xf>
    <xf numFmtId="0" fontId="31" fillId="0" borderId="0" xfId="0" applyFont="1" applyAlignment="1">
      <alignment vertical="top" wrapText="1"/>
    </xf>
    <xf numFmtId="0" fontId="10" fillId="2" borderId="2" xfId="0" applyFont="1" applyFill="1" applyBorder="1" applyAlignment="1">
      <alignment horizontal="center"/>
    </xf>
    <xf numFmtId="0" fontId="10" fillId="2" borderId="4" xfId="0" applyFont="1" applyFill="1" applyBorder="1" applyAlignment="1">
      <alignment horizontal="center"/>
    </xf>
    <xf numFmtId="0" fontId="10" fillId="2" borderId="3" xfId="0" applyFont="1" applyFill="1" applyBorder="1" applyAlignment="1">
      <alignment horizontal="center"/>
    </xf>
    <xf numFmtId="0" fontId="8" fillId="2" borderId="0" xfId="0" applyFont="1" applyFill="1" applyAlignment="1">
      <alignment horizontal="left" wrapText="1"/>
    </xf>
    <xf numFmtId="0" fontId="8" fillId="2" borderId="0" xfId="0" applyFont="1" applyFill="1" applyAlignment="1">
      <alignment horizontal="left" vertical="center" wrapText="1"/>
    </xf>
    <xf numFmtId="0" fontId="3" fillId="2" borderId="0" xfId="0" applyFont="1" applyFill="1" applyAlignment="1">
      <alignment horizontal="left" vertical="top" wrapText="1"/>
    </xf>
    <xf numFmtId="0" fontId="4" fillId="2" borderId="1" xfId="0" applyFont="1" applyFill="1" applyBorder="1" applyAlignment="1">
      <alignment horizontal="center" wrapText="1"/>
    </xf>
    <xf numFmtId="3" fontId="3" fillId="2" borderId="1" xfId="0" applyNumberFormat="1" applyFont="1" applyFill="1" applyBorder="1" applyAlignment="1">
      <alignment horizontal="center" vertical="center"/>
    </xf>
    <xf numFmtId="0" fontId="8" fillId="2" borderId="0" xfId="0" applyFont="1" applyFill="1" applyAlignment="1">
      <alignment wrapText="1"/>
    </xf>
    <xf numFmtId="0" fontId="26" fillId="0" borderId="1" xfId="0" applyFont="1" applyBorder="1" applyAlignment="1">
      <alignment vertical="center"/>
    </xf>
    <xf numFmtId="0" fontId="6" fillId="0" borderId="1" xfId="0" applyFont="1" applyBorder="1" applyAlignment="1">
      <alignment vertical="center"/>
    </xf>
    <xf numFmtId="0" fontId="26" fillId="0" borderId="2" xfId="0" applyFont="1" applyBorder="1" applyAlignment="1">
      <alignment horizontal="left" vertical="center" indent="3"/>
    </xf>
    <xf numFmtId="0" fontId="26" fillId="0" borderId="3" xfId="0" applyFont="1" applyBorder="1" applyAlignment="1">
      <alignment horizontal="left" vertical="center" indent="3"/>
    </xf>
    <xf numFmtId="0" fontId="26" fillId="0" borderId="4" xfId="0" applyFont="1" applyBorder="1" applyAlignment="1">
      <alignment horizontal="left" vertical="center" indent="3"/>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8" fillId="3" borderId="2" xfId="0" applyFont="1" applyFill="1" applyBorder="1"/>
    <xf numFmtId="0" fontId="8" fillId="3" borderId="3" xfId="0" applyFont="1" applyFill="1" applyBorder="1"/>
    <xf numFmtId="0" fontId="8" fillId="3" borderId="4" xfId="0" applyFont="1" applyFill="1" applyBorder="1"/>
    <xf numFmtId="0" fontId="15" fillId="0" borderId="1"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0" xfId="0" applyFont="1" applyFill="1" applyAlignment="1">
      <alignment wrapText="1"/>
    </xf>
    <xf numFmtId="0" fontId="3" fillId="2" borderId="0" xfId="0" applyFont="1" applyFill="1" applyAlignment="1">
      <alignment horizontal="left"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6"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6" fillId="0" borderId="0" xfId="0" applyFont="1" applyAlignment="1">
      <alignment horizontal="left" vertical="top" indent="2"/>
    </xf>
    <xf numFmtId="0" fontId="4" fillId="2" borderId="1" xfId="0" applyFont="1" applyFill="1" applyBorder="1" applyAlignment="1">
      <alignment horizontal="center" vertical="center" wrapText="1"/>
    </xf>
    <xf numFmtId="0" fontId="4" fillId="2" borderId="1" xfId="0" applyFont="1" applyFill="1" applyBorder="1" applyAlignment="1">
      <alignment horizontal="center"/>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16" fillId="2" borderId="0" xfId="0" applyFont="1" applyFill="1" applyAlignment="1">
      <alignment horizontal="left" wrapText="1"/>
    </xf>
    <xf numFmtId="0" fontId="2" fillId="0" borderId="0" xfId="0" applyFont="1" applyAlignment="1">
      <alignment wrapText="1"/>
    </xf>
    <xf numFmtId="0" fontId="15" fillId="2" borderId="1" xfId="0" applyFont="1" applyFill="1" applyBorder="1" applyAlignment="1">
      <alignment horizontal="center"/>
    </xf>
    <xf numFmtId="0" fontId="15" fillId="2" borderId="1" xfId="0" applyFont="1" applyFill="1" applyBorder="1" applyAlignment="1">
      <alignment horizontal="center" vertical="center"/>
    </xf>
    <xf numFmtId="0" fontId="6" fillId="0" borderId="1" xfId="0" applyFont="1" applyBorder="1" applyAlignment="1">
      <alignment horizontal="center" vertical="center"/>
    </xf>
  </cellXfs>
  <cellStyles count="7">
    <cellStyle name="Comma" xfId="1" builtinId="3"/>
    <cellStyle name="Comma 2" xfId="4" xr:uid="{040B73A5-F46D-43A7-BB76-21768059A7A3}"/>
    <cellStyle name="Comma 3" xfId="6" xr:uid="{AB107D38-C7FC-44E6-865D-DD5ACDF218DF}"/>
    <cellStyle name="Normal" xfId="0" builtinId="0"/>
    <cellStyle name="Normal 2" xfId="3" xr:uid="{589E16BF-BE5E-4286-816A-9D92BC0FB3A5}"/>
    <cellStyle name="Percent" xfId="2" builtinId="5"/>
    <cellStyle name="Percent 2" xfId="5" xr:uid="{643CA783-E43B-4725-B86E-4A05D67A3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Company X OEP Curve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Company X OEP Curve</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'Q11'!$B$52:$B$61</c:f>
              <c:numCache>
                <c:formatCode>#,##0</c:formatCode>
                <c:ptCount val="10"/>
                <c:pt idx="0">
                  <c:v>300000</c:v>
                </c:pt>
                <c:pt idx="1">
                  <c:v>100000</c:v>
                </c:pt>
                <c:pt idx="2">
                  <c:v>75000</c:v>
                </c:pt>
                <c:pt idx="3">
                  <c:v>45000</c:v>
                </c:pt>
                <c:pt idx="4">
                  <c:v>25000</c:v>
                </c:pt>
                <c:pt idx="5">
                  <c:v>17500</c:v>
                </c:pt>
                <c:pt idx="6">
                  <c:v>12500</c:v>
                </c:pt>
                <c:pt idx="7">
                  <c:v>10000</c:v>
                </c:pt>
                <c:pt idx="8">
                  <c:v>5000</c:v>
                </c:pt>
                <c:pt idx="9">
                  <c:v>2000</c:v>
                </c:pt>
              </c:numCache>
            </c:numRef>
          </c:xVal>
          <c:yVal>
            <c:numRef>
              <c:f>'Q11'!$C$52:$C$61</c:f>
              <c:numCache>
                <c:formatCode>#,##0.00000</c:formatCode>
                <c:ptCount val="10"/>
                <c:pt idx="0">
                  <c:v>9.9999999999988987E-5</c:v>
                </c:pt>
                <c:pt idx="1">
                  <c:v>5.9994999999990473E-4</c:v>
                </c:pt>
                <c:pt idx="2">
                  <c:v>1.3495000374998956E-3</c:v>
                </c:pt>
                <c:pt idx="3">
                  <c:v>2.3481505374624012E-3</c:v>
                </c:pt>
                <c:pt idx="4">
                  <c:v>3.5952153492905259E-3</c:v>
                </c:pt>
                <c:pt idx="5">
                  <c:v>6.086227310917236E-3</c:v>
                </c:pt>
                <c:pt idx="6">
                  <c:v>1.3540580606085317E-2</c:v>
                </c:pt>
                <c:pt idx="7">
                  <c:v>2.3405174800024464E-2</c:v>
                </c:pt>
                <c:pt idx="8">
                  <c:v>4.7820045430023828E-2</c:v>
                </c:pt>
                <c:pt idx="9">
                  <c:v>9.5429043158522631E-2</c:v>
                </c:pt>
              </c:numCache>
            </c:numRef>
          </c:yVal>
          <c:smooth val="1"/>
          <c:extLst>
            <c:ext xmlns:c16="http://schemas.microsoft.com/office/drawing/2014/chart" uri="{C3380CC4-5D6E-409C-BE32-E72D297353CC}">
              <c16:uniqueId val="{00000001-97FE-4BF1-AE7A-537780ED7D06}"/>
            </c:ext>
          </c:extLst>
        </c:ser>
        <c:dLbls>
          <c:showLegendKey val="0"/>
          <c:showVal val="0"/>
          <c:showCatName val="0"/>
          <c:showSerName val="0"/>
          <c:showPercent val="0"/>
          <c:showBubbleSize val="0"/>
        </c:dLbls>
        <c:axId val="537234543"/>
        <c:axId val="537229263"/>
      </c:scatterChart>
      <c:valAx>
        <c:axId val="537234543"/>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29263"/>
        <c:crosses val="autoZero"/>
        <c:crossBetween val="midCat"/>
      </c:valAx>
      <c:valAx>
        <c:axId val="537229263"/>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34543"/>
        <c:crosses val="autoZero"/>
        <c:crossBetween val="midCat"/>
      </c:valAx>
      <c:spPr>
        <a:pattFill prst="lgGrid">
          <a:fgClr>
            <a:schemeClr val="accent4">
              <a:lumMod val="20000"/>
              <a:lumOff val="80000"/>
            </a:schemeClr>
          </a:fgClr>
          <a:bgClr>
            <a:schemeClr val="bg1"/>
          </a:bgClr>
        </a:pattFill>
        <a:ln w="9525">
          <a:solidFill>
            <a:schemeClr val="tx1"/>
          </a:solidFill>
        </a:ln>
        <a:effectLst/>
      </c:spPr>
    </c:plotArea>
    <c:plotVisOnly val="1"/>
    <c:dispBlanksAs val="gap"/>
    <c:showDLblsOverMax val="0"/>
    <c:extLst/>
  </c:chart>
  <c:spPr>
    <a:pattFill prst="pct40">
      <a:fgClr>
        <a:schemeClr val="accent4">
          <a:lumMod val="20000"/>
          <a:lumOff val="80000"/>
        </a:schemeClr>
      </a:fgClr>
      <a:bgClr>
        <a:schemeClr val="bg1"/>
      </a:bgClr>
    </a:patt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434340</xdr:colOff>
      <xdr:row>24</xdr:row>
      <xdr:rowOff>0</xdr:rowOff>
    </xdr:from>
    <xdr:ext cx="65" cy="172227"/>
    <xdr:sp macro="" textlink="">
      <xdr:nvSpPr>
        <xdr:cNvPr id="6" name="TextBox 5">
          <a:extLst>
            <a:ext uri="{FF2B5EF4-FFF2-40B4-BE49-F238E27FC236}">
              <a16:creationId xmlns:a16="http://schemas.microsoft.com/office/drawing/2014/main" id="{5C7B7C12-E1FA-46A2-B986-FB2C5A735549}"/>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7" name="TextBox 6">
          <a:extLst>
            <a:ext uri="{FF2B5EF4-FFF2-40B4-BE49-F238E27FC236}">
              <a16:creationId xmlns:a16="http://schemas.microsoft.com/office/drawing/2014/main" id="{DF6A7CF7-2A56-470A-B264-B2B617EAD238}"/>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1143000</xdr:colOff>
      <xdr:row>48</xdr:row>
      <xdr:rowOff>76200</xdr:rowOff>
    </xdr:from>
    <xdr:to>
      <xdr:col>7</xdr:col>
      <xdr:colOff>1104900</xdr:colOff>
      <xdr:row>64</xdr:row>
      <xdr:rowOff>53340</xdr:rowOff>
    </xdr:to>
    <xdr:graphicFrame macro="">
      <xdr:nvGraphicFramePr>
        <xdr:cNvPr id="3" name="Chart 2">
          <a:extLst>
            <a:ext uri="{FF2B5EF4-FFF2-40B4-BE49-F238E27FC236}">
              <a16:creationId xmlns:a16="http://schemas.microsoft.com/office/drawing/2014/main" id="{FBA6CF7F-E7E3-47F1-AB50-CA5A27A51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AD43"/>
  <sheetViews>
    <sheetView tabSelected="1" workbookViewId="0"/>
  </sheetViews>
  <sheetFormatPr defaultColWidth="8.88671875" defaultRowHeight="15.6"/>
  <cols>
    <col min="1" max="1" width="10.5546875" style="1" customWidth="1"/>
    <col min="2" max="4" width="11.77734375" style="1" customWidth="1"/>
    <col min="5" max="11" width="10.77734375" style="1" customWidth="1"/>
    <col min="12" max="12" width="13.21875" style="1" customWidth="1"/>
    <col min="13" max="13" width="12.77734375" style="1" customWidth="1"/>
    <col min="14" max="14" width="8.88671875" style="117"/>
    <col min="15" max="15" width="11.88671875" style="117" customWidth="1"/>
    <col min="16" max="30" width="8.88671875" style="117"/>
    <col min="31" max="16384" width="8.88671875" style="1"/>
  </cols>
  <sheetData>
    <row r="1" spans="1:28" ht="18" customHeight="1">
      <c r="A1" s="12" t="s">
        <v>7</v>
      </c>
      <c r="B1" s="13"/>
      <c r="C1" s="10" t="s">
        <v>6</v>
      </c>
      <c r="D1" s="13"/>
      <c r="E1" s="13"/>
      <c r="F1" s="13"/>
      <c r="G1" s="13"/>
      <c r="H1" s="13"/>
      <c r="I1" s="13"/>
      <c r="J1" s="13"/>
      <c r="K1" s="13"/>
      <c r="L1" s="13"/>
      <c r="M1" s="13"/>
      <c r="O1" s="136" t="s">
        <v>257</v>
      </c>
      <c r="P1" s="136"/>
      <c r="Q1" s="136"/>
      <c r="R1" s="137"/>
      <c r="S1" s="137"/>
      <c r="T1" s="137"/>
      <c r="U1" s="137"/>
      <c r="V1" s="137"/>
      <c r="W1" s="137"/>
      <c r="X1" s="137"/>
      <c r="Y1" s="137"/>
      <c r="Z1" s="137"/>
      <c r="AA1" s="137"/>
      <c r="AB1" s="137"/>
    </row>
    <row r="2" spans="1:28" ht="16.2">
      <c r="A2" s="7"/>
      <c r="B2" s="5"/>
      <c r="C2" s="5"/>
      <c r="D2" s="5"/>
      <c r="E2" s="5"/>
      <c r="F2" s="5"/>
      <c r="G2" s="5"/>
      <c r="H2" s="10"/>
      <c r="I2" s="10"/>
      <c r="J2" s="11"/>
      <c r="K2" s="11"/>
      <c r="L2" s="11"/>
      <c r="M2" s="13"/>
      <c r="O2" s="137"/>
      <c r="P2" s="137"/>
      <c r="Q2" s="137"/>
      <c r="R2" s="137"/>
      <c r="S2" s="137"/>
      <c r="T2" s="137"/>
      <c r="U2" s="138" t="s">
        <v>127</v>
      </c>
      <c r="V2" s="137"/>
      <c r="W2" s="137"/>
      <c r="X2" s="137"/>
      <c r="Y2" s="137"/>
      <c r="Z2" s="137"/>
      <c r="AA2" s="137"/>
      <c r="AB2" s="137"/>
    </row>
    <row r="3" spans="1:28" ht="15.6" customHeight="1">
      <c r="A3" s="483" t="s">
        <v>393</v>
      </c>
      <c r="B3" s="483"/>
      <c r="C3" s="483"/>
      <c r="D3" s="483"/>
      <c r="E3" s="483"/>
      <c r="F3" s="483"/>
      <c r="G3" s="483"/>
      <c r="H3" s="483"/>
      <c r="I3" s="483"/>
      <c r="J3" s="483"/>
      <c r="K3" s="483"/>
      <c r="L3" s="483"/>
      <c r="M3" s="483"/>
      <c r="O3" s="138" t="s">
        <v>18</v>
      </c>
      <c r="P3" s="138" t="s">
        <v>126</v>
      </c>
      <c r="Q3" s="139">
        <v>0</v>
      </c>
      <c r="R3" s="139">
        <f t="shared" ref="R3:Z3" si="0">Q3+1</f>
        <v>1</v>
      </c>
      <c r="S3" s="139">
        <f t="shared" si="0"/>
        <v>2</v>
      </c>
      <c r="T3" s="139">
        <f t="shared" si="0"/>
        <v>3</v>
      </c>
      <c r="U3" s="139">
        <f t="shared" si="0"/>
        <v>4</v>
      </c>
      <c r="V3" s="139">
        <f t="shared" si="0"/>
        <v>5</v>
      </c>
      <c r="W3" s="139">
        <f t="shared" si="0"/>
        <v>6</v>
      </c>
      <c r="X3" s="139">
        <f t="shared" si="0"/>
        <v>7</v>
      </c>
      <c r="Y3" s="139">
        <f t="shared" si="0"/>
        <v>8</v>
      </c>
      <c r="Z3" s="139">
        <f t="shared" si="0"/>
        <v>9</v>
      </c>
      <c r="AA3" s="137"/>
      <c r="AB3" s="137"/>
    </row>
    <row r="4" spans="1:28" ht="15.6" customHeight="1">
      <c r="A4" s="25"/>
      <c r="B4" s="25"/>
      <c r="C4" s="25"/>
      <c r="D4" s="25"/>
      <c r="E4" s="25"/>
      <c r="F4" s="25"/>
      <c r="G4" s="25"/>
      <c r="H4" s="25"/>
      <c r="I4" s="25"/>
      <c r="J4" s="25"/>
      <c r="K4" s="25"/>
      <c r="L4" s="25"/>
      <c r="M4" s="25"/>
      <c r="O4" s="138">
        <v>2011</v>
      </c>
      <c r="P4" s="138">
        <v>0</v>
      </c>
      <c r="Q4" s="140">
        <v>1930</v>
      </c>
      <c r="R4" s="140">
        <v>2481</v>
      </c>
      <c r="S4" s="140">
        <v>2786</v>
      </c>
      <c r="T4" s="140">
        <v>2917</v>
      </c>
      <c r="U4" s="140">
        <v>3025</v>
      </c>
      <c r="V4" s="140">
        <v>3084</v>
      </c>
      <c r="W4" s="140">
        <v>3114</v>
      </c>
      <c r="X4" s="140">
        <v>3133</v>
      </c>
      <c r="Y4" s="140">
        <v>3149</v>
      </c>
      <c r="Z4" s="140">
        <v>3155</v>
      </c>
      <c r="AA4" s="137"/>
      <c r="AB4" s="137"/>
    </row>
    <row r="5" spans="1:28">
      <c r="A5" s="7" t="s">
        <v>41</v>
      </c>
      <c r="B5" s="322"/>
      <c r="C5" s="5"/>
      <c r="D5" s="25"/>
      <c r="E5" s="25"/>
      <c r="F5" s="25"/>
      <c r="G5" s="25"/>
      <c r="H5" s="25"/>
      <c r="I5" s="25"/>
      <c r="J5" s="25"/>
      <c r="K5" s="25"/>
      <c r="L5" s="25"/>
      <c r="M5" s="25"/>
      <c r="O5" s="138">
        <f t="shared" ref="O5:P13" si="1">O4+1</f>
        <v>2012</v>
      </c>
      <c r="P5" s="138">
        <f t="shared" si="1"/>
        <v>1</v>
      </c>
      <c r="Q5" s="140">
        <v>1831</v>
      </c>
      <c r="R5" s="140">
        <v>2498</v>
      </c>
      <c r="S5" s="140">
        <v>2769</v>
      </c>
      <c r="T5" s="140">
        <v>2952</v>
      </c>
      <c r="U5" s="140">
        <v>3053</v>
      </c>
      <c r="V5" s="140">
        <v>3102</v>
      </c>
      <c r="W5" s="140">
        <v>3127</v>
      </c>
      <c r="X5" s="140">
        <v>3144</v>
      </c>
      <c r="Y5" s="140">
        <v>3159</v>
      </c>
      <c r="Z5" s="140"/>
      <c r="AA5" s="137"/>
      <c r="AB5" s="137"/>
    </row>
    <row r="6" spans="1:28">
      <c r="A6" s="7" t="s">
        <v>42</v>
      </c>
      <c r="B6" s="322"/>
      <c r="C6" s="5"/>
      <c r="D6" s="25"/>
      <c r="E6" s="25"/>
      <c r="F6" s="25"/>
      <c r="G6" s="25"/>
      <c r="H6" s="25"/>
      <c r="I6" s="25"/>
      <c r="J6" s="25"/>
      <c r="K6" s="25"/>
      <c r="L6" s="25"/>
      <c r="M6" s="25"/>
      <c r="O6" s="138">
        <f t="shared" si="1"/>
        <v>2013</v>
      </c>
      <c r="P6" s="138">
        <f t="shared" si="1"/>
        <v>2</v>
      </c>
      <c r="Q6" s="140">
        <v>1873</v>
      </c>
      <c r="R6" s="140">
        <v>2820</v>
      </c>
      <c r="S6" s="140">
        <v>3043</v>
      </c>
      <c r="T6" s="140">
        <v>3216</v>
      </c>
      <c r="U6" s="140">
        <v>3317</v>
      </c>
      <c r="V6" s="140">
        <v>3375</v>
      </c>
      <c r="W6" s="140">
        <v>3405</v>
      </c>
      <c r="X6" s="140">
        <v>3418</v>
      </c>
      <c r="Y6" s="140"/>
      <c r="Z6" s="140"/>
      <c r="AA6" s="137"/>
      <c r="AB6" s="137"/>
    </row>
    <row r="7" spans="1:28">
      <c r="A7" s="323" t="s">
        <v>394</v>
      </c>
      <c r="B7" s="322"/>
      <c r="C7" s="5"/>
      <c r="D7" s="25"/>
      <c r="E7" s="25"/>
      <c r="F7" s="25"/>
      <c r="G7" s="25"/>
      <c r="H7" s="25"/>
      <c r="I7" s="25"/>
      <c r="J7" s="25"/>
      <c r="K7" s="25"/>
      <c r="L7" s="25"/>
      <c r="M7" s="25"/>
      <c r="O7" s="138">
        <f t="shared" si="1"/>
        <v>2014</v>
      </c>
      <c r="P7" s="138">
        <f t="shared" si="1"/>
        <v>3</v>
      </c>
      <c r="Q7" s="140">
        <v>1274</v>
      </c>
      <c r="R7" s="140">
        <v>2044</v>
      </c>
      <c r="S7" s="140">
        <v>2338</v>
      </c>
      <c r="T7" s="140">
        <v>2513</v>
      </c>
      <c r="U7" s="140">
        <v>2595</v>
      </c>
      <c r="V7" s="140">
        <v>2668</v>
      </c>
      <c r="W7" s="140">
        <v>2691</v>
      </c>
      <c r="X7" s="140"/>
      <c r="Y7" s="140"/>
      <c r="Z7" s="140"/>
      <c r="AA7" s="137"/>
      <c r="AB7" s="137"/>
    </row>
    <row r="8" spans="1:28">
      <c r="A8" s="323" t="s">
        <v>395</v>
      </c>
      <c r="B8" s="322"/>
      <c r="C8" s="5"/>
      <c r="D8" s="25"/>
      <c r="E8" s="25"/>
      <c r="F8" s="25"/>
      <c r="G8" s="25"/>
      <c r="H8" s="25"/>
      <c r="I8" s="25"/>
      <c r="J8" s="25"/>
      <c r="K8" s="25"/>
      <c r="L8" s="25"/>
      <c r="M8" s="25"/>
      <c r="O8" s="138">
        <f t="shared" si="1"/>
        <v>2015</v>
      </c>
      <c r="P8" s="138">
        <f t="shared" si="1"/>
        <v>4</v>
      </c>
      <c r="Q8" s="140">
        <v>1271</v>
      </c>
      <c r="R8" s="140">
        <v>1957</v>
      </c>
      <c r="S8" s="140">
        <v>2283</v>
      </c>
      <c r="T8" s="140">
        <v>2446</v>
      </c>
      <c r="U8" s="140">
        <v>2571</v>
      </c>
      <c r="V8" s="140">
        <v>2619</v>
      </c>
      <c r="W8" s="140"/>
      <c r="X8" s="140"/>
      <c r="Y8" s="140"/>
      <c r="Z8" s="140"/>
      <c r="AA8" s="137"/>
      <c r="AB8" s="137"/>
    </row>
    <row r="9" spans="1:28">
      <c r="A9" s="323"/>
      <c r="B9" s="322"/>
      <c r="C9" s="5"/>
      <c r="D9" s="25"/>
      <c r="E9" s="25"/>
      <c r="F9" s="25"/>
      <c r="G9" s="25"/>
      <c r="H9" s="25"/>
      <c r="I9" s="25"/>
      <c r="J9" s="25"/>
      <c r="K9" s="25"/>
      <c r="L9" s="25"/>
      <c r="M9" s="25"/>
      <c r="O9" s="138">
        <f t="shared" si="1"/>
        <v>2016</v>
      </c>
      <c r="P9" s="138">
        <f t="shared" si="1"/>
        <v>5</v>
      </c>
      <c r="Q9" s="140">
        <v>1501</v>
      </c>
      <c r="R9" s="140">
        <v>2399</v>
      </c>
      <c r="S9" s="140">
        <v>2681</v>
      </c>
      <c r="T9" s="140">
        <v>2823</v>
      </c>
      <c r="U9" s="140">
        <v>2937</v>
      </c>
      <c r="V9" s="140"/>
      <c r="W9" s="140"/>
      <c r="X9" s="140"/>
      <c r="Y9" s="140"/>
      <c r="Z9" s="140"/>
      <c r="AA9" s="137"/>
      <c r="AB9" s="137"/>
    </row>
    <row r="10" spans="1:28">
      <c r="A10" s="5" t="s">
        <v>2</v>
      </c>
      <c r="B10" s="9" t="s">
        <v>396</v>
      </c>
      <c r="C10" s="5"/>
      <c r="D10" s="5"/>
      <c r="E10" s="5"/>
      <c r="F10" s="5"/>
      <c r="G10" s="5"/>
      <c r="H10" s="5"/>
      <c r="I10" s="5"/>
      <c r="J10" s="5"/>
      <c r="K10" s="5"/>
      <c r="L10" s="5"/>
      <c r="M10" s="13"/>
      <c r="O10" s="138">
        <f t="shared" si="1"/>
        <v>2017</v>
      </c>
      <c r="P10" s="138">
        <f t="shared" si="1"/>
        <v>6</v>
      </c>
      <c r="Q10" s="140">
        <v>1485</v>
      </c>
      <c r="R10" s="140">
        <v>2383</v>
      </c>
      <c r="S10" s="140">
        <v>2672</v>
      </c>
      <c r="T10" s="140">
        <v>2869</v>
      </c>
      <c r="U10" s="140"/>
      <c r="V10" s="140"/>
      <c r="W10" s="140"/>
      <c r="X10" s="140"/>
      <c r="Y10" s="140"/>
      <c r="Z10" s="140"/>
      <c r="AA10" s="137"/>
      <c r="AB10" s="137"/>
    </row>
    <row r="11" spans="1:28" ht="16.2">
      <c r="A11" s="10"/>
      <c r="B11" s="10" t="s">
        <v>0</v>
      </c>
      <c r="C11" s="11"/>
      <c r="D11" s="11"/>
      <c r="E11" s="11"/>
      <c r="F11" s="5"/>
      <c r="G11" s="5"/>
      <c r="H11" s="5"/>
      <c r="I11" s="5"/>
      <c r="J11" s="5"/>
      <c r="K11" s="5"/>
      <c r="L11" s="5"/>
      <c r="M11" s="13"/>
      <c r="O11" s="138">
        <f t="shared" si="1"/>
        <v>2018</v>
      </c>
      <c r="P11" s="138">
        <f t="shared" si="1"/>
        <v>7</v>
      </c>
      <c r="Q11" s="140">
        <v>1571</v>
      </c>
      <c r="R11" s="140">
        <v>2335</v>
      </c>
      <c r="S11" s="140">
        <v>2559</v>
      </c>
      <c r="T11" s="140"/>
      <c r="U11" s="140"/>
      <c r="V11" s="140"/>
      <c r="W11" s="140"/>
      <c r="X11" s="140"/>
      <c r="Y11" s="140"/>
      <c r="Z11" s="140"/>
      <c r="AA11" s="137"/>
      <c r="AB11" s="137"/>
    </row>
    <row r="12" spans="1:28">
      <c r="A12" s="2"/>
      <c r="O12" s="138">
        <f t="shared" si="1"/>
        <v>2019</v>
      </c>
      <c r="P12" s="138">
        <f t="shared" si="1"/>
        <v>8</v>
      </c>
      <c r="Q12" s="140">
        <v>1892</v>
      </c>
      <c r="R12" s="140">
        <v>2698</v>
      </c>
      <c r="S12" s="140"/>
      <c r="T12" s="140"/>
      <c r="U12" s="140"/>
      <c r="V12" s="140"/>
      <c r="W12" s="140"/>
      <c r="X12" s="140"/>
      <c r="Y12" s="140"/>
      <c r="Z12" s="140"/>
      <c r="AA12" s="137"/>
      <c r="AB12" s="137"/>
    </row>
    <row r="13" spans="1:28">
      <c r="A13" s="141" t="s">
        <v>258</v>
      </c>
      <c r="B13" s="1" t="s">
        <v>128</v>
      </c>
      <c r="O13" s="138">
        <f t="shared" si="1"/>
        <v>2020</v>
      </c>
      <c r="P13" s="138">
        <f t="shared" si="1"/>
        <v>9</v>
      </c>
      <c r="Q13" s="140">
        <v>1532</v>
      </c>
      <c r="R13" s="140"/>
      <c r="S13" s="140"/>
      <c r="T13" s="140"/>
      <c r="U13" s="140"/>
      <c r="V13" s="140"/>
      <c r="W13" s="140"/>
      <c r="X13" s="140"/>
      <c r="Y13" s="140"/>
      <c r="Z13" s="140"/>
      <c r="AA13" s="137"/>
      <c r="AB13" s="137"/>
    </row>
    <row r="14" spans="1:28">
      <c r="O14" s="137"/>
      <c r="P14" s="137"/>
      <c r="Q14" s="137"/>
      <c r="R14" s="137"/>
      <c r="S14" s="137"/>
      <c r="T14" s="137"/>
      <c r="U14" s="137"/>
      <c r="V14" s="137"/>
      <c r="W14" s="137"/>
      <c r="X14" s="137"/>
      <c r="Y14" s="137"/>
      <c r="Z14" s="137"/>
      <c r="AA14" s="137"/>
      <c r="AB14" s="137"/>
    </row>
    <row r="15" spans="1:28">
      <c r="A15" s="141" t="s">
        <v>259</v>
      </c>
      <c r="B15" s="1" t="s">
        <v>129</v>
      </c>
      <c r="O15" s="136" t="s">
        <v>260</v>
      </c>
      <c r="P15" s="137"/>
      <c r="Q15" s="137"/>
      <c r="R15" s="137"/>
      <c r="S15" s="137"/>
      <c r="T15" s="137"/>
      <c r="U15" s="137"/>
      <c r="V15" s="137"/>
      <c r="W15" s="137"/>
      <c r="X15" s="137"/>
      <c r="Y15" s="137"/>
      <c r="Z15" s="137"/>
      <c r="AA15" s="137"/>
      <c r="AB15" s="137"/>
    </row>
    <row r="16" spans="1:28">
      <c r="O16" s="137"/>
      <c r="P16" s="137"/>
      <c r="Q16" s="137"/>
      <c r="R16" s="137"/>
      <c r="S16" s="137"/>
      <c r="T16" s="137"/>
      <c r="U16" s="138" t="s">
        <v>127</v>
      </c>
      <c r="V16" s="137"/>
      <c r="W16" s="137"/>
      <c r="X16" s="137"/>
      <c r="Y16" s="137"/>
      <c r="Z16" s="137"/>
      <c r="AA16" s="137"/>
      <c r="AB16" s="137"/>
    </row>
    <row r="17" spans="1:28">
      <c r="A17" s="5" t="s">
        <v>3</v>
      </c>
      <c r="B17" s="38" t="s">
        <v>261</v>
      </c>
      <c r="C17" s="5"/>
      <c r="D17" s="5"/>
      <c r="E17" s="5"/>
      <c r="F17" s="5"/>
      <c r="G17" s="5"/>
      <c r="H17" s="5"/>
      <c r="I17" s="5"/>
      <c r="J17" s="5"/>
      <c r="K17" s="5"/>
      <c r="L17" s="5"/>
      <c r="M17" s="13"/>
      <c r="O17" s="138" t="s">
        <v>18</v>
      </c>
      <c r="P17" s="138" t="s">
        <v>126</v>
      </c>
      <c r="Q17" s="139">
        <v>0</v>
      </c>
      <c r="R17" s="139">
        <f t="shared" ref="R17:Z17" si="2">Q17+1</f>
        <v>1</v>
      </c>
      <c r="S17" s="139">
        <f t="shared" si="2"/>
        <v>2</v>
      </c>
      <c r="T17" s="139">
        <f t="shared" si="2"/>
        <v>3</v>
      </c>
      <c r="U17" s="139">
        <f t="shared" si="2"/>
        <v>4</v>
      </c>
      <c r="V17" s="139">
        <f t="shared" si="2"/>
        <v>5</v>
      </c>
      <c r="W17" s="139">
        <f t="shared" si="2"/>
        <v>6</v>
      </c>
      <c r="X17" s="139">
        <f t="shared" si="2"/>
        <v>7</v>
      </c>
      <c r="Y17" s="139">
        <f t="shared" si="2"/>
        <v>8</v>
      </c>
      <c r="Z17" s="139">
        <f t="shared" si="2"/>
        <v>9</v>
      </c>
      <c r="AA17" s="137"/>
      <c r="AB17" s="138" t="s">
        <v>262</v>
      </c>
    </row>
    <row r="18" spans="1:28" ht="16.2">
      <c r="A18" s="38"/>
      <c r="B18" s="142" t="s">
        <v>263</v>
      </c>
      <c r="C18" s="143"/>
      <c r="D18" s="143"/>
      <c r="E18" s="38"/>
      <c r="F18" s="38"/>
      <c r="G18" s="38"/>
      <c r="H18" s="38"/>
      <c r="I18" s="38"/>
      <c r="J18" s="38"/>
      <c r="K18" s="38"/>
      <c r="L18" s="38"/>
      <c r="M18" s="38"/>
      <c r="O18" s="138">
        <v>2011</v>
      </c>
      <c r="P18" s="138">
        <v>0</v>
      </c>
      <c r="Q18" s="144">
        <v>1.2854922279792746</v>
      </c>
      <c r="R18" s="145">
        <v>1.1229343006852075</v>
      </c>
      <c r="S18" s="145">
        <v>1.0470208183776022</v>
      </c>
      <c r="T18" s="145">
        <v>1.03702434007542</v>
      </c>
      <c r="U18" s="145">
        <v>1.0195041322314049</v>
      </c>
      <c r="V18" s="145">
        <v>1.0097276264591439</v>
      </c>
      <c r="W18" s="145">
        <v>1.0061014771997432</v>
      </c>
      <c r="X18" s="145">
        <v>1.005106926268752</v>
      </c>
      <c r="Y18" s="145">
        <v>1.0019053667831057</v>
      </c>
      <c r="Z18" s="145">
        <v>0</v>
      </c>
      <c r="AA18" s="137"/>
      <c r="AB18" s="146">
        <f>Y18</f>
        <v>1.0019053667831057</v>
      </c>
    </row>
    <row r="19" spans="1:28">
      <c r="A19" s="2"/>
      <c r="O19" s="138">
        <f t="shared" ref="O19:P27" si="3">O18+1</f>
        <v>2012</v>
      </c>
      <c r="P19" s="138">
        <f t="shared" si="3"/>
        <v>1</v>
      </c>
      <c r="Q19" s="144">
        <v>1.3642818132168215</v>
      </c>
      <c r="R19" s="145">
        <v>1.1084867894315453</v>
      </c>
      <c r="S19" s="145">
        <v>1.0660888407367282</v>
      </c>
      <c r="T19" s="145">
        <v>1.0342140921409213</v>
      </c>
      <c r="U19" s="145">
        <v>1.016049787094661</v>
      </c>
      <c r="V19" s="145">
        <v>1.008059316569955</v>
      </c>
      <c r="W19" s="145">
        <v>1.0054365206267988</v>
      </c>
      <c r="X19" s="145">
        <v>1.0047709923664123</v>
      </c>
      <c r="Y19" s="145">
        <v>0</v>
      </c>
      <c r="Z19" s="140"/>
      <c r="AA19" s="137"/>
      <c r="AB19" s="146">
        <f>SUMPRODUCT(X4:X5,X18:X19)/SUM(X4:X5)</f>
        <v>1.0049386649673411</v>
      </c>
    </row>
    <row r="20" spans="1:28">
      <c r="A20" s="147" t="s">
        <v>264</v>
      </c>
      <c r="B20" s="109"/>
      <c r="O20" s="138">
        <f t="shared" si="3"/>
        <v>2013</v>
      </c>
      <c r="P20" s="138">
        <f t="shared" si="3"/>
        <v>2</v>
      </c>
      <c r="Q20" s="144">
        <v>1.5056059797116925</v>
      </c>
      <c r="R20" s="145">
        <v>1.0790780141843972</v>
      </c>
      <c r="S20" s="145">
        <v>1.0568517909957278</v>
      </c>
      <c r="T20" s="145">
        <v>1.0314054726368158</v>
      </c>
      <c r="U20" s="145">
        <v>1.0174856798311727</v>
      </c>
      <c r="V20" s="145">
        <v>1.0088888888888889</v>
      </c>
      <c r="W20" s="145">
        <v>1.0038179148311306</v>
      </c>
      <c r="X20" s="145">
        <v>0</v>
      </c>
      <c r="Y20" s="140"/>
      <c r="Z20" s="140"/>
      <c r="AA20" s="137"/>
      <c r="AB20" s="146">
        <f>SUMPRODUCT(W4:W6,W18:W20)/SUM(W4:W6)</f>
        <v>1.0050798258345428</v>
      </c>
    </row>
    <row r="21" spans="1:28">
      <c r="A21" s="148"/>
      <c r="B21" s="149" t="s">
        <v>130</v>
      </c>
      <c r="C21" s="150" t="s">
        <v>131</v>
      </c>
      <c r="D21" s="151" t="s">
        <v>132</v>
      </c>
      <c r="E21" s="152" t="s">
        <v>133</v>
      </c>
      <c r="F21" s="152" t="s">
        <v>134</v>
      </c>
      <c r="G21" s="152" t="s">
        <v>135</v>
      </c>
      <c r="H21" s="152" t="s">
        <v>136</v>
      </c>
      <c r="O21" s="138">
        <f t="shared" si="3"/>
        <v>2014</v>
      </c>
      <c r="P21" s="138">
        <f t="shared" si="3"/>
        <v>3</v>
      </c>
      <c r="Q21" s="144">
        <v>1.6043956043956045</v>
      </c>
      <c r="R21" s="145">
        <v>1.1438356164383561</v>
      </c>
      <c r="S21" s="145">
        <v>1.0748502994011977</v>
      </c>
      <c r="T21" s="145">
        <v>1.0326303223239157</v>
      </c>
      <c r="U21" s="145">
        <v>1.0281310211946051</v>
      </c>
      <c r="V21" s="145">
        <v>1.0086206896551724</v>
      </c>
      <c r="W21" s="145">
        <v>0</v>
      </c>
      <c r="X21" s="140"/>
      <c r="Y21" s="140"/>
      <c r="Z21" s="140"/>
      <c r="AA21" s="137"/>
      <c r="AB21" s="146">
        <f>SUMPRODUCT(V4:V7,V18:V21)/SUM(V4:V7)</f>
        <v>1.0088314661869326</v>
      </c>
    </row>
    <row r="22" spans="1:28">
      <c r="A22" s="148"/>
      <c r="B22" s="149" t="s">
        <v>137</v>
      </c>
      <c r="C22" s="153">
        <f>CORREL(Q18:Q25,R18:R25)</f>
        <v>0.23467132478318303</v>
      </c>
      <c r="D22" s="153">
        <f>CORREL(R18:R24,S18:S24)</f>
        <v>0.48321102370611058</v>
      </c>
      <c r="E22" s="153">
        <f>CORREL(S18:S23,T18:T23)</f>
        <v>0.16319520894171388</v>
      </c>
      <c r="F22" s="153">
        <f>CORREL(T18:T22,U18:U22)</f>
        <v>-0.19197924552622336</v>
      </c>
      <c r="G22" s="153">
        <f>CORREL(U18:U21,V18:V21)</f>
        <v>6.7035412927945959E-2</v>
      </c>
      <c r="H22" s="153">
        <f>CORREL(V18:V20,W18:W20)</f>
        <v>0.28612120494553622</v>
      </c>
      <c r="O22" s="138">
        <f t="shared" si="3"/>
        <v>2015</v>
      </c>
      <c r="P22" s="138">
        <f t="shared" si="3"/>
        <v>4</v>
      </c>
      <c r="Q22" s="144">
        <v>1.5397324940991346</v>
      </c>
      <c r="R22" s="145">
        <v>1.1665815022994379</v>
      </c>
      <c r="S22" s="145">
        <v>1.0713972842750767</v>
      </c>
      <c r="T22" s="145">
        <v>1.0511038430089943</v>
      </c>
      <c r="U22" s="145">
        <v>1.0186697782963827</v>
      </c>
      <c r="V22" s="145">
        <v>0</v>
      </c>
      <c r="W22" s="140"/>
      <c r="X22" s="140"/>
      <c r="Y22" s="140"/>
      <c r="Z22" s="140"/>
      <c r="AA22" s="137"/>
      <c r="AB22" s="146">
        <f>SUMPRODUCT(U4:U8,U18:U22)/SUM(U4:U8)</f>
        <v>1.0197101847400591</v>
      </c>
    </row>
    <row r="23" spans="1:28">
      <c r="A23" s="148"/>
      <c r="B23" s="149" t="s">
        <v>138</v>
      </c>
      <c r="C23" s="153">
        <f>C22*SQRT((C24)/(1-C22^2))</f>
        <v>0.59133825650096472</v>
      </c>
      <c r="D23" s="153">
        <f t="shared" ref="D23:H23" si="4">D22*SQRT((D24)/(1-D22^2))</f>
        <v>1.2341380512335489</v>
      </c>
      <c r="E23" s="153">
        <f t="shared" si="4"/>
        <v>0.33082553152995786</v>
      </c>
      <c r="F23" s="153">
        <f t="shared" si="4"/>
        <v>-0.33882020673413249</v>
      </c>
      <c r="G23" s="153">
        <f t="shared" si="4"/>
        <v>9.5016119685710526E-2</v>
      </c>
      <c r="H23" s="153">
        <f t="shared" si="4"/>
        <v>0.29860484838459622</v>
      </c>
      <c r="O23" s="138">
        <f t="shared" si="3"/>
        <v>2016</v>
      </c>
      <c r="P23" s="138">
        <f t="shared" si="3"/>
        <v>5</v>
      </c>
      <c r="Q23" s="144">
        <v>1.5982678214523651</v>
      </c>
      <c r="R23" s="145">
        <v>1.1175489787411421</v>
      </c>
      <c r="S23" s="145">
        <v>1.0529653114509512</v>
      </c>
      <c r="T23" s="145">
        <v>1.0403825717321997</v>
      </c>
      <c r="U23" s="145">
        <v>0</v>
      </c>
      <c r="V23" s="140"/>
      <c r="W23" s="140"/>
      <c r="X23" s="140"/>
      <c r="Y23" s="140"/>
      <c r="Z23" s="140"/>
      <c r="AA23" s="137"/>
      <c r="AB23" s="146">
        <f>SUMPRODUCT(T4:T9,T18:T23)/SUM(T4:T9)</f>
        <v>1.0374103278591331</v>
      </c>
    </row>
    <row r="24" spans="1:28">
      <c r="A24" s="148"/>
      <c r="B24" s="149" t="s">
        <v>139</v>
      </c>
      <c r="C24" s="154">
        <v>6</v>
      </c>
      <c r="D24" s="154">
        <f>C24-1</f>
        <v>5</v>
      </c>
      <c r="E24" s="154">
        <f>D24-1</f>
        <v>4</v>
      </c>
      <c r="F24" s="154">
        <f>E24-1</f>
        <v>3</v>
      </c>
      <c r="G24" s="154">
        <f>F24-1</f>
        <v>2</v>
      </c>
      <c r="H24" s="154">
        <f>G24-1</f>
        <v>1</v>
      </c>
      <c r="O24" s="138">
        <f t="shared" si="3"/>
        <v>2017</v>
      </c>
      <c r="P24" s="138">
        <f t="shared" si="3"/>
        <v>6</v>
      </c>
      <c r="Q24" s="144">
        <v>1.6047138047138048</v>
      </c>
      <c r="R24" s="145">
        <v>1.1212757028955098</v>
      </c>
      <c r="S24" s="145">
        <v>1.0737275449101797</v>
      </c>
      <c r="T24" s="145">
        <v>0</v>
      </c>
      <c r="U24" s="140"/>
      <c r="V24" s="140"/>
      <c r="W24" s="140"/>
      <c r="X24" s="140"/>
      <c r="Y24" s="140"/>
      <c r="Z24" s="140"/>
      <c r="AA24" s="137"/>
      <c r="AB24" s="146">
        <f>SUMPRODUCT(S4:S10,S18:S24)/SUM(S4:S10)</f>
        <v>1.0626749946155503</v>
      </c>
    </row>
    <row r="25" spans="1:28">
      <c r="A25" s="148"/>
      <c r="B25" s="149" t="s">
        <v>140</v>
      </c>
      <c r="C25" s="155">
        <f t="shared" ref="C25:H25" si="5">_xlfn.T.DIST.2T(ABS(C23),C24)</f>
        <v>0.57587874891153656</v>
      </c>
      <c r="D25" s="155">
        <f t="shared" si="5"/>
        <v>0.27199094519693362</v>
      </c>
      <c r="E25" s="155">
        <f t="shared" si="5"/>
        <v>0.75738034916775399</v>
      </c>
      <c r="F25" s="155">
        <f t="shared" si="5"/>
        <v>0.75707433238223854</v>
      </c>
      <c r="G25" s="155">
        <f t="shared" si="5"/>
        <v>0.93296458707205332</v>
      </c>
      <c r="H25" s="155">
        <f t="shared" si="5"/>
        <v>0.81526799945823214</v>
      </c>
      <c r="O25" s="138">
        <f t="shared" si="3"/>
        <v>2018</v>
      </c>
      <c r="P25" s="138">
        <f t="shared" si="3"/>
        <v>7</v>
      </c>
      <c r="Q25" s="144">
        <v>1.4863144493952896</v>
      </c>
      <c r="R25" s="145">
        <v>1.09593147751606</v>
      </c>
      <c r="S25" s="145">
        <v>0</v>
      </c>
      <c r="T25" s="140"/>
      <c r="U25" s="140"/>
      <c r="V25" s="140"/>
      <c r="W25" s="140"/>
      <c r="X25" s="140"/>
      <c r="Y25" s="140"/>
      <c r="Z25" s="140"/>
      <c r="AA25" s="137"/>
      <c r="AB25" s="146">
        <f>SUMPRODUCT(R4:R11,R18:R25)/SUM(R4:R11)</f>
        <v>1.1170375852407888</v>
      </c>
    </row>
    <row r="26" spans="1:28">
      <c r="B26" s="135"/>
      <c r="O26" s="138">
        <f t="shared" si="3"/>
        <v>2019</v>
      </c>
      <c r="P26" s="138">
        <f t="shared" si="3"/>
        <v>8</v>
      </c>
      <c r="Q26" s="144">
        <v>1.4260042283298098</v>
      </c>
      <c r="R26" s="145">
        <v>0</v>
      </c>
      <c r="S26" s="140"/>
      <c r="T26" s="140"/>
      <c r="U26" s="140"/>
      <c r="V26" s="140"/>
      <c r="W26" s="140"/>
      <c r="X26" s="140"/>
      <c r="Y26" s="140"/>
      <c r="Z26" s="140"/>
      <c r="AA26" s="137"/>
      <c r="AB26" s="146">
        <f>SUMPRODUCT(Q4:Q12,Q18:Q26)/SUM(Q4:Q12)</f>
        <v>1.4776456111566858</v>
      </c>
    </row>
    <row r="27" spans="1:28">
      <c r="B27" s="135"/>
      <c r="C27" s="18"/>
      <c r="D27" s="108"/>
      <c r="E27" s="134"/>
      <c r="F27" s="134"/>
      <c r="G27" s="134"/>
      <c r="H27" s="134"/>
      <c r="O27" s="138">
        <f t="shared" si="3"/>
        <v>2020</v>
      </c>
      <c r="P27" s="138">
        <f t="shared" si="3"/>
        <v>9</v>
      </c>
      <c r="Q27" s="145">
        <v>0</v>
      </c>
      <c r="R27" s="140"/>
      <c r="S27" s="140"/>
      <c r="T27" s="140"/>
      <c r="U27" s="140"/>
      <c r="V27" s="140"/>
      <c r="W27" s="140"/>
      <c r="X27" s="140"/>
      <c r="Y27" s="140"/>
      <c r="Z27" s="140"/>
      <c r="AA27" s="137"/>
      <c r="AB27" s="137"/>
    </row>
    <row r="28" spans="1:28">
      <c r="A28" s="147" t="s">
        <v>265</v>
      </c>
      <c r="B28" s="156"/>
    </row>
    <row r="29" spans="1:28">
      <c r="A29" s="148"/>
      <c r="B29" s="149" t="s">
        <v>130</v>
      </c>
      <c r="C29" s="150" t="s">
        <v>131</v>
      </c>
      <c r="D29" s="151" t="s">
        <v>132</v>
      </c>
      <c r="E29" s="152" t="s">
        <v>133</v>
      </c>
      <c r="F29" s="152" t="s">
        <v>134</v>
      </c>
      <c r="G29" s="152" t="s">
        <v>135</v>
      </c>
      <c r="H29" s="152" t="s">
        <v>136</v>
      </c>
    </row>
    <row r="30" spans="1:28">
      <c r="A30" s="148"/>
      <c r="B30" s="149" t="s">
        <v>141</v>
      </c>
      <c r="C30" s="324">
        <f t="array" ref="C30">CORREL(RANK(Q18:Q25,Q$18:Q$25,1),RANK(R18:R25,R$18:R$25,1))</f>
        <v>0.30952380952380953</v>
      </c>
      <c r="D30" s="324">
        <f t="array" ref="D30">CORREL(RANK(R18:R24,R$18:R$24,1),RANK(S18:S24,S$18:S$24,1))</f>
        <v>0.39285714285714285</v>
      </c>
      <c r="E30" s="324">
        <f t="array" ref="E30">CORREL(RANK(S18:S23,S$18:S$23,1),RANK(T18:T23,T$18:T$23,1))</f>
        <v>-0.14285714285714288</v>
      </c>
      <c r="F30" s="324">
        <f t="array" ref="F30">CORREL(RANK(T18:T22,T$18:T$22,1),RANK(U18:U22,U$18:U$22,1))</f>
        <v>9.9999999999999978E-2</v>
      </c>
      <c r="G30" s="324">
        <f t="array" ref="G30">CORREL(RANK(U18:U21,U$18:U$21,1),RANK(V18:V21,V$18:V$21,1))</f>
        <v>0.39999999999999991</v>
      </c>
      <c r="H30" s="324">
        <f t="array" ref="H30">CORREL(RANK(V18:V20,V$18:V$20,1),RANK(W18:W20,W$18:W$20,1))</f>
        <v>0.5</v>
      </c>
      <c r="J30" s="325" t="s">
        <v>398</v>
      </c>
      <c r="O30" s="136" t="s">
        <v>266</v>
      </c>
      <c r="P30" s="137"/>
    </row>
    <row r="31" spans="1:28">
      <c r="A31" s="148"/>
      <c r="B31" s="149" t="s">
        <v>138</v>
      </c>
      <c r="C31" s="324">
        <f t="shared" ref="C31:H31" si="6">C30*SQRT((C32)/(1-C30^2))</f>
        <v>0.79733097087469729</v>
      </c>
      <c r="D31" s="324">
        <f t="shared" si="6"/>
        <v>0.95525852715132797</v>
      </c>
      <c r="E31" s="324">
        <f t="shared" si="6"/>
        <v>-0.28867513459481292</v>
      </c>
      <c r="F31" s="324">
        <f t="shared" si="6"/>
        <v>0.1740776559556978</v>
      </c>
      <c r="G31" s="324">
        <f t="shared" si="6"/>
        <v>0.61721339984836754</v>
      </c>
      <c r="H31" s="324">
        <f t="shared" si="6"/>
        <v>0.57735026918962573</v>
      </c>
      <c r="J31" s="325" t="s">
        <v>398</v>
      </c>
      <c r="O31" s="137"/>
      <c r="P31" s="137"/>
      <c r="Q31" s="137"/>
      <c r="R31" s="137"/>
      <c r="S31" s="137"/>
      <c r="T31" s="137"/>
      <c r="U31" s="138" t="s">
        <v>127</v>
      </c>
      <c r="V31" s="137"/>
      <c r="W31" s="137"/>
      <c r="X31" s="137"/>
      <c r="Y31" s="137"/>
      <c r="Z31" s="137"/>
    </row>
    <row r="32" spans="1:28">
      <c r="A32" s="148"/>
      <c r="B32" s="149" t="s">
        <v>139</v>
      </c>
      <c r="C32" s="154">
        <v>6</v>
      </c>
      <c r="D32" s="154">
        <f>C32-1</f>
        <v>5</v>
      </c>
      <c r="E32" s="154">
        <f>D32-1</f>
        <v>4</v>
      </c>
      <c r="F32" s="154">
        <f>E32-1</f>
        <v>3</v>
      </c>
      <c r="G32" s="154">
        <f>F32-1</f>
        <v>2</v>
      </c>
      <c r="H32" s="154">
        <f>G32-1</f>
        <v>1</v>
      </c>
      <c r="O32" s="138" t="s">
        <v>18</v>
      </c>
      <c r="P32" s="138" t="s">
        <v>126</v>
      </c>
      <c r="Q32" s="139">
        <v>0</v>
      </c>
      <c r="R32" s="139">
        <f t="shared" ref="R32:Z32" si="7">Q32+1</f>
        <v>1</v>
      </c>
      <c r="S32" s="139">
        <f t="shared" si="7"/>
        <v>2</v>
      </c>
      <c r="T32" s="139">
        <f t="shared" si="7"/>
        <v>3</v>
      </c>
      <c r="U32" s="139">
        <f t="shared" si="7"/>
        <v>4</v>
      </c>
      <c r="V32" s="139">
        <f t="shared" si="7"/>
        <v>5</v>
      </c>
      <c r="W32" s="139">
        <f t="shared" si="7"/>
        <v>6</v>
      </c>
      <c r="X32" s="139">
        <f t="shared" si="7"/>
        <v>7</v>
      </c>
      <c r="Y32" s="139">
        <f t="shared" si="7"/>
        <v>8</v>
      </c>
      <c r="Z32" s="139">
        <f t="shared" si="7"/>
        <v>9</v>
      </c>
      <c r="AA32" s="157" t="s">
        <v>267</v>
      </c>
    </row>
    <row r="33" spans="1:28">
      <c r="A33" s="148"/>
      <c r="B33" s="149" t="s">
        <v>140</v>
      </c>
      <c r="C33" s="155">
        <f t="shared" ref="C33:H33" si="8">_xlfn.T.DIST.2T(ABS(C31),C32)</f>
        <v>0.45564489073758219</v>
      </c>
      <c r="D33" s="155">
        <f t="shared" si="8"/>
        <v>0.38331687042697293</v>
      </c>
      <c r="E33" s="155">
        <f t="shared" si="8"/>
        <v>0.7871720116618075</v>
      </c>
      <c r="F33" s="155">
        <f t="shared" si="8"/>
        <v>0.87288857156953825</v>
      </c>
      <c r="G33" s="155">
        <f t="shared" si="8"/>
        <v>0.6</v>
      </c>
      <c r="H33" s="155">
        <f t="shared" si="8"/>
        <v>0.66666666666666663</v>
      </c>
      <c r="O33" s="138">
        <v>2011</v>
      </c>
      <c r="P33" s="138">
        <v>0</v>
      </c>
      <c r="Q33" s="140">
        <v>1930</v>
      </c>
      <c r="R33" s="140">
        <v>2481</v>
      </c>
      <c r="S33" s="140">
        <v>2786</v>
      </c>
      <c r="T33" s="140">
        <v>2917</v>
      </c>
      <c r="U33" s="140">
        <v>3025</v>
      </c>
      <c r="V33" s="140">
        <v>3084</v>
      </c>
      <c r="W33" s="140">
        <v>3114</v>
      </c>
      <c r="X33" s="140">
        <v>3133</v>
      </c>
      <c r="Y33" s="140">
        <v>3149</v>
      </c>
      <c r="Z33" s="132">
        <v>3155</v>
      </c>
      <c r="AA33" s="158">
        <v>0</v>
      </c>
    </row>
    <row r="34" spans="1:28">
      <c r="O34" s="138">
        <f t="shared" ref="O34:P42" si="9">O33+1</f>
        <v>2012</v>
      </c>
      <c r="P34" s="138">
        <f t="shared" si="9"/>
        <v>1</v>
      </c>
      <c r="Q34" s="140">
        <v>1831</v>
      </c>
      <c r="R34" s="140">
        <v>2498</v>
      </c>
      <c r="S34" s="140">
        <v>2769</v>
      </c>
      <c r="T34" s="140">
        <v>2952</v>
      </c>
      <c r="U34" s="140">
        <v>3053</v>
      </c>
      <c r="V34" s="140">
        <v>3102</v>
      </c>
      <c r="W34" s="140">
        <v>3127</v>
      </c>
      <c r="X34" s="140">
        <v>3144</v>
      </c>
      <c r="Y34" s="140">
        <v>3159</v>
      </c>
      <c r="Z34" s="133">
        <f>Y34*$AB$18</f>
        <v>3165.019053667831</v>
      </c>
      <c r="AA34" s="159">
        <f>Z34-Y34</f>
        <v>6.0190536678310309</v>
      </c>
    </row>
    <row r="35" spans="1:28">
      <c r="O35" s="138">
        <f t="shared" si="9"/>
        <v>2013</v>
      </c>
      <c r="P35" s="138">
        <f t="shared" si="9"/>
        <v>2</v>
      </c>
      <c r="Q35" s="140">
        <v>1873</v>
      </c>
      <c r="R35" s="140">
        <v>2820</v>
      </c>
      <c r="S35" s="140">
        <v>3043</v>
      </c>
      <c r="T35" s="140">
        <v>3216</v>
      </c>
      <c r="U35" s="140">
        <v>3317</v>
      </c>
      <c r="V35" s="140">
        <v>3375</v>
      </c>
      <c r="W35" s="140">
        <v>3405</v>
      </c>
      <c r="X35" s="140">
        <v>3418</v>
      </c>
      <c r="Y35" s="133">
        <f>X35*$AB$19</f>
        <v>3434.8803568583717</v>
      </c>
      <c r="Z35" s="133">
        <f>Y35*$AB$18</f>
        <v>3441.4250637942719</v>
      </c>
      <c r="AA35" s="159">
        <f>Z35-X35</f>
        <v>23.425063794271864</v>
      </c>
    </row>
    <row r="36" spans="1:28">
      <c r="A36" s="5" t="s">
        <v>16</v>
      </c>
      <c r="B36" s="38" t="s">
        <v>268</v>
      </c>
      <c r="C36" s="5"/>
      <c r="D36" s="5"/>
      <c r="E36" s="5"/>
      <c r="F36" s="5"/>
      <c r="G36" s="5"/>
      <c r="H36" s="5"/>
      <c r="I36" s="5"/>
      <c r="J36" s="5"/>
      <c r="K36" s="5"/>
      <c r="L36" s="5"/>
      <c r="M36" s="13"/>
      <c r="O36" s="138">
        <f t="shared" si="9"/>
        <v>2014</v>
      </c>
      <c r="P36" s="138">
        <f t="shared" si="9"/>
        <v>3</v>
      </c>
      <c r="Q36" s="140">
        <v>1274</v>
      </c>
      <c r="R36" s="140">
        <v>2044</v>
      </c>
      <c r="S36" s="140">
        <v>2338</v>
      </c>
      <c r="T36" s="140">
        <v>2513</v>
      </c>
      <c r="U36" s="140">
        <v>2595</v>
      </c>
      <c r="V36" s="140">
        <v>2668</v>
      </c>
      <c r="W36" s="140">
        <v>2691</v>
      </c>
      <c r="X36" s="133">
        <f>W36*$AB$20</f>
        <v>2704.6698113207549</v>
      </c>
      <c r="Y36" s="133">
        <f>X36*$AB$19</f>
        <v>2718.0272693661495</v>
      </c>
      <c r="Z36" s="133">
        <f>Y36*$AB$18</f>
        <v>2723.2061082407754</v>
      </c>
      <c r="AA36" s="159">
        <f>Z36-W36</f>
        <v>32.206108240775393</v>
      </c>
    </row>
    <row r="37" spans="1:28" ht="16.2">
      <c r="A37" s="38"/>
      <c r="B37" s="10" t="s">
        <v>0</v>
      </c>
      <c r="C37" s="38"/>
      <c r="D37" s="38"/>
      <c r="E37" s="38"/>
      <c r="F37" s="38"/>
      <c r="G37" s="38"/>
      <c r="H37" s="38"/>
      <c r="I37" s="38"/>
      <c r="J37" s="38"/>
      <c r="K37" s="38"/>
      <c r="L37" s="38"/>
      <c r="M37" s="38"/>
      <c r="O37" s="138">
        <f t="shared" si="9"/>
        <v>2015</v>
      </c>
      <c r="P37" s="138">
        <f t="shared" si="9"/>
        <v>4</v>
      </c>
      <c r="Q37" s="140">
        <v>1271</v>
      </c>
      <c r="R37" s="140">
        <v>1957</v>
      </c>
      <c r="S37" s="140">
        <v>2283</v>
      </c>
      <c r="T37" s="140">
        <v>2446</v>
      </c>
      <c r="U37" s="140">
        <v>2571</v>
      </c>
      <c r="V37" s="140">
        <v>2619</v>
      </c>
      <c r="W37" s="133">
        <f>V37*$AB$21</f>
        <v>2642.1296099435767</v>
      </c>
      <c r="X37" s="133">
        <f>W37*$AB$20</f>
        <v>2655.5511681943785</v>
      </c>
      <c r="Y37" s="133">
        <f>X37*$AB$19</f>
        <v>2668.6660457177218</v>
      </c>
      <c r="Z37" s="133">
        <f>Y37*$AB$18</f>
        <v>2673.7508333564342</v>
      </c>
      <c r="AA37" s="159">
        <f>Z37-V37</f>
        <v>54.750833356434214</v>
      </c>
    </row>
    <row r="38" spans="1:28">
      <c r="O38" s="138">
        <f t="shared" si="9"/>
        <v>2016</v>
      </c>
      <c r="P38" s="138">
        <f t="shared" si="9"/>
        <v>5</v>
      </c>
      <c r="Q38" s="140">
        <v>1501</v>
      </c>
      <c r="R38" s="140">
        <v>2399</v>
      </c>
      <c r="S38" s="140">
        <v>2681</v>
      </c>
      <c r="T38" s="140">
        <v>2823</v>
      </c>
      <c r="U38" s="140">
        <v>2937</v>
      </c>
      <c r="V38" s="133">
        <f>U38*$AB$22</f>
        <v>2994.8888125815538</v>
      </c>
      <c r="W38" s="133">
        <f>V38*$AB$21</f>
        <v>3021.3380718634908</v>
      </c>
      <c r="X38" s="133">
        <f>W38*$AB$20</f>
        <v>3036.6859430558306</v>
      </c>
      <c r="Y38" s="133">
        <f>X38*$AB$19</f>
        <v>3051.6831175396178</v>
      </c>
      <c r="Z38" s="133">
        <f>Y38*$AB$18</f>
        <v>3057.4976931843421</v>
      </c>
      <c r="AA38" s="159">
        <f>Z38-U38</f>
        <v>120.4976931843421</v>
      </c>
    </row>
    <row r="39" spans="1:28">
      <c r="B39" s="1" t="s">
        <v>397</v>
      </c>
      <c r="O39" s="138">
        <f t="shared" si="9"/>
        <v>2017</v>
      </c>
      <c r="P39" s="138">
        <f t="shared" si="9"/>
        <v>6</v>
      </c>
      <c r="Q39" s="140">
        <v>1485</v>
      </c>
      <c r="R39" s="140">
        <v>2383</v>
      </c>
      <c r="S39" s="140">
        <v>2672</v>
      </c>
      <c r="T39" s="140">
        <v>2869</v>
      </c>
      <c r="U39" s="133">
        <f>T39*$AB$23</f>
        <v>2976.3302306278529</v>
      </c>
      <c r="V39" s="133">
        <f t="shared" ref="V39:V42" si="10">U39*$AB$22</f>
        <v>3034.9942493209505</v>
      </c>
      <c r="W39" s="133">
        <f>V39*$AB$21</f>
        <v>3061.7976984113634</v>
      </c>
      <c r="X39" s="133">
        <f>W39*$AB$20</f>
        <v>3077.3510974598971</v>
      </c>
      <c r="Y39" s="133">
        <f t="shared" ref="Y39:Y42" si="11">X39*$AB$19</f>
        <v>3092.5491035171308</v>
      </c>
      <c r="Z39" s="133">
        <f t="shared" ref="Z39:Z42" si="12">Y39*$AB$18</f>
        <v>3098.4415438540955</v>
      </c>
      <c r="AA39" s="159">
        <f>Z39-T39</f>
        <v>229.44154385409547</v>
      </c>
    </row>
    <row r="40" spans="1:28">
      <c r="B40" s="19" t="s">
        <v>269</v>
      </c>
      <c r="O40" s="138">
        <f t="shared" si="9"/>
        <v>2018</v>
      </c>
      <c r="P40" s="138">
        <f t="shared" si="9"/>
        <v>7</v>
      </c>
      <c r="Q40" s="140">
        <v>1571</v>
      </c>
      <c r="R40" s="140">
        <v>2335</v>
      </c>
      <c r="S40" s="140">
        <v>2559</v>
      </c>
      <c r="T40" s="133">
        <f>S40*$AB$24</f>
        <v>2719.3853112211932</v>
      </c>
      <c r="U40" s="133">
        <f>T40*$AB$23</f>
        <v>2821.1184072892888</v>
      </c>
      <c r="V40" s="133">
        <f t="shared" si="10"/>
        <v>2876.7231722705419</v>
      </c>
      <c r="W40" s="133">
        <f t="shared" ref="W40:W42" si="13">V40*$AB$21</f>
        <v>2902.1288556956147</v>
      </c>
      <c r="X40" s="133">
        <f t="shared" ref="X40:X42" si="14">W40*$AB$20</f>
        <v>2916.8711648319495</v>
      </c>
      <c r="Y40" s="133">
        <f t="shared" si="11"/>
        <v>2931.2766142679525</v>
      </c>
      <c r="Z40" s="133">
        <f t="shared" si="12"/>
        <v>2936.8617713608733</v>
      </c>
      <c r="AA40" s="159">
        <f>Z40-S40</f>
        <v>377.86177136087326</v>
      </c>
    </row>
    <row r="41" spans="1:28">
      <c r="O41" s="138">
        <f t="shared" si="9"/>
        <v>2019</v>
      </c>
      <c r="P41" s="138">
        <f t="shared" si="9"/>
        <v>8</v>
      </c>
      <c r="Q41" s="140">
        <v>1892</v>
      </c>
      <c r="R41" s="140">
        <v>2698</v>
      </c>
      <c r="S41" s="133">
        <f>R41*$AB$25</f>
        <v>3013.7674049796483</v>
      </c>
      <c r="T41" s="133">
        <f>S41*$AB$24</f>
        <v>3202.6552608592688</v>
      </c>
      <c r="U41" s="133">
        <f>T41*$AB$23</f>
        <v>3322.4676441877914</v>
      </c>
      <c r="V41" s="133">
        <f t="shared" si="10"/>
        <v>3387.9540952476018</v>
      </c>
      <c r="W41" s="133">
        <f t="shared" si="13"/>
        <v>3417.8746972826611</v>
      </c>
      <c r="X41" s="133">
        <f t="shared" si="14"/>
        <v>3435.2369054691476</v>
      </c>
      <c r="Y41" s="133">
        <f t="shared" si="11"/>
        <v>3452.2023896287051</v>
      </c>
      <c r="Z41" s="133">
        <f t="shared" si="12"/>
        <v>3458.7801013904618</v>
      </c>
      <c r="AA41" s="159">
        <f>Z41-R41</f>
        <v>760.78010139046182</v>
      </c>
    </row>
    <row r="42" spans="1:28">
      <c r="O42" s="138">
        <f t="shared" si="9"/>
        <v>2020</v>
      </c>
      <c r="P42" s="138">
        <f t="shared" si="9"/>
        <v>9</v>
      </c>
      <c r="Q42" s="140">
        <v>1532</v>
      </c>
      <c r="R42" s="133">
        <f>Q42*$AB$26</f>
        <v>2263.7530762920428</v>
      </c>
      <c r="S42" s="133">
        <f>R42*$AB$25</f>
        <v>2528.6972699226708</v>
      </c>
      <c r="T42" s="133">
        <f>S42*$AB$24</f>
        <v>2687.1833576994309</v>
      </c>
      <c r="U42" s="133">
        <f>T42*$AB$23</f>
        <v>2787.7117681285727</v>
      </c>
      <c r="V42" s="133">
        <f t="shared" si="10"/>
        <v>2842.6580820804238</v>
      </c>
      <c r="W42" s="133">
        <f t="shared" si="13"/>
        <v>2867.762920813328</v>
      </c>
      <c r="X42" s="133">
        <f t="shared" si="14"/>
        <v>2882.3306569858196</v>
      </c>
      <c r="Y42" s="133">
        <f t="shared" si="11"/>
        <v>2896.5655224257684</v>
      </c>
      <c r="Z42" s="133">
        <f t="shared" si="12"/>
        <v>2902.0845421572876</v>
      </c>
      <c r="AA42" s="159">
        <f>Z42-Q42</f>
        <v>1370.0845421572876</v>
      </c>
    </row>
    <row r="43" spans="1:28">
      <c r="O43" s="131"/>
      <c r="P43" s="131"/>
      <c r="Q43" s="132"/>
      <c r="R43" s="133"/>
      <c r="S43" s="133"/>
      <c r="T43" s="133"/>
      <c r="U43" s="133"/>
      <c r="V43" s="133"/>
      <c r="W43" s="133"/>
      <c r="X43" s="133"/>
      <c r="Y43" s="133"/>
      <c r="Z43" s="133"/>
      <c r="AA43" s="159">
        <f>SUM(AA33:AA42)</f>
        <v>2975.0667110063728</v>
      </c>
      <c r="AB43" s="160" t="s">
        <v>270</v>
      </c>
    </row>
  </sheetData>
  <mergeCells count="1">
    <mergeCell ref="A3:M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70"/>
  <sheetViews>
    <sheetView workbookViewId="0"/>
  </sheetViews>
  <sheetFormatPr defaultColWidth="8.77734375" defaultRowHeight="15.6"/>
  <cols>
    <col min="1" max="1" width="14.77734375" style="6" customWidth="1"/>
    <col min="2" max="8" width="15.77734375" style="6" customWidth="1"/>
    <col min="9" max="9" width="8.77734375" style="6" customWidth="1"/>
    <col min="10" max="10" width="14" style="6" customWidth="1"/>
    <col min="11" max="11" width="14.77734375" style="6" customWidth="1"/>
    <col min="12" max="12" width="16" style="6" customWidth="1"/>
    <col min="13" max="13" width="11.21875" style="6" customWidth="1"/>
    <col min="14" max="16384" width="8.77734375" style="6"/>
  </cols>
  <sheetData>
    <row r="1" spans="1:14" ht="18" customHeight="1">
      <c r="A1" s="234" t="s">
        <v>15</v>
      </c>
      <c r="B1" s="101"/>
      <c r="C1" s="92" t="s">
        <v>6</v>
      </c>
      <c r="D1" s="36"/>
      <c r="E1" s="36"/>
      <c r="F1" s="36"/>
      <c r="G1" s="36"/>
      <c r="H1" s="36"/>
      <c r="I1" s="36"/>
      <c r="J1" s="36"/>
      <c r="K1" s="36"/>
      <c r="L1" s="36"/>
      <c r="M1" s="36"/>
      <c r="N1" s="1"/>
    </row>
    <row r="2" spans="1:14">
      <c r="A2" s="36"/>
      <c r="B2" s="36"/>
      <c r="C2" s="36"/>
      <c r="D2" s="36"/>
      <c r="E2" s="36"/>
      <c r="F2" s="36"/>
      <c r="G2" s="36"/>
      <c r="H2" s="36"/>
      <c r="I2" s="36"/>
      <c r="J2" s="36"/>
      <c r="K2" s="36"/>
      <c r="L2" s="36"/>
      <c r="M2" s="36"/>
    </row>
    <row r="3" spans="1:14">
      <c r="A3" s="514" t="s">
        <v>364</v>
      </c>
      <c r="B3" s="514"/>
      <c r="C3" s="514"/>
      <c r="D3" s="514"/>
      <c r="E3" s="514"/>
      <c r="F3" s="514"/>
      <c r="G3" s="514"/>
      <c r="H3" s="514"/>
      <c r="I3" s="514"/>
      <c r="J3" s="514"/>
      <c r="K3" s="514"/>
      <c r="L3" s="514"/>
      <c r="M3" s="514"/>
    </row>
    <row r="4" spans="1:14">
      <c r="A4" s="96"/>
      <c r="B4" s="277"/>
      <c r="C4" s="278"/>
      <c r="D4" s="36"/>
      <c r="E4" s="36"/>
      <c r="F4" s="36"/>
      <c r="G4" s="36"/>
      <c r="H4" s="36"/>
      <c r="I4" s="36"/>
      <c r="J4" s="36"/>
      <c r="K4" s="36"/>
      <c r="L4" s="36"/>
      <c r="M4" s="218"/>
    </row>
    <row r="5" spans="1:14" customFormat="1">
      <c r="A5" s="216" t="s">
        <v>365</v>
      </c>
      <c r="B5" s="277"/>
      <c r="C5" s="222"/>
      <c r="D5" s="222"/>
      <c r="E5" s="222"/>
      <c r="F5" s="222"/>
      <c r="G5" s="36"/>
      <c r="H5" s="36"/>
      <c r="I5" s="222"/>
      <c r="J5" s="427"/>
      <c r="K5" s="453" t="s">
        <v>362</v>
      </c>
      <c r="L5" s="454">
        <v>46023</v>
      </c>
      <c r="M5" s="222"/>
    </row>
    <row r="6" spans="1:14" customFormat="1">
      <c r="A6" s="216" t="s">
        <v>366</v>
      </c>
      <c r="B6" s="277"/>
      <c r="C6" s="222"/>
      <c r="D6" s="222"/>
      <c r="E6" s="222"/>
      <c r="F6" s="222"/>
      <c r="G6" s="36"/>
      <c r="H6" s="36"/>
      <c r="I6" s="222"/>
      <c r="J6" s="427"/>
      <c r="K6" s="453" t="s">
        <v>363</v>
      </c>
      <c r="L6" s="455">
        <v>1000000</v>
      </c>
      <c r="M6" s="222"/>
    </row>
    <row r="7" spans="1:14" customFormat="1">
      <c r="A7" s="216" t="s">
        <v>367</v>
      </c>
      <c r="B7" s="277"/>
      <c r="C7" s="222"/>
      <c r="D7" s="222"/>
      <c r="E7" s="222"/>
      <c r="F7" s="222"/>
      <c r="G7" s="36"/>
      <c r="H7" s="36"/>
      <c r="I7" s="222"/>
      <c r="J7" s="456">
        <v>0.5</v>
      </c>
      <c r="K7" s="344" t="s">
        <v>484</v>
      </c>
      <c r="L7" s="454">
        <v>46023</v>
      </c>
      <c r="M7" s="222"/>
    </row>
    <row r="8" spans="1:14" customFormat="1">
      <c r="A8" s="216" t="s">
        <v>368</v>
      </c>
      <c r="B8" s="279"/>
      <c r="C8" s="222"/>
      <c r="D8" s="222"/>
      <c r="E8" s="222"/>
      <c r="F8" s="222"/>
      <c r="G8" s="36"/>
      <c r="H8" s="36"/>
      <c r="I8" s="222"/>
      <c r="J8" s="456">
        <v>0.5</v>
      </c>
      <c r="K8" s="344" t="s">
        <v>484</v>
      </c>
      <c r="L8" s="454">
        <v>46204</v>
      </c>
      <c r="M8" s="222"/>
    </row>
    <row r="9" spans="1:14" customFormat="1">
      <c r="A9" s="216" t="s">
        <v>369</v>
      </c>
      <c r="B9" s="277"/>
      <c r="C9" s="222"/>
      <c r="D9" s="222"/>
      <c r="E9" s="222"/>
      <c r="F9" s="222"/>
      <c r="G9" s="36"/>
      <c r="H9" s="36"/>
      <c r="I9" s="222"/>
      <c r="J9" s="427"/>
      <c r="K9" s="453" t="s">
        <v>485</v>
      </c>
      <c r="L9" s="454">
        <v>47119</v>
      </c>
      <c r="M9" s="222"/>
    </row>
    <row r="10" spans="1:14" customFormat="1">
      <c r="A10" s="216" t="s">
        <v>370</v>
      </c>
      <c r="B10" s="277"/>
      <c r="C10" s="222"/>
      <c r="D10" s="222"/>
      <c r="E10" s="222"/>
      <c r="F10" s="222"/>
      <c r="G10" s="36"/>
      <c r="H10" s="36"/>
      <c r="I10" s="222"/>
      <c r="J10" s="222"/>
      <c r="K10" s="222"/>
      <c r="L10" s="222"/>
      <c r="M10" s="222"/>
    </row>
    <row r="11" spans="1:14" customFormat="1">
      <c r="A11" s="267"/>
      <c r="B11" s="222"/>
      <c r="C11" s="222"/>
      <c r="D11" s="222"/>
      <c r="E11" s="222"/>
      <c r="F11" s="222"/>
      <c r="G11" s="36"/>
      <c r="H11" s="36"/>
      <c r="I11" s="222"/>
      <c r="J11" s="222"/>
      <c r="K11" s="222"/>
      <c r="L11" s="222"/>
      <c r="M11" s="222"/>
    </row>
    <row r="12" spans="1:14" customFormat="1" ht="31.2">
      <c r="A12" s="267"/>
      <c r="B12" s="211" t="s">
        <v>1</v>
      </c>
      <c r="C12" s="211" t="s">
        <v>117</v>
      </c>
      <c r="D12" s="222"/>
      <c r="E12" s="222"/>
      <c r="F12" s="222"/>
      <c r="G12" s="36"/>
      <c r="H12" s="36"/>
      <c r="I12" s="222"/>
      <c r="J12" s="222"/>
      <c r="K12" s="222"/>
      <c r="L12" s="222"/>
      <c r="M12" s="222"/>
    </row>
    <row r="13" spans="1:14" customFormat="1">
      <c r="A13" s="267"/>
      <c r="B13" s="280">
        <v>0.04</v>
      </c>
      <c r="C13" s="280">
        <v>1.2</v>
      </c>
      <c r="D13" s="222"/>
      <c r="E13" s="222"/>
      <c r="F13" s="222"/>
      <c r="G13" s="36"/>
      <c r="H13" s="36"/>
      <c r="I13" s="222"/>
      <c r="J13" s="222"/>
      <c r="K13" s="222"/>
      <c r="L13" s="222"/>
      <c r="M13" s="222"/>
    </row>
    <row r="14" spans="1:14" customFormat="1">
      <c r="A14" s="267"/>
      <c r="B14" s="280">
        <v>0.06</v>
      </c>
      <c r="C14" s="280">
        <v>0.75</v>
      </c>
      <c r="D14" s="222"/>
      <c r="E14" s="222"/>
      <c r="F14" s="222"/>
      <c r="G14" s="36"/>
      <c r="H14" s="36"/>
      <c r="I14" s="222"/>
      <c r="J14" s="222"/>
      <c r="K14" s="222"/>
      <c r="L14" s="222"/>
      <c r="M14" s="222"/>
    </row>
    <row r="15" spans="1:14" customFormat="1">
      <c r="A15" s="267"/>
      <c r="B15" s="280">
        <v>0.9</v>
      </c>
      <c r="C15" s="280">
        <v>0.6</v>
      </c>
      <c r="D15" s="222"/>
      <c r="E15" s="222"/>
      <c r="F15" s="222"/>
      <c r="G15" s="36"/>
      <c r="H15" s="36"/>
      <c r="I15" s="222"/>
      <c r="J15" s="222"/>
      <c r="K15" s="222"/>
      <c r="L15" s="222"/>
      <c r="M15" s="222"/>
    </row>
    <row r="16" spans="1:14" customFormat="1">
      <c r="A16" s="267"/>
      <c r="B16" s="281"/>
      <c r="C16" s="282"/>
      <c r="D16" s="222"/>
      <c r="E16" s="222"/>
      <c r="F16" s="222"/>
      <c r="G16" s="36"/>
      <c r="H16" s="36"/>
      <c r="I16" s="222"/>
      <c r="J16" s="222"/>
      <c r="K16" s="222"/>
      <c r="L16" s="222"/>
      <c r="M16" s="222"/>
    </row>
    <row r="17" spans="1:13" customFormat="1">
      <c r="A17" s="267" t="s">
        <v>118</v>
      </c>
      <c r="B17" s="281"/>
      <c r="C17" s="282"/>
      <c r="D17" s="222"/>
      <c r="E17" s="222"/>
      <c r="F17" s="222"/>
      <c r="G17" s="36"/>
      <c r="H17" s="36"/>
      <c r="I17" s="222"/>
      <c r="J17" s="222"/>
      <c r="K17" s="457" t="s">
        <v>229</v>
      </c>
      <c r="L17" s="283">
        <v>0.03</v>
      </c>
      <c r="M17" s="222"/>
    </row>
    <row r="18" spans="1:13" ht="16.2">
      <c r="A18" s="245"/>
      <c r="B18" s="36"/>
      <c r="C18" s="36"/>
      <c r="D18" s="36"/>
      <c r="E18" s="36"/>
      <c r="F18" s="36"/>
      <c r="G18" s="36"/>
      <c r="H18" s="92"/>
      <c r="I18" s="92"/>
      <c r="J18" s="193"/>
      <c r="K18" s="193"/>
      <c r="L18" s="193"/>
      <c r="M18" s="218"/>
    </row>
    <row r="19" spans="1:13">
      <c r="A19" s="181" t="s">
        <v>2</v>
      </c>
      <c r="B19" s="5" t="s">
        <v>486</v>
      </c>
      <c r="C19" s="36"/>
      <c r="D19" s="36"/>
      <c r="E19" s="36"/>
      <c r="F19" s="36"/>
      <c r="G19" s="36"/>
      <c r="H19" s="36"/>
      <c r="I19" s="36"/>
      <c r="J19" s="36"/>
      <c r="K19" s="36"/>
      <c r="L19" s="36"/>
      <c r="M19" s="218"/>
    </row>
    <row r="20" spans="1:13">
      <c r="A20" s="217"/>
      <c r="B20" s="36"/>
      <c r="C20" s="36"/>
      <c r="D20" s="36"/>
      <c r="E20" s="36"/>
      <c r="F20" s="36"/>
      <c r="G20" s="36"/>
      <c r="H20" s="36"/>
      <c r="I20" s="36"/>
      <c r="J20" s="36"/>
      <c r="K20" s="36"/>
      <c r="L20" s="36"/>
      <c r="M20" s="218"/>
    </row>
    <row r="21" spans="1:13">
      <c r="A21" s="217"/>
      <c r="B21" s="36" t="s">
        <v>223</v>
      </c>
      <c r="C21" s="36"/>
      <c r="D21" s="36"/>
      <c r="E21" s="36"/>
      <c r="F21" s="36"/>
      <c r="G21" s="36"/>
      <c r="H21" s="36"/>
      <c r="I21" s="36"/>
      <c r="J21" s="36"/>
      <c r="K21" s="36"/>
      <c r="L21" s="36"/>
      <c r="M21" s="218"/>
    </row>
    <row r="22" spans="1:13" ht="16.2">
      <c r="A22" s="92"/>
      <c r="B22" s="92" t="s">
        <v>0</v>
      </c>
      <c r="C22" s="92"/>
      <c r="D22" s="193"/>
      <c r="E22" s="193"/>
      <c r="F22" s="36"/>
      <c r="G22" s="36"/>
      <c r="H22" s="36"/>
      <c r="I22" s="36"/>
      <c r="J22" s="36"/>
      <c r="K22" s="36"/>
      <c r="L22" s="36"/>
      <c r="M22" s="218"/>
    </row>
    <row r="23" spans="1:13">
      <c r="A23" s="1"/>
      <c r="B23" s="1"/>
      <c r="C23" s="1"/>
      <c r="D23" s="1"/>
      <c r="E23" s="1"/>
      <c r="F23" s="1"/>
      <c r="G23" s="1"/>
      <c r="H23" s="1"/>
      <c r="I23" s="1"/>
      <c r="J23" s="1"/>
      <c r="K23" s="1"/>
      <c r="L23" s="1"/>
      <c r="M23" s="1"/>
    </row>
    <row r="24" spans="1:13">
      <c r="A24" s="1"/>
      <c r="B24" s="399" t="s">
        <v>1</v>
      </c>
      <c r="C24" s="418" t="s">
        <v>373</v>
      </c>
      <c r="D24" s="297" t="s">
        <v>225</v>
      </c>
      <c r="E24" s="297" t="s">
        <v>231</v>
      </c>
      <c r="F24" s="297" t="s">
        <v>232</v>
      </c>
      <c r="G24" s="297" t="s">
        <v>233</v>
      </c>
      <c r="H24" s="1"/>
      <c r="I24" s="1"/>
      <c r="J24" s="1"/>
      <c r="K24" s="1"/>
      <c r="L24" s="1"/>
      <c r="M24" s="1"/>
    </row>
    <row r="25" spans="1:13">
      <c r="A25" s="1"/>
      <c r="B25" s="285">
        <v>0.04</v>
      </c>
      <c r="C25" s="463">
        <v>1.2</v>
      </c>
      <c r="D25" s="458">
        <f>C25*$L$6</f>
        <v>1200000</v>
      </c>
      <c r="E25" s="458">
        <f>D25/(1+$L$17)^3</f>
        <v>1098169.9912237914</v>
      </c>
      <c r="F25" s="458">
        <f>$E$32</f>
        <v>694865.24735750258</v>
      </c>
      <c r="G25" s="458">
        <f>F25-E25</f>
        <v>-403304.7438662888</v>
      </c>
      <c r="H25" s="1"/>
      <c r="I25" s="1"/>
      <c r="J25" s="1"/>
      <c r="K25" s="1"/>
      <c r="L25" s="1"/>
      <c r="M25" s="1"/>
    </row>
    <row r="26" spans="1:13">
      <c r="A26" s="1"/>
      <c r="B26" s="285">
        <v>0.06</v>
      </c>
      <c r="C26" s="463">
        <v>0.75</v>
      </c>
      <c r="D26" s="458">
        <f>C26*$L$6</f>
        <v>750000</v>
      </c>
      <c r="E26" s="458">
        <f>D26/(1+$L$17)^3</f>
        <v>686356.24451486964</v>
      </c>
      <c r="F26" s="458">
        <f t="shared" ref="F26:F27" si="0">$E$32</f>
        <v>694865.24735750258</v>
      </c>
      <c r="G26" s="458">
        <f t="shared" ref="G26:G27" si="1">F26-E26</f>
        <v>8509.0028426329372</v>
      </c>
      <c r="H26" s="1"/>
      <c r="I26" s="1"/>
      <c r="J26" s="1"/>
      <c r="K26" s="1"/>
      <c r="L26" s="1"/>
      <c r="M26" s="1"/>
    </row>
    <row r="27" spans="1:13">
      <c r="A27" s="1"/>
      <c r="B27" s="285">
        <v>0.9</v>
      </c>
      <c r="C27" s="463">
        <v>0.6</v>
      </c>
      <c r="D27" s="458">
        <f>C27*$L$6</f>
        <v>600000</v>
      </c>
      <c r="E27" s="458">
        <f>D27/(1+$L$17)^3</f>
        <v>549084.99561189569</v>
      </c>
      <c r="F27" s="458">
        <f t="shared" si="0"/>
        <v>694865.24735750258</v>
      </c>
      <c r="G27" s="458">
        <f t="shared" si="1"/>
        <v>145780.25174560689</v>
      </c>
      <c r="H27" s="1"/>
      <c r="I27" s="1"/>
      <c r="J27" s="1"/>
      <c r="K27" s="1"/>
      <c r="L27" s="1"/>
      <c r="M27" s="1"/>
    </row>
    <row r="28" spans="1:13">
      <c r="A28" s="1"/>
      <c r="B28" s="1"/>
      <c r="C28" s="1"/>
      <c r="D28" s="110"/>
      <c r="E28" s="1"/>
      <c r="F28" s="1"/>
      <c r="G28" s="1"/>
      <c r="H28" s="1"/>
      <c r="I28" s="1"/>
      <c r="J28" s="1"/>
      <c r="K28" s="1"/>
      <c r="L28" s="1"/>
      <c r="M28" s="1"/>
    </row>
    <row r="29" spans="1:13">
      <c r="A29" s="1"/>
      <c r="B29" s="297" t="s">
        <v>227</v>
      </c>
      <c r="C29" s="297" t="s">
        <v>35</v>
      </c>
      <c r="D29" s="303" t="s">
        <v>228</v>
      </c>
      <c r="E29" s="297" t="s">
        <v>154</v>
      </c>
      <c r="F29" s="297" t="s">
        <v>230</v>
      </c>
      <c r="G29" s="1"/>
      <c r="H29" s="1"/>
      <c r="I29" s="1"/>
      <c r="J29" s="1"/>
      <c r="K29" s="1"/>
      <c r="L29" s="1"/>
    </row>
    <row r="30" spans="1:13">
      <c r="A30" s="1"/>
      <c r="B30" s="297">
        <v>0</v>
      </c>
      <c r="C30" s="458">
        <f>50%*$L$6</f>
        <v>500000</v>
      </c>
      <c r="D30" s="303">
        <f>-30%*C30</f>
        <v>-150000</v>
      </c>
      <c r="E30" s="458">
        <f>SUM(C30:D30)</f>
        <v>350000</v>
      </c>
      <c r="F30" s="423">
        <f>1/(1+$L$17)^B30</f>
        <v>1</v>
      </c>
      <c r="G30" s="1"/>
      <c r="H30" s="1"/>
      <c r="I30" s="1"/>
      <c r="J30" s="1"/>
      <c r="K30" s="1"/>
      <c r="L30" s="1"/>
    </row>
    <row r="31" spans="1:13">
      <c r="A31" s="1"/>
      <c r="B31" s="297">
        <v>0.5</v>
      </c>
      <c r="C31" s="458">
        <f>50%*$L$6</f>
        <v>500000</v>
      </c>
      <c r="D31" s="303">
        <f>-30%*C31</f>
        <v>-150000</v>
      </c>
      <c r="E31" s="458">
        <f>SUM(C31:D31)</f>
        <v>350000</v>
      </c>
      <c r="F31" s="423">
        <f>1/(1+$L$17)^B31</f>
        <v>0.98532927816429317</v>
      </c>
      <c r="G31" s="1"/>
      <c r="H31" s="1"/>
      <c r="I31" s="1"/>
      <c r="J31" s="1"/>
      <c r="K31" s="1"/>
      <c r="L31" s="1"/>
    </row>
    <row r="32" spans="1:13">
      <c r="A32" s="1"/>
      <c r="B32" s="379" t="s">
        <v>226</v>
      </c>
      <c r="C32" s="459">
        <f>SUMPRODUCT(C30:C31,$F$30:$F$31)</f>
        <v>992664.63908214658</v>
      </c>
      <c r="D32" s="459">
        <f t="shared" ref="D32:E32" si="2">SUMPRODUCT(D30:D31,$F$30:$F$31)</f>
        <v>-297799.391724644</v>
      </c>
      <c r="E32" s="459">
        <f t="shared" si="2"/>
        <v>694865.24735750258</v>
      </c>
      <c r="F32" s="297"/>
      <c r="G32" s="1"/>
      <c r="H32" s="1"/>
      <c r="I32" s="1"/>
      <c r="J32" s="1"/>
      <c r="K32" s="1"/>
      <c r="L32" s="1"/>
    </row>
    <row r="33" spans="1:13">
      <c r="A33" s="1"/>
      <c r="B33" s="1"/>
      <c r="C33" s="1"/>
      <c r="D33" s="110"/>
      <c r="E33" s="1"/>
      <c r="F33" s="1"/>
      <c r="G33" s="1"/>
      <c r="H33" s="1"/>
      <c r="I33" s="1"/>
      <c r="J33" s="1"/>
      <c r="K33" s="1"/>
      <c r="L33" s="1"/>
    </row>
    <row r="34" spans="1:13">
      <c r="A34" s="1"/>
      <c r="B34" s="297" t="s">
        <v>234</v>
      </c>
      <c r="C34" s="460">
        <f>-B25*G25/C32</f>
        <v>1.6251399636404852E-2</v>
      </c>
      <c r="D34" s="110" t="s">
        <v>487</v>
      </c>
      <c r="E34" s="1"/>
      <c r="F34" s="1"/>
      <c r="G34" s="1"/>
      <c r="H34" s="1"/>
      <c r="I34" s="1"/>
      <c r="J34" s="1"/>
      <c r="K34" s="1"/>
      <c r="L34" s="1"/>
      <c r="M34" s="1"/>
    </row>
    <row r="35" spans="1:13">
      <c r="A35" s="1"/>
      <c r="B35" s="1"/>
      <c r="C35" s="1"/>
      <c r="D35" s="110"/>
      <c r="E35" s="1"/>
      <c r="F35" s="1"/>
      <c r="G35" s="1"/>
      <c r="H35" s="1"/>
      <c r="I35" s="1"/>
      <c r="J35" s="1"/>
      <c r="K35" s="1"/>
      <c r="L35" s="1"/>
      <c r="M35" s="1"/>
    </row>
    <row r="36" spans="1:13">
      <c r="A36" s="1"/>
      <c r="B36" s="109" t="s">
        <v>235</v>
      </c>
      <c r="C36" s="1"/>
      <c r="D36" s="110"/>
      <c r="E36" s="1"/>
      <c r="F36" s="1"/>
      <c r="G36" s="1"/>
      <c r="H36" s="1"/>
      <c r="I36" s="1"/>
      <c r="J36" s="1"/>
      <c r="K36" s="1"/>
      <c r="L36" s="1"/>
      <c r="M36" s="1"/>
    </row>
    <row r="37" spans="1:13">
      <c r="A37" s="1"/>
      <c r="B37" s="1"/>
      <c r="C37" s="1"/>
      <c r="D37" s="1"/>
      <c r="E37" s="1"/>
      <c r="F37" s="1"/>
      <c r="G37" s="1"/>
      <c r="H37" s="1"/>
      <c r="I37" s="1"/>
      <c r="J37" s="1"/>
      <c r="K37" s="1"/>
      <c r="L37" s="1"/>
      <c r="M37" s="1"/>
    </row>
    <row r="38" spans="1:13">
      <c r="A38" s="217"/>
      <c r="B38" s="36" t="s">
        <v>224</v>
      </c>
      <c r="C38" s="36"/>
      <c r="D38" s="5"/>
      <c r="E38" s="5"/>
      <c r="F38" s="5"/>
      <c r="G38" s="5"/>
      <c r="H38" s="5"/>
      <c r="I38" s="5"/>
      <c r="J38" s="5"/>
      <c r="K38" s="5"/>
      <c r="L38" s="5"/>
      <c r="M38" s="13"/>
    </row>
    <row r="39" spans="1:13" ht="16.2">
      <c r="A39" s="92"/>
      <c r="B39" s="92" t="s">
        <v>0</v>
      </c>
      <c r="C39" s="92"/>
      <c r="D39" s="11"/>
      <c r="E39" s="11"/>
      <c r="F39" s="5"/>
      <c r="G39" s="5"/>
      <c r="H39" s="5"/>
      <c r="I39" s="5"/>
      <c r="J39" s="5"/>
      <c r="K39" s="5"/>
      <c r="L39" s="5"/>
      <c r="M39" s="13"/>
    </row>
    <row r="40" spans="1:13">
      <c r="A40" s="1"/>
      <c r="B40" s="1"/>
      <c r="C40" s="1"/>
      <c r="D40" s="1"/>
      <c r="E40" s="1"/>
      <c r="F40" s="1"/>
      <c r="G40" s="1"/>
      <c r="H40" s="1"/>
      <c r="I40" s="1"/>
      <c r="J40" s="1"/>
      <c r="K40" s="1"/>
      <c r="L40" s="1"/>
      <c r="M40" s="1"/>
    </row>
    <row r="41" spans="1:13">
      <c r="A41" s="1"/>
      <c r="B41" s="1" t="s">
        <v>236</v>
      </c>
      <c r="C41" s="1"/>
      <c r="D41" s="1"/>
      <c r="E41" s="1"/>
      <c r="F41" s="1"/>
      <c r="G41" s="1"/>
      <c r="H41" s="1"/>
      <c r="I41" s="1"/>
      <c r="J41" s="1"/>
      <c r="K41" s="1"/>
      <c r="L41" s="1"/>
      <c r="M41" s="1"/>
    </row>
    <row r="42" spans="1:13">
      <c r="A42" s="1"/>
      <c r="B42" s="1"/>
      <c r="C42" s="1"/>
      <c r="D42" s="1"/>
      <c r="E42" s="1"/>
      <c r="F42" s="1"/>
      <c r="G42" s="1"/>
      <c r="H42" s="1"/>
      <c r="I42" s="1"/>
      <c r="J42" s="1"/>
      <c r="K42" s="1"/>
      <c r="L42" s="1"/>
      <c r="M42" s="1"/>
    </row>
    <row r="43" spans="1:13">
      <c r="A43" s="181" t="s">
        <v>3</v>
      </c>
      <c r="B43" s="36" t="s">
        <v>371</v>
      </c>
      <c r="C43" s="5"/>
      <c r="D43" s="5"/>
      <c r="E43" s="5"/>
      <c r="F43" s="5"/>
      <c r="G43" s="5"/>
      <c r="H43" s="5"/>
      <c r="I43" s="5"/>
      <c r="J43" s="5"/>
      <c r="K43" s="5"/>
      <c r="L43" s="5"/>
      <c r="M43" s="13"/>
    </row>
    <row r="44" spans="1:13" ht="16.2">
      <c r="A44" s="92"/>
      <c r="B44" s="92" t="s">
        <v>0</v>
      </c>
      <c r="C44" s="10"/>
      <c r="D44" s="11"/>
      <c r="E44" s="11"/>
      <c r="F44" s="5"/>
      <c r="G44" s="5"/>
      <c r="H44" s="5"/>
      <c r="I44" s="5"/>
      <c r="J44" s="5"/>
      <c r="K44" s="5"/>
      <c r="L44" s="5"/>
      <c r="M44" s="13"/>
    </row>
    <row r="45" spans="1:13" ht="15.6" customHeight="1">
      <c r="A45" s="130"/>
      <c r="B45" s="51"/>
      <c r="C45" s="51"/>
      <c r="D45" s="51"/>
      <c r="E45" s="51"/>
      <c r="F45" s="51"/>
      <c r="G45" s="51"/>
      <c r="H45" s="51"/>
      <c r="I45" s="51"/>
      <c r="J45" s="51"/>
      <c r="K45" s="51"/>
      <c r="L45" s="51"/>
      <c r="M45" s="51"/>
    </row>
    <row r="46" spans="1:13" ht="15.6" customHeight="1">
      <c r="A46" s="461" t="s">
        <v>489</v>
      </c>
      <c r="B46" s="51" t="s">
        <v>492</v>
      </c>
      <c r="C46" s="51"/>
      <c r="D46" s="51"/>
      <c r="E46" s="51"/>
      <c r="F46" s="51"/>
      <c r="G46" s="51"/>
      <c r="H46" s="51"/>
      <c r="I46" s="51"/>
      <c r="J46" s="51"/>
      <c r="K46" s="51"/>
      <c r="L46" s="51"/>
      <c r="M46" s="51"/>
    </row>
    <row r="47" spans="1:13" ht="15.6" customHeight="1">
      <c r="A47" s="461" t="s">
        <v>490</v>
      </c>
      <c r="B47" s="51" t="s">
        <v>493</v>
      </c>
      <c r="C47" s="51"/>
      <c r="D47" s="51"/>
      <c r="E47" s="51"/>
      <c r="F47" s="51"/>
      <c r="G47" s="51"/>
      <c r="H47" s="51"/>
      <c r="I47" s="51"/>
      <c r="J47" s="51"/>
      <c r="K47" s="51"/>
      <c r="L47" s="51"/>
      <c r="M47" s="51"/>
    </row>
    <row r="48" spans="1:13" ht="15.6" customHeight="1">
      <c r="A48" s="461" t="s">
        <v>491</v>
      </c>
      <c r="B48" s="51" t="s">
        <v>494</v>
      </c>
      <c r="C48" s="51"/>
      <c r="D48" s="51"/>
      <c r="E48" s="51"/>
      <c r="F48" s="51"/>
      <c r="G48" s="51"/>
      <c r="H48" s="51"/>
      <c r="I48" s="51"/>
      <c r="J48" s="51"/>
      <c r="K48" s="51"/>
      <c r="L48" s="51"/>
      <c r="M48" s="51"/>
    </row>
    <row r="49" spans="1:13">
      <c r="A49" s="51"/>
      <c r="B49" s="51"/>
      <c r="C49" s="51"/>
      <c r="D49" s="51"/>
      <c r="E49" s="51"/>
      <c r="F49" s="51"/>
      <c r="G49" s="51"/>
      <c r="H49" s="51"/>
      <c r="I49" s="51"/>
      <c r="J49" s="51"/>
      <c r="K49" s="51"/>
      <c r="L49" s="51"/>
      <c r="M49" s="51"/>
    </row>
    <row r="50" spans="1:13">
      <c r="A50" s="51"/>
      <c r="B50" s="51"/>
      <c r="C50" s="51"/>
      <c r="D50" s="51"/>
      <c r="E50" s="51"/>
      <c r="F50" s="51"/>
      <c r="G50" s="51"/>
      <c r="H50" s="51"/>
      <c r="I50" s="51"/>
      <c r="J50" s="51"/>
      <c r="K50" s="51"/>
      <c r="L50" s="51"/>
      <c r="M50" s="51"/>
    </row>
    <row r="51" spans="1:13" ht="16.2">
      <c r="A51" s="245" t="s">
        <v>119</v>
      </c>
      <c r="B51" s="36"/>
      <c r="C51" s="36"/>
      <c r="D51" s="5"/>
      <c r="E51" s="5"/>
      <c r="F51" s="5"/>
      <c r="G51" s="5"/>
      <c r="H51" s="10"/>
      <c r="I51" s="10"/>
      <c r="J51" s="11"/>
      <c r="K51" s="11"/>
      <c r="L51" s="11"/>
      <c r="M51" s="13"/>
    </row>
    <row r="52" spans="1:13" ht="16.2">
      <c r="A52" s="245"/>
      <c r="B52" s="36"/>
      <c r="C52" s="36"/>
      <c r="D52" s="5"/>
      <c r="E52" s="5"/>
      <c r="F52" s="5"/>
      <c r="G52" s="5"/>
      <c r="H52" s="10"/>
      <c r="I52" s="10"/>
      <c r="J52" s="11"/>
      <c r="K52" s="11"/>
      <c r="L52" s="11"/>
      <c r="M52" s="13"/>
    </row>
    <row r="53" spans="1:13">
      <c r="A53" s="181" t="s">
        <v>16</v>
      </c>
      <c r="B53" s="36" t="s">
        <v>372</v>
      </c>
      <c r="C53" s="36"/>
      <c r="D53" s="5"/>
      <c r="E53" s="5"/>
      <c r="F53" s="5"/>
      <c r="G53" s="5"/>
      <c r="H53" s="5"/>
      <c r="I53" s="5"/>
      <c r="J53" s="5"/>
      <c r="K53" s="5"/>
      <c r="L53" s="5"/>
      <c r="M53" s="13"/>
    </row>
    <row r="54" spans="1:13">
      <c r="A54" s="217"/>
      <c r="B54" s="36"/>
      <c r="C54" s="36"/>
      <c r="D54" s="5"/>
      <c r="E54" s="5"/>
      <c r="F54" s="5"/>
      <c r="G54" s="5"/>
      <c r="H54" s="5"/>
      <c r="I54" s="5"/>
      <c r="J54" s="5"/>
      <c r="K54" s="5"/>
      <c r="L54" s="5"/>
      <c r="M54" s="13"/>
    </row>
    <row r="55" spans="1:13">
      <c r="A55" s="217"/>
      <c r="B55" s="36" t="s">
        <v>238</v>
      </c>
      <c r="C55" s="36"/>
      <c r="D55" s="5"/>
      <c r="E55" s="5"/>
      <c r="F55" s="5"/>
      <c r="G55" s="5"/>
      <c r="H55" s="5"/>
      <c r="I55" s="5"/>
      <c r="J55" s="5"/>
      <c r="K55" s="5"/>
      <c r="L55" s="5"/>
      <c r="M55" s="13"/>
    </row>
    <row r="56" spans="1:13" ht="16.2">
      <c r="A56" s="92"/>
      <c r="B56" s="92" t="s">
        <v>0</v>
      </c>
      <c r="C56" s="92"/>
      <c r="D56" s="11"/>
      <c r="E56" s="11"/>
      <c r="F56" s="5"/>
      <c r="G56" s="5"/>
      <c r="H56" s="5"/>
      <c r="I56" s="5"/>
      <c r="J56" s="5"/>
      <c r="K56" s="5"/>
      <c r="L56" s="5"/>
      <c r="M56" s="13"/>
    </row>
    <row r="57" spans="1:13">
      <c r="A57" s="1" t="s">
        <v>488</v>
      </c>
      <c r="B57" s="1"/>
      <c r="C57" s="1"/>
      <c r="D57" s="1"/>
      <c r="E57" s="1"/>
      <c r="F57" s="1"/>
      <c r="G57" s="1"/>
      <c r="H57" s="1"/>
      <c r="I57" s="1"/>
      <c r="J57" s="1"/>
      <c r="K57" s="1"/>
      <c r="L57" s="1"/>
      <c r="M57" s="1"/>
    </row>
    <row r="58" spans="1:13">
      <c r="A58" s="1"/>
      <c r="B58" s="1"/>
      <c r="C58" s="1"/>
      <c r="D58" s="1"/>
      <c r="E58" s="1"/>
      <c r="F58" s="1"/>
      <c r="G58" s="1"/>
      <c r="H58" s="1"/>
      <c r="I58" s="1"/>
      <c r="J58" s="1"/>
      <c r="K58" s="1"/>
      <c r="L58" s="1"/>
      <c r="M58" s="1"/>
    </row>
    <row r="59" spans="1:13" ht="15.6" customHeight="1">
      <c r="A59" s="1"/>
      <c r="B59" s="1"/>
      <c r="C59" s="1"/>
      <c r="D59" s="1"/>
      <c r="E59" s="1"/>
      <c r="F59" s="1"/>
      <c r="G59" s="1"/>
      <c r="H59" s="1"/>
      <c r="I59" s="1"/>
      <c r="J59" s="1"/>
      <c r="K59" s="1"/>
      <c r="L59" s="1"/>
      <c r="M59" s="1"/>
    </row>
    <row r="60" spans="1:13">
      <c r="A60" s="217"/>
      <c r="B60" s="36" t="s">
        <v>239</v>
      </c>
      <c r="C60" s="5"/>
      <c r="D60" s="5"/>
      <c r="E60" s="5"/>
      <c r="F60" s="5"/>
      <c r="G60" s="5"/>
      <c r="H60" s="5"/>
      <c r="I60" s="5"/>
      <c r="J60" s="5"/>
      <c r="K60" s="5"/>
      <c r="L60" s="5"/>
      <c r="M60" s="13"/>
    </row>
    <row r="61" spans="1:13" ht="16.2">
      <c r="A61" s="92"/>
      <c r="B61" s="92" t="s">
        <v>0</v>
      </c>
      <c r="C61" s="10"/>
      <c r="D61" s="11"/>
      <c r="E61" s="11"/>
      <c r="F61" s="5"/>
      <c r="G61" s="5"/>
      <c r="H61" s="5"/>
      <c r="I61" s="5"/>
      <c r="J61" s="5"/>
      <c r="K61" s="5"/>
      <c r="L61" s="5"/>
      <c r="M61" s="13"/>
    </row>
    <row r="62" spans="1:13">
      <c r="A62" s="1"/>
      <c r="B62" s="1"/>
      <c r="C62" s="1"/>
      <c r="D62" s="1"/>
      <c r="E62" s="1"/>
      <c r="F62" s="1"/>
      <c r="G62" s="1"/>
      <c r="H62" s="1"/>
      <c r="I62" s="1"/>
      <c r="J62" s="1"/>
      <c r="K62" s="1"/>
      <c r="L62" s="1"/>
      <c r="M62" s="1"/>
    </row>
    <row r="63" spans="1:13">
      <c r="A63" s="4" t="s">
        <v>495</v>
      </c>
    </row>
    <row r="64" spans="1:13">
      <c r="A64" s="4" t="s">
        <v>496</v>
      </c>
    </row>
    <row r="65" spans="1:2">
      <c r="A65" s="462" t="s">
        <v>497</v>
      </c>
    </row>
    <row r="66" spans="1:2">
      <c r="A66" s="4" t="s">
        <v>498</v>
      </c>
    </row>
    <row r="67" spans="1:2">
      <c r="A67" s="4"/>
      <c r="B67" s="4"/>
    </row>
    <row r="68" spans="1:2">
      <c r="A68" s="4" t="s">
        <v>501</v>
      </c>
      <c r="B68" s="4"/>
    </row>
    <row r="69" spans="1:2">
      <c r="A69" s="4" t="s">
        <v>500</v>
      </c>
      <c r="B69" s="4"/>
    </row>
    <row r="70" spans="1:2">
      <c r="A70" s="4" t="s">
        <v>499</v>
      </c>
    </row>
  </sheetData>
  <mergeCells count="1">
    <mergeCell ref="A3:M3"/>
  </mergeCells>
  <phoneticPr fontId="5"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M111"/>
  <sheetViews>
    <sheetView zoomScale="110" zoomScaleNormal="110" workbookViewId="0"/>
  </sheetViews>
  <sheetFormatPr defaultColWidth="8.77734375" defaultRowHeight="15.6"/>
  <cols>
    <col min="1" max="1" width="14" style="1" customWidth="1"/>
    <col min="2" max="2" width="15.21875" style="1" customWidth="1"/>
    <col min="3" max="3" width="13.109375" style="1" customWidth="1"/>
    <col min="4" max="6" width="17.77734375" style="1" customWidth="1"/>
    <col min="7" max="7" width="15.33203125" style="1" customWidth="1"/>
    <col min="8" max="8" width="14.21875" style="1" customWidth="1"/>
    <col min="9" max="9" width="11.44140625" style="1" customWidth="1"/>
    <col min="10" max="11" width="8.77734375" style="1" customWidth="1"/>
    <col min="12" max="12" width="12.109375" style="1" bestFit="1" customWidth="1"/>
    <col min="13" max="16384" width="8.77734375" style="1"/>
  </cols>
  <sheetData>
    <row r="1" spans="1:13" ht="18" customHeight="1">
      <c r="A1" s="469" t="s">
        <v>10</v>
      </c>
      <c r="B1" s="5"/>
      <c r="C1" s="10" t="s">
        <v>6</v>
      </c>
      <c r="D1" s="5"/>
      <c r="E1" s="5"/>
      <c r="F1" s="5"/>
      <c r="G1" s="5"/>
      <c r="H1" s="5"/>
      <c r="I1" s="5"/>
      <c r="J1" s="5"/>
      <c r="K1" s="5"/>
      <c r="L1" s="5"/>
      <c r="M1" s="5"/>
    </row>
    <row r="2" spans="1:13">
      <c r="A2" s="5"/>
      <c r="B2" s="5"/>
      <c r="C2" s="5"/>
      <c r="D2" s="5"/>
      <c r="E2" s="5"/>
      <c r="F2" s="5"/>
      <c r="G2" s="5"/>
      <c r="H2" s="5"/>
      <c r="I2" s="5"/>
      <c r="J2" s="5"/>
      <c r="K2" s="5"/>
      <c r="L2" s="5"/>
      <c r="M2" s="5"/>
    </row>
    <row r="3" spans="1:13" ht="15.6" customHeight="1">
      <c r="A3" s="470" t="s">
        <v>511</v>
      </c>
      <c r="B3" s="49"/>
      <c r="C3" s="49"/>
      <c r="D3" s="49"/>
      <c r="E3" s="49"/>
      <c r="F3" s="49"/>
      <c r="G3" s="49"/>
      <c r="H3" s="49"/>
      <c r="I3" s="49"/>
      <c r="J3" s="49"/>
      <c r="K3" s="49"/>
      <c r="L3" s="49"/>
      <c r="M3" s="49"/>
    </row>
    <row r="4" spans="1:13" ht="15.6" customHeight="1">
      <c r="A4" s="49"/>
      <c r="B4" s="49"/>
      <c r="C4" s="49"/>
      <c r="D4" s="49"/>
      <c r="E4" s="49"/>
      <c r="F4" s="49"/>
      <c r="G4" s="49"/>
      <c r="H4" s="49"/>
      <c r="I4" s="49"/>
      <c r="J4" s="49"/>
      <c r="K4" s="49"/>
      <c r="L4" s="49"/>
      <c r="M4" s="13"/>
    </row>
    <row r="5" spans="1:13" ht="15.6" customHeight="1">
      <c r="A5" s="470" t="s">
        <v>120</v>
      </c>
      <c r="B5" s="49"/>
      <c r="C5" s="49"/>
      <c r="D5" s="49"/>
      <c r="E5" s="49"/>
      <c r="F5" s="49"/>
      <c r="G5" s="49"/>
      <c r="H5" s="49"/>
      <c r="I5" s="49"/>
      <c r="J5" s="49"/>
      <c r="K5" s="49"/>
      <c r="L5" s="49"/>
      <c r="M5" s="13"/>
    </row>
    <row r="6" spans="1:13">
      <c r="A6" s="49"/>
      <c r="B6" s="49"/>
      <c r="C6" s="49"/>
      <c r="D6" s="49"/>
      <c r="E6" s="49"/>
      <c r="F6" s="49"/>
      <c r="G6" s="49"/>
      <c r="H6" s="49"/>
      <c r="I6" s="49"/>
      <c r="J6" s="49"/>
      <c r="K6" s="49"/>
      <c r="L6" s="49"/>
      <c r="M6" s="13"/>
    </row>
    <row r="7" spans="1:13" s="6" customFormat="1">
      <c r="A7" s="170" t="s">
        <v>2</v>
      </c>
      <c r="B7" s="9" t="s">
        <v>512</v>
      </c>
      <c r="C7" s="5"/>
      <c r="D7" s="5"/>
      <c r="E7" s="5"/>
      <c r="F7" s="5"/>
      <c r="G7" s="5"/>
      <c r="H7" s="5"/>
      <c r="I7" s="5"/>
      <c r="J7" s="5"/>
      <c r="K7" s="5"/>
      <c r="L7" s="5"/>
      <c r="M7" s="13"/>
    </row>
    <row r="8" spans="1:13" ht="16.2">
      <c r="A8" s="11"/>
      <c r="B8" s="10" t="s">
        <v>0</v>
      </c>
      <c r="C8" s="11"/>
      <c r="D8" s="11"/>
      <c r="E8" s="11"/>
      <c r="F8" s="5"/>
      <c r="G8" s="5"/>
      <c r="H8" s="5"/>
      <c r="I8" s="5"/>
      <c r="J8" s="5"/>
      <c r="K8" s="5"/>
      <c r="L8" s="5"/>
      <c r="M8" s="13"/>
    </row>
    <row r="9" spans="1:13" ht="16.2">
      <c r="A9" s="32"/>
      <c r="B9" s="67"/>
      <c r="C9" s="32"/>
      <c r="D9" s="32"/>
      <c r="E9" s="32"/>
      <c r="F9" s="4"/>
      <c r="G9" s="4"/>
      <c r="H9" s="4"/>
      <c r="I9" s="4"/>
      <c r="J9" s="4"/>
      <c r="K9" s="4"/>
      <c r="L9" s="4"/>
      <c r="M9" s="4"/>
    </row>
    <row r="10" spans="1:13">
      <c r="A10" s="461" t="s">
        <v>489</v>
      </c>
      <c r="B10" s="527" t="s">
        <v>508</v>
      </c>
      <c r="C10" s="527"/>
      <c r="D10" s="527"/>
      <c r="E10" s="527"/>
      <c r="F10" s="527"/>
      <c r="G10" s="527"/>
      <c r="H10" s="527"/>
      <c r="I10" s="527"/>
      <c r="J10" s="527"/>
      <c r="K10" s="527"/>
      <c r="L10" s="4"/>
      <c r="M10" s="4"/>
    </row>
    <row r="11" spans="1:13" ht="31.2" customHeight="1">
      <c r="A11" s="461" t="s">
        <v>490</v>
      </c>
      <c r="B11" s="527" t="s">
        <v>509</v>
      </c>
      <c r="C11" s="527"/>
      <c r="D11" s="527"/>
      <c r="E11" s="527"/>
      <c r="F11" s="527"/>
      <c r="G11" s="527"/>
      <c r="H11" s="527"/>
      <c r="I11" s="527"/>
      <c r="J11" s="527"/>
      <c r="K11" s="527"/>
      <c r="L11" s="4"/>
      <c r="M11" s="4"/>
    </row>
    <row r="13" spans="1:13" customFormat="1" ht="31.05" customHeight="1">
      <c r="A13" s="526" t="s">
        <v>510</v>
      </c>
      <c r="B13" s="526"/>
      <c r="C13" s="526"/>
      <c r="D13" s="526"/>
      <c r="E13" s="526"/>
      <c r="F13" s="526"/>
      <c r="G13" s="526"/>
      <c r="H13" s="526"/>
      <c r="I13" s="526"/>
      <c r="J13" s="526"/>
      <c r="K13" s="526"/>
      <c r="L13" s="526"/>
      <c r="M13" s="526"/>
    </row>
    <row r="14" spans="1:13" customFormat="1">
      <c r="A14" s="38"/>
      <c r="B14" s="3"/>
      <c r="C14" s="3"/>
      <c r="D14" s="3"/>
      <c r="E14" s="3"/>
      <c r="F14" s="3"/>
      <c r="G14" s="3"/>
      <c r="H14" s="3"/>
      <c r="I14" s="3"/>
      <c r="J14" s="3"/>
      <c r="K14" s="3"/>
      <c r="L14" s="3"/>
      <c r="M14" s="3"/>
    </row>
    <row r="15" spans="1:13" customFormat="1">
      <c r="A15" s="38"/>
      <c r="B15" s="529" t="s">
        <v>240</v>
      </c>
      <c r="C15" s="529" t="s">
        <v>1</v>
      </c>
      <c r="D15" s="194" t="s">
        <v>121</v>
      </c>
      <c r="E15" s="194"/>
      <c r="F15" s="3"/>
      <c r="G15" s="3"/>
      <c r="H15" s="3"/>
      <c r="I15" s="3"/>
      <c r="J15" s="3"/>
      <c r="K15" s="3"/>
      <c r="L15" s="3"/>
      <c r="M15" s="3"/>
    </row>
    <row r="16" spans="1:13" customFormat="1">
      <c r="A16" s="38"/>
      <c r="B16" s="529"/>
      <c r="C16" s="529"/>
      <c r="D16" s="24" t="s">
        <v>122</v>
      </c>
      <c r="E16" s="24" t="s">
        <v>123</v>
      </c>
      <c r="F16" s="3"/>
      <c r="G16" s="3"/>
      <c r="H16" s="3"/>
      <c r="I16" s="3"/>
      <c r="J16" s="3"/>
      <c r="K16" s="3"/>
      <c r="L16" s="3"/>
      <c r="M16" s="3"/>
    </row>
    <row r="17" spans="1:13" customFormat="1">
      <c r="A17" s="38"/>
      <c r="B17" s="195">
        <v>1</v>
      </c>
      <c r="C17" s="284">
        <v>1E-4</v>
      </c>
      <c r="D17" s="262">
        <v>300000</v>
      </c>
      <c r="E17" s="262">
        <v>350000</v>
      </c>
      <c r="F17" s="3"/>
      <c r="G17" s="3"/>
      <c r="H17" s="3"/>
      <c r="I17" s="3"/>
      <c r="J17" s="3"/>
      <c r="K17" s="3"/>
      <c r="L17" s="3"/>
      <c r="M17" s="3"/>
    </row>
    <row r="18" spans="1:13" customFormat="1">
      <c r="A18" s="38"/>
      <c r="B18" s="195">
        <v>2</v>
      </c>
      <c r="C18" s="284">
        <v>5.0000000000000001E-4</v>
      </c>
      <c r="D18" s="262">
        <v>100000</v>
      </c>
      <c r="E18" s="262">
        <v>102500</v>
      </c>
      <c r="F18" s="3"/>
      <c r="G18" s="3"/>
      <c r="H18" s="3"/>
      <c r="I18" s="3"/>
      <c r="J18" s="3"/>
      <c r="K18" s="3"/>
      <c r="L18" s="3"/>
      <c r="M18" s="3"/>
    </row>
    <row r="19" spans="1:13" customFormat="1">
      <c r="A19" s="38"/>
      <c r="B19" s="195">
        <v>3</v>
      </c>
      <c r="C19" s="284">
        <v>7.5000000000000002E-4</v>
      </c>
      <c r="D19" s="262">
        <v>75000</v>
      </c>
      <c r="E19" s="262">
        <v>85000</v>
      </c>
      <c r="F19" s="3"/>
      <c r="G19" s="3"/>
      <c r="H19" s="3"/>
      <c r="I19" s="3"/>
      <c r="J19" s="3"/>
      <c r="K19" s="3"/>
      <c r="L19" s="3"/>
      <c r="M19" s="3"/>
    </row>
    <row r="20" spans="1:13" customFormat="1">
      <c r="A20" s="38"/>
      <c r="B20" s="195">
        <v>4</v>
      </c>
      <c r="C20" s="284">
        <v>1E-3</v>
      </c>
      <c r="D20" s="262">
        <v>45000</v>
      </c>
      <c r="E20" s="262">
        <v>50000</v>
      </c>
      <c r="F20" s="3"/>
      <c r="G20" s="3"/>
      <c r="H20" s="3"/>
      <c r="I20" s="3"/>
      <c r="J20" s="3"/>
      <c r="K20" s="3"/>
      <c r="L20" s="3"/>
      <c r="M20" s="3"/>
    </row>
    <row r="21" spans="1:13" customFormat="1">
      <c r="A21" s="38"/>
      <c r="B21" s="195">
        <v>5</v>
      </c>
      <c r="C21" s="284">
        <v>1.25E-3</v>
      </c>
      <c r="D21" s="262">
        <v>25000</v>
      </c>
      <c r="E21" s="262">
        <v>23500</v>
      </c>
      <c r="F21" s="3"/>
      <c r="G21" s="3"/>
      <c r="H21" s="3"/>
      <c r="I21" s="3"/>
      <c r="J21" s="3"/>
      <c r="K21" s="3"/>
      <c r="L21" s="3"/>
      <c r="M21" s="3"/>
    </row>
    <row r="22" spans="1:13" customFormat="1">
      <c r="A22" s="38"/>
      <c r="B22" s="195">
        <v>6</v>
      </c>
      <c r="C22" s="284">
        <v>2.5000000000000001E-3</v>
      </c>
      <c r="D22" s="262">
        <v>17500</v>
      </c>
      <c r="E22" s="262">
        <v>20000</v>
      </c>
      <c r="F22" s="3"/>
      <c r="G22" s="3"/>
      <c r="H22" s="3"/>
      <c r="I22" s="3"/>
      <c r="J22" s="3"/>
      <c r="K22" s="3"/>
      <c r="L22" s="3"/>
      <c r="M22" s="3"/>
    </row>
    <row r="23" spans="1:13" customFormat="1">
      <c r="A23" s="38"/>
      <c r="B23" s="195">
        <v>7</v>
      </c>
      <c r="C23" s="284">
        <v>7.4999999999999997E-3</v>
      </c>
      <c r="D23" s="262">
        <v>12500</v>
      </c>
      <c r="E23" s="262">
        <v>15000</v>
      </c>
      <c r="F23" s="3"/>
      <c r="G23" s="3"/>
      <c r="H23" s="3"/>
      <c r="I23" s="3"/>
      <c r="J23" s="3"/>
      <c r="K23" s="3"/>
      <c r="L23" s="3"/>
      <c r="M23" s="3"/>
    </row>
    <row r="24" spans="1:13" customFormat="1">
      <c r="A24" s="38"/>
      <c r="B24" s="195">
        <v>8</v>
      </c>
      <c r="C24" s="284">
        <v>0.01</v>
      </c>
      <c r="D24" s="262">
        <v>10000</v>
      </c>
      <c r="E24" s="262">
        <v>9000</v>
      </c>
      <c r="F24" s="3"/>
      <c r="G24" s="3"/>
      <c r="H24" s="3"/>
      <c r="I24" s="3"/>
      <c r="J24" s="3"/>
      <c r="K24" s="3"/>
      <c r="L24" s="3"/>
      <c r="M24" s="3"/>
    </row>
    <row r="25" spans="1:13" customFormat="1">
      <c r="A25" s="38"/>
      <c r="B25" s="195">
        <v>9</v>
      </c>
      <c r="C25" s="284">
        <v>2.5000000000000001E-2</v>
      </c>
      <c r="D25" s="262">
        <v>5000</v>
      </c>
      <c r="E25" s="262">
        <v>7000</v>
      </c>
      <c r="F25" s="3"/>
      <c r="G25" s="3"/>
      <c r="H25" s="3"/>
      <c r="I25" s="3"/>
      <c r="J25" s="3"/>
      <c r="K25" s="3"/>
      <c r="L25" s="3"/>
      <c r="M25" s="3"/>
    </row>
    <row r="26" spans="1:13" customFormat="1">
      <c r="A26" s="38"/>
      <c r="B26" s="195">
        <v>10</v>
      </c>
      <c r="C26" s="284">
        <v>0.05</v>
      </c>
      <c r="D26" s="262">
        <v>2000</v>
      </c>
      <c r="E26" s="262">
        <v>3000</v>
      </c>
      <c r="F26" s="3"/>
      <c r="G26" s="3"/>
      <c r="H26" s="3"/>
      <c r="I26" s="3"/>
      <c r="J26" s="3"/>
      <c r="K26" s="3"/>
      <c r="L26" s="3"/>
      <c r="M26" s="3"/>
    </row>
    <row r="27" spans="1:13" customFormat="1">
      <c r="A27" s="38"/>
      <c r="B27" s="38"/>
      <c r="C27" s="38"/>
      <c r="D27" s="38"/>
      <c r="E27" s="38"/>
      <c r="F27" s="38"/>
      <c r="G27" s="38"/>
      <c r="H27" s="38"/>
      <c r="I27" s="38"/>
      <c r="J27" s="3"/>
      <c r="K27" s="3"/>
      <c r="L27" s="3"/>
      <c r="M27" s="3"/>
    </row>
    <row r="28" spans="1:13" customFormat="1">
      <c r="A28" s="170" t="s">
        <v>3</v>
      </c>
      <c r="B28" s="5" t="s">
        <v>237</v>
      </c>
      <c r="C28" s="5"/>
      <c r="D28" s="5"/>
      <c r="E28" s="5"/>
      <c r="F28" s="5"/>
      <c r="G28" s="5"/>
      <c r="H28" s="5"/>
      <c r="I28" s="5"/>
      <c r="J28" s="5"/>
      <c r="K28" s="5"/>
      <c r="L28" s="5"/>
      <c r="M28" s="13"/>
    </row>
    <row r="29" spans="1:13" customFormat="1" ht="16.2">
      <c r="A29" s="10"/>
      <c r="B29" s="10"/>
      <c r="C29" s="10"/>
      <c r="D29" s="11"/>
      <c r="E29" s="11"/>
      <c r="F29" s="5"/>
      <c r="G29" s="5"/>
      <c r="H29" s="5"/>
      <c r="I29" s="5"/>
      <c r="J29" s="5"/>
      <c r="K29" s="5"/>
      <c r="L29" s="5"/>
      <c r="M29" s="13"/>
    </row>
    <row r="30" spans="1:13" s="6" customFormat="1">
      <c r="A30" s="20"/>
      <c r="B30" s="5" t="s">
        <v>241</v>
      </c>
      <c r="C30" s="5"/>
      <c r="D30" s="5"/>
      <c r="E30" s="5"/>
      <c r="F30" s="5"/>
      <c r="G30" s="5"/>
      <c r="H30" s="5"/>
      <c r="I30" s="5"/>
      <c r="J30" s="5"/>
      <c r="K30" s="5"/>
      <c r="L30" s="5"/>
      <c r="M30" s="13"/>
    </row>
    <row r="31" spans="1:13" s="6" customFormat="1" ht="16.2">
      <c r="A31" s="10"/>
      <c r="B31" s="10" t="s">
        <v>0</v>
      </c>
      <c r="C31" s="10"/>
      <c r="D31" s="11"/>
      <c r="E31" s="11"/>
      <c r="F31" s="5"/>
      <c r="G31" s="5"/>
      <c r="H31" s="5"/>
      <c r="I31" s="5"/>
      <c r="J31" s="5"/>
      <c r="K31" s="5"/>
      <c r="L31" s="5"/>
      <c r="M31" s="13"/>
    </row>
    <row r="32" spans="1:13" s="6" customFormat="1">
      <c r="A32" s="1"/>
      <c r="B32" s="1"/>
      <c r="C32" s="1"/>
      <c r="D32" s="1"/>
      <c r="E32" s="1"/>
      <c r="F32" s="1"/>
      <c r="G32" s="1"/>
      <c r="H32" s="1"/>
      <c r="I32" s="1"/>
      <c r="J32" s="1"/>
      <c r="K32" s="1"/>
      <c r="L32" s="1"/>
      <c r="M32" s="1"/>
    </row>
    <row r="33" spans="1:13" s="6" customFormat="1">
      <c r="A33" s="1"/>
      <c r="B33" s="530" t="s">
        <v>502</v>
      </c>
      <c r="C33" s="524" t="s">
        <v>503</v>
      </c>
      <c r="D33" s="419" t="s">
        <v>121</v>
      </c>
      <c r="E33" s="419"/>
      <c r="F33" s="1"/>
      <c r="G33" s="1"/>
      <c r="H33" s="1"/>
      <c r="I33" s="1"/>
      <c r="J33" s="1"/>
      <c r="K33" s="1"/>
      <c r="L33" s="1"/>
      <c r="M33" s="1"/>
    </row>
    <row r="34" spans="1:13" s="6" customFormat="1" ht="18">
      <c r="A34" s="1"/>
      <c r="B34" s="530"/>
      <c r="C34" s="524"/>
      <c r="D34" s="418" t="s">
        <v>122</v>
      </c>
      <c r="E34" s="418" t="s">
        <v>123</v>
      </c>
      <c r="F34" s="154" t="s">
        <v>243</v>
      </c>
      <c r="G34" s="468" t="s">
        <v>504</v>
      </c>
      <c r="H34" s="154" t="s">
        <v>244</v>
      </c>
      <c r="I34" s="1"/>
      <c r="J34" s="1"/>
      <c r="K34" s="1"/>
      <c r="L34" s="1"/>
      <c r="M34" s="1"/>
    </row>
    <row r="35" spans="1:13" s="6" customFormat="1">
      <c r="A35" s="1"/>
      <c r="B35" s="399">
        <v>1</v>
      </c>
      <c r="C35" s="464">
        <v>1E-4</v>
      </c>
      <c r="D35" s="417">
        <v>300000</v>
      </c>
      <c r="E35" s="417">
        <v>350000</v>
      </c>
      <c r="F35" s="465">
        <f t="shared" ref="F35:F43" si="0">1-C35</f>
        <v>0.99990000000000001</v>
      </c>
      <c r="G35" s="466">
        <f>PRODUCT(F35:F$35)</f>
        <v>0.99990000000000001</v>
      </c>
      <c r="H35" s="467">
        <f>1-G35</f>
        <v>9.9999999999988987E-5</v>
      </c>
      <c r="I35" s="1"/>
      <c r="J35" s="1"/>
      <c r="K35" s="1"/>
      <c r="L35" s="1"/>
      <c r="M35" s="1"/>
    </row>
    <row r="36" spans="1:13" s="6" customFormat="1">
      <c r="A36" s="1"/>
      <c r="B36" s="399">
        <v>2</v>
      </c>
      <c r="C36" s="464">
        <v>5.0000000000000001E-4</v>
      </c>
      <c r="D36" s="417">
        <v>100000</v>
      </c>
      <c r="E36" s="417">
        <v>102500</v>
      </c>
      <c r="F36" s="465">
        <f t="shared" si="0"/>
        <v>0.99950000000000006</v>
      </c>
      <c r="G36" s="466">
        <f>PRODUCT(F$35:F36)</f>
        <v>0.9994000500000001</v>
      </c>
      <c r="H36" s="467">
        <f t="shared" ref="H36:H44" si="1">1-G36</f>
        <v>5.9994999999990473E-4</v>
      </c>
      <c r="I36" s="1"/>
      <c r="J36" s="1"/>
      <c r="K36" s="1"/>
      <c r="L36" s="1"/>
      <c r="M36" s="1"/>
    </row>
    <row r="37" spans="1:13" s="6" customFormat="1">
      <c r="A37" s="1"/>
      <c r="B37" s="399">
        <v>3</v>
      </c>
      <c r="C37" s="464">
        <v>7.5000000000000002E-4</v>
      </c>
      <c r="D37" s="417">
        <v>75000</v>
      </c>
      <c r="E37" s="417">
        <v>85000</v>
      </c>
      <c r="F37" s="465">
        <f t="shared" si="0"/>
        <v>0.99924999999999997</v>
      </c>
      <c r="G37" s="466">
        <f>PRODUCT(F$35:F37)</f>
        <v>0.9986504999625001</v>
      </c>
      <c r="H37" s="467">
        <f t="shared" si="1"/>
        <v>1.3495000374998956E-3</v>
      </c>
      <c r="I37" s="1"/>
      <c r="J37" s="1"/>
      <c r="K37" s="1"/>
      <c r="L37" s="1"/>
      <c r="M37" s="1"/>
    </row>
    <row r="38" spans="1:13" s="6" customFormat="1">
      <c r="A38" s="1"/>
      <c r="B38" s="399">
        <v>4</v>
      </c>
      <c r="C38" s="464">
        <v>1E-3</v>
      </c>
      <c r="D38" s="417">
        <v>45000</v>
      </c>
      <c r="E38" s="417">
        <v>50000</v>
      </c>
      <c r="F38" s="465">
        <f t="shared" si="0"/>
        <v>0.999</v>
      </c>
      <c r="G38" s="466">
        <f>PRODUCT(F$35:F38)</f>
        <v>0.9976518494625376</v>
      </c>
      <c r="H38" s="467">
        <f t="shared" si="1"/>
        <v>2.3481505374624012E-3</v>
      </c>
      <c r="I38" s="1"/>
      <c r="J38" s="1"/>
      <c r="K38" s="1"/>
      <c r="L38" s="1"/>
      <c r="M38" s="1"/>
    </row>
    <row r="39" spans="1:13" s="6" customFormat="1">
      <c r="A39" s="1"/>
      <c r="B39" s="399">
        <v>5</v>
      </c>
      <c r="C39" s="464">
        <v>1.25E-3</v>
      </c>
      <c r="D39" s="417">
        <v>25000</v>
      </c>
      <c r="E39" s="417">
        <v>23500</v>
      </c>
      <c r="F39" s="465">
        <f t="shared" si="0"/>
        <v>0.99875000000000003</v>
      </c>
      <c r="G39" s="466">
        <f>PRODUCT(F$35:F39)</f>
        <v>0.99640478465070947</v>
      </c>
      <c r="H39" s="467">
        <f t="shared" si="1"/>
        <v>3.5952153492905259E-3</v>
      </c>
      <c r="I39" s="1"/>
      <c r="J39" s="1"/>
      <c r="K39" s="1"/>
      <c r="L39" s="1"/>
      <c r="M39" s="1"/>
    </row>
    <row r="40" spans="1:13" s="6" customFormat="1">
      <c r="A40" s="1"/>
      <c r="B40" s="399">
        <v>6</v>
      </c>
      <c r="C40" s="464">
        <v>2.5000000000000001E-3</v>
      </c>
      <c r="D40" s="417">
        <v>17500</v>
      </c>
      <c r="E40" s="417">
        <v>20000</v>
      </c>
      <c r="F40" s="465">
        <f t="shared" si="0"/>
        <v>0.99750000000000005</v>
      </c>
      <c r="G40" s="466">
        <f>PRODUCT(F$35:F40)</f>
        <v>0.99391377268908276</v>
      </c>
      <c r="H40" s="467">
        <f t="shared" si="1"/>
        <v>6.086227310917236E-3</v>
      </c>
      <c r="I40" s="1"/>
      <c r="J40" s="1"/>
      <c r="K40" s="1"/>
      <c r="L40" s="1"/>
      <c r="M40" s="1"/>
    </row>
    <row r="41" spans="1:13" s="6" customFormat="1">
      <c r="A41" s="1"/>
      <c r="B41" s="399">
        <v>7</v>
      </c>
      <c r="C41" s="464">
        <v>7.4999999999999997E-3</v>
      </c>
      <c r="D41" s="417">
        <v>12500</v>
      </c>
      <c r="E41" s="417">
        <v>15000</v>
      </c>
      <c r="F41" s="465">
        <f t="shared" si="0"/>
        <v>0.99250000000000005</v>
      </c>
      <c r="G41" s="466">
        <f>PRODUCT(F$35:F41)</f>
        <v>0.98645941939391468</v>
      </c>
      <c r="H41" s="467">
        <f t="shared" si="1"/>
        <v>1.3540580606085317E-2</v>
      </c>
      <c r="I41" s="1"/>
      <c r="J41" s="1"/>
      <c r="K41" s="1"/>
      <c r="L41" s="1"/>
      <c r="M41" s="1"/>
    </row>
    <row r="42" spans="1:13" s="6" customFormat="1">
      <c r="A42" s="1"/>
      <c r="B42" s="399">
        <v>8</v>
      </c>
      <c r="C42" s="464">
        <v>0.01</v>
      </c>
      <c r="D42" s="417">
        <v>10000</v>
      </c>
      <c r="E42" s="417">
        <v>9000</v>
      </c>
      <c r="F42" s="465">
        <f t="shared" si="0"/>
        <v>0.99</v>
      </c>
      <c r="G42" s="466">
        <f>PRODUCT(F$35:F42)</f>
        <v>0.97659482519997554</v>
      </c>
      <c r="H42" s="467">
        <f t="shared" si="1"/>
        <v>2.3405174800024464E-2</v>
      </c>
      <c r="I42" s="1"/>
      <c r="J42" s="1"/>
      <c r="K42" s="1"/>
      <c r="L42" s="1"/>
      <c r="M42" s="1"/>
    </row>
    <row r="43" spans="1:13" s="6" customFormat="1">
      <c r="A43" s="1"/>
      <c r="B43" s="399">
        <v>9</v>
      </c>
      <c r="C43" s="464">
        <v>2.5000000000000001E-2</v>
      </c>
      <c r="D43" s="417">
        <v>5000</v>
      </c>
      <c r="E43" s="417">
        <v>7000</v>
      </c>
      <c r="F43" s="465">
        <f t="shared" si="0"/>
        <v>0.97499999999999998</v>
      </c>
      <c r="G43" s="466">
        <f>PRODUCT(F$35:F43)</f>
        <v>0.95217995456997617</v>
      </c>
      <c r="H43" s="467">
        <f t="shared" si="1"/>
        <v>4.7820045430023828E-2</v>
      </c>
      <c r="I43" s="1"/>
      <c r="J43" s="1"/>
      <c r="K43" s="1"/>
      <c r="L43" s="1"/>
      <c r="M43" s="1"/>
    </row>
    <row r="44" spans="1:13" s="6" customFormat="1">
      <c r="A44" s="1"/>
      <c r="B44" s="399">
        <v>10</v>
      </c>
      <c r="C44" s="464">
        <v>0.05</v>
      </c>
      <c r="D44" s="417">
        <v>2000</v>
      </c>
      <c r="E44" s="417">
        <v>3000</v>
      </c>
      <c r="F44" s="465">
        <f>1-C44</f>
        <v>0.95</v>
      </c>
      <c r="G44" s="466">
        <f>PRODUCT(F$35:F44)</f>
        <v>0.90457095684147737</v>
      </c>
      <c r="H44" s="467">
        <f t="shared" si="1"/>
        <v>9.5429043158522631E-2</v>
      </c>
      <c r="I44" s="1"/>
      <c r="J44" s="1"/>
      <c r="K44" s="1"/>
      <c r="L44" s="1"/>
      <c r="M44" s="1"/>
    </row>
    <row r="45" spans="1:13" s="6" customFormat="1">
      <c r="A45" s="1"/>
      <c r="B45" s="1"/>
      <c r="C45" s="1"/>
      <c r="D45" s="1"/>
      <c r="E45" s="1"/>
      <c r="F45" s="1"/>
      <c r="G45" s="1"/>
      <c r="H45" s="1"/>
      <c r="I45" s="1"/>
      <c r="J45" s="1"/>
      <c r="K45" s="1"/>
      <c r="L45" s="1"/>
      <c r="M45" s="1"/>
    </row>
    <row r="46" spans="1:13" s="6" customFormat="1">
      <c r="A46" s="217"/>
      <c r="B46" s="36" t="s">
        <v>242</v>
      </c>
      <c r="C46" s="36"/>
      <c r="D46" s="36"/>
      <c r="E46" s="5"/>
      <c r="F46" s="5"/>
      <c r="G46" s="5"/>
      <c r="H46" s="5"/>
      <c r="I46" s="5"/>
      <c r="J46" s="5"/>
      <c r="K46" s="5"/>
      <c r="L46" s="5"/>
      <c r="M46" s="13"/>
    </row>
    <row r="47" spans="1:13" s="6" customFormat="1" ht="16.2">
      <c r="A47" s="92"/>
      <c r="B47" s="92" t="s">
        <v>245</v>
      </c>
      <c r="C47" s="92"/>
      <c r="D47" s="193"/>
      <c r="E47" s="11"/>
      <c r="F47" s="5"/>
      <c r="G47" s="5"/>
      <c r="H47" s="5"/>
      <c r="I47" s="5"/>
      <c r="J47" s="5"/>
      <c r="K47" s="5"/>
      <c r="L47" s="5"/>
      <c r="M47" s="13"/>
    </row>
    <row r="48" spans="1:13" s="6" customFormat="1">
      <c r="A48" s="1"/>
      <c r="B48" s="471" t="s">
        <v>375</v>
      </c>
      <c r="C48" s="472"/>
      <c r="D48" s="472"/>
      <c r="E48" s="472"/>
      <c r="F48" s="472"/>
      <c r="G48" s="1"/>
      <c r="H48" s="1"/>
      <c r="I48" s="1"/>
      <c r="J48" s="1"/>
      <c r="K48" s="1"/>
      <c r="L48" s="1"/>
      <c r="M48" s="1"/>
    </row>
    <row r="49" spans="1:13" s="6" customFormat="1">
      <c r="A49" s="1"/>
      <c r="B49" s="1"/>
      <c r="C49" s="1"/>
      <c r="D49" s="1"/>
      <c r="E49" s="1"/>
      <c r="F49" s="1"/>
      <c r="G49" s="1"/>
      <c r="H49" s="1"/>
      <c r="I49" s="1"/>
      <c r="J49" s="1"/>
      <c r="K49" s="1"/>
      <c r="L49" s="1"/>
      <c r="M49" s="1"/>
    </row>
    <row r="50" spans="1:13" s="6" customFormat="1">
      <c r="A50" s="1"/>
      <c r="B50" s="528" t="s">
        <v>376</v>
      </c>
      <c r="C50" s="528"/>
      <c r="D50" s="1"/>
      <c r="E50" s="1"/>
      <c r="F50" s="1"/>
      <c r="G50" s="1"/>
      <c r="H50" s="1"/>
      <c r="I50" s="1"/>
      <c r="J50" s="1"/>
      <c r="K50" s="1"/>
      <c r="L50" s="1"/>
      <c r="M50" s="1"/>
    </row>
    <row r="51" spans="1:13" s="6" customFormat="1">
      <c r="A51" s="1"/>
      <c r="B51" s="196" t="s">
        <v>377</v>
      </c>
      <c r="C51" s="196" t="s">
        <v>378</v>
      </c>
      <c r="D51" s="1"/>
      <c r="E51" s="1"/>
      <c r="F51" s="1"/>
      <c r="G51" s="1"/>
      <c r="H51" s="1"/>
      <c r="I51" s="1"/>
      <c r="J51" s="1"/>
      <c r="K51" s="1"/>
      <c r="L51" s="1"/>
      <c r="M51" s="1"/>
    </row>
    <row r="52" spans="1:13" s="6" customFormat="1">
      <c r="A52" s="1"/>
      <c r="B52" s="473">
        <f t="shared" ref="B52:B61" si="2">D35</f>
        <v>300000</v>
      </c>
      <c r="C52" s="474">
        <f t="shared" ref="C52:C61" si="3">H35</f>
        <v>9.9999999999988987E-5</v>
      </c>
      <c r="D52" s="1"/>
      <c r="E52" s="1"/>
      <c r="F52" s="1"/>
      <c r="G52" s="1"/>
      <c r="H52" s="1"/>
      <c r="I52" s="1"/>
      <c r="J52" s="1"/>
      <c r="K52" s="1"/>
      <c r="L52" s="1"/>
      <c r="M52" s="1"/>
    </row>
    <row r="53" spans="1:13" s="6" customFormat="1">
      <c r="A53" s="1"/>
      <c r="B53" s="473">
        <f t="shared" si="2"/>
        <v>100000</v>
      </c>
      <c r="C53" s="474">
        <f t="shared" si="3"/>
        <v>5.9994999999990473E-4</v>
      </c>
      <c r="D53" s="1"/>
      <c r="E53" s="1"/>
      <c r="F53" s="1"/>
      <c r="G53" s="1"/>
      <c r="H53" s="1"/>
      <c r="I53" s="1"/>
      <c r="J53" s="1"/>
      <c r="K53" s="1"/>
      <c r="L53" s="1"/>
      <c r="M53" s="1"/>
    </row>
    <row r="54" spans="1:13" s="6" customFormat="1">
      <c r="A54" s="1"/>
      <c r="B54" s="473">
        <f t="shared" si="2"/>
        <v>75000</v>
      </c>
      <c r="C54" s="474">
        <f t="shared" si="3"/>
        <v>1.3495000374998956E-3</v>
      </c>
      <c r="D54" s="1"/>
      <c r="E54" s="1"/>
      <c r="F54" s="1"/>
      <c r="G54" s="1"/>
      <c r="H54" s="1"/>
      <c r="I54" s="1"/>
      <c r="J54" s="1"/>
      <c r="K54" s="1"/>
      <c r="L54" s="1"/>
      <c r="M54" s="1"/>
    </row>
    <row r="55" spans="1:13" s="6" customFormat="1">
      <c r="A55" s="1"/>
      <c r="B55" s="473">
        <f t="shared" si="2"/>
        <v>45000</v>
      </c>
      <c r="C55" s="474">
        <f t="shared" si="3"/>
        <v>2.3481505374624012E-3</v>
      </c>
      <c r="D55" s="1"/>
      <c r="E55" s="1"/>
      <c r="F55" s="1"/>
      <c r="G55" s="1"/>
      <c r="H55" s="1"/>
      <c r="I55" s="1"/>
      <c r="J55" s="1"/>
      <c r="K55" s="1"/>
      <c r="L55" s="1"/>
      <c r="M55" s="1"/>
    </row>
    <row r="56" spans="1:13" s="6" customFormat="1">
      <c r="A56" s="1"/>
      <c r="B56" s="473">
        <f t="shared" si="2"/>
        <v>25000</v>
      </c>
      <c r="C56" s="474">
        <f t="shared" si="3"/>
        <v>3.5952153492905259E-3</v>
      </c>
      <c r="D56" s="1"/>
      <c r="E56" s="1"/>
      <c r="F56" s="1"/>
      <c r="G56" s="1"/>
      <c r="H56" s="1"/>
      <c r="I56" s="1"/>
      <c r="J56" s="1"/>
      <c r="K56" s="1"/>
      <c r="L56" s="1"/>
      <c r="M56" s="1"/>
    </row>
    <row r="57" spans="1:13" s="6" customFormat="1">
      <c r="A57" s="1"/>
      <c r="B57" s="473">
        <f t="shared" si="2"/>
        <v>17500</v>
      </c>
      <c r="C57" s="474">
        <f t="shared" si="3"/>
        <v>6.086227310917236E-3</v>
      </c>
      <c r="D57" s="1"/>
      <c r="E57" s="1"/>
      <c r="F57" s="1"/>
      <c r="G57" s="1"/>
      <c r="H57" s="1"/>
      <c r="I57" s="1"/>
      <c r="J57" s="1"/>
      <c r="K57" s="1"/>
      <c r="L57" s="1"/>
      <c r="M57" s="1"/>
    </row>
    <row r="58" spans="1:13" s="6" customFormat="1">
      <c r="A58" s="1"/>
      <c r="B58" s="473">
        <f t="shared" si="2"/>
        <v>12500</v>
      </c>
      <c r="C58" s="474">
        <f t="shared" si="3"/>
        <v>1.3540580606085317E-2</v>
      </c>
      <c r="D58" s="1"/>
      <c r="E58" s="1"/>
      <c r="F58" s="1"/>
      <c r="G58" s="1"/>
      <c r="H58" s="1"/>
      <c r="I58" s="1"/>
      <c r="J58" s="1"/>
      <c r="K58" s="1"/>
      <c r="L58" s="1"/>
      <c r="M58" s="1"/>
    </row>
    <row r="59" spans="1:13" s="6" customFormat="1">
      <c r="A59" s="1"/>
      <c r="B59" s="473">
        <f t="shared" si="2"/>
        <v>10000</v>
      </c>
      <c r="C59" s="474">
        <f t="shared" si="3"/>
        <v>2.3405174800024464E-2</v>
      </c>
      <c r="D59" s="1"/>
      <c r="E59" s="1"/>
      <c r="F59" s="1"/>
      <c r="G59" s="1"/>
      <c r="H59" s="1"/>
      <c r="I59" s="1"/>
      <c r="J59" s="1"/>
      <c r="K59" s="1"/>
      <c r="L59" s="1"/>
      <c r="M59" s="1"/>
    </row>
    <row r="60" spans="1:13" s="6" customFormat="1">
      <c r="A60" s="1"/>
      <c r="B60" s="473">
        <f t="shared" si="2"/>
        <v>5000</v>
      </c>
      <c r="C60" s="474">
        <f t="shared" si="3"/>
        <v>4.7820045430023828E-2</v>
      </c>
      <c r="D60" s="1"/>
      <c r="E60" s="1"/>
      <c r="F60" s="1"/>
      <c r="G60" s="1"/>
      <c r="H60" s="1"/>
      <c r="I60" s="1"/>
      <c r="J60" s="1"/>
      <c r="K60" s="1"/>
      <c r="L60" s="1"/>
      <c r="M60" s="1"/>
    </row>
    <row r="61" spans="1:13" s="6" customFormat="1">
      <c r="A61" s="1"/>
      <c r="B61" s="473">
        <f t="shared" si="2"/>
        <v>2000</v>
      </c>
      <c r="C61" s="474">
        <f t="shared" si="3"/>
        <v>9.5429043158522631E-2</v>
      </c>
      <c r="D61" s="1"/>
      <c r="E61" s="1"/>
      <c r="F61" s="1"/>
      <c r="G61" s="1"/>
      <c r="H61" s="1"/>
      <c r="I61" s="1"/>
      <c r="J61" s="1"/>
      <c r="K61" s="1"/>
      <c r="L61" s="1"/>
      <c r="M61" s="1"/>
    </row>
    <row r="62" spans="1:13" s="6" customFormat="1">
      <c r="A62" s="1"/>
      <c r="B62" s="1"/>
      <c r="C62" s="1"/>
      <c r="D62" s="1"/>
      <c r="E62" s="1"/>
      <c r="F62" s="1"/>
      <c r="G62" s="1"/>
      <c r="H62" s="1"/>
      <c r="I62" s="1"/>
      <c r="J62" s="1"/>
      <c r="K62" s="1"/>
      <c r="L62" s="1"/>
      <c r="M62" s="1"/>
    </row>
    <row r="63" spans="1:13" s="6" customFormat="1">
      <c r="A63" s="1"/>
      <c r="B63" s="1"/>
      <c r="C63" s="1"/>
      <c r="D63" s="1"/>
      <c r="E63" s="1"/>
      <c r="F63" s="1"/>
      <c r="G63" s="1"/>
      <c r="H63" s="1"/>
      <c r="I63" s="1"/>
      <c r="J63" s="1"/>
      <c r="K63" s="1"/>
      <c r="L63" s="1"/>
      <c r="M63" s="1"/>
    </row>
    <row r="64" spans="1:13" s="6" customFormat="1">
      <c r="A64" s="1"/>
      <c r="B64" s="1"/>
      <c r="C64" s="1"/>
      <c r="D64" s="1"/>
      <c r="E64" s="1"/>
      <c r="F64" s="1"/>
      <c r="G64" s="1"/>
      <c r="H64" s="1"/>
      <c r="I64" s="1"/>
      <c r="J64" s="1"/>
      <c r="K64" s="1"/>
      <c r="L64" s="1"/>
      <c r="M64" s="1"/>
    </row>
    <row r="66" spans="1:13" customFormat="1">
      <c r="A66" s="36" t="s">
        <v>124</v>
      </c>
      <c r="B66" s="36"/>
      <c r="C66" s="36"/>
      <c r="D66" s="36"/>
      <c r="E66" s="36"/>
      <c r="F66" s="36"/>
      <c r="G66" s="36"/>
      <c r="H66" s="36"/>
      <c r="I66" s="36"/>
      <c r="J66" s="36"/>
      <c r="K66" s="5"/>
      <c r="L66" s="5"/>
      <c r="M66" s="5"/>
    </row>
    <row r="67" spans="1:13" customFormat="1">
      <c r="A67" s="36"/>
      <c r="B67" s="36"/>
      <c r="C67" s="36"/>
      <c r="D67" s="36"/>
      <c r="E67" s="36"/>
      <c r="F67" s="36"/>
      <c r="G67" s="36"/>
      <c r="H67" s="36"/>
      <c r="I67" s="36"/>
      <c r="J67" s="36"/>
      <c r="K67" s="5"/>
      <c r="L67" s="5"/>
      <c r="M67" s="5"/>
    </row>
    <row r="68" spans="1:13" customFormat="1">
      <c r="A68" s="36" t="s">
        <v>125</v>
      </c>
      <c r="B68" s="36"/>
      <c r="C68" s="36"/>
      <c r="D68" s="36"/>
      <c r="E68" s="36"/>
      <c r="F68" s="36"/>
      <c r="G68" s="36"/>
      <c r="H68" s="36"/>
      <c r="I68" s="36"/>
      <c r="J68" s="36"/>
      <c r="K68" s="475" t="s">
        <v>246</v>
      </c>
      <c r="L68" s="337">
        <v>2E-8</v>
      </c>
      <c r="M68" s="5"/>
    </row>
    <row r="69" spans="1:13" customFormat="1">
      <c r="A69" s="36"/>
      <c r="B69" s="36"/>
      <c r="C69" s="36"/>
      <c r="D69" s="36"/>
      <c r="E69" s="36"/>
      <c r="F69" s="36"/>
      <c r="G69" s="36"/>
      <c r="H69" s="36"/>
      <c r="I69" s="36"/>
      <c r="J69" s="36"/>
      <c r="K69" s="36"/>
      <c r="L69" s="36"/>
      <c r="M69" s="36"/>
    </row>
    <row r="70" spans="1:13" customFormat="1">
      <c r="A70" s="181" t="s">
        <v>16</v>
      </c>
      <c r="B70" s="181" t="s">
        <v>374</v>
      </c>
      <c r="C70" s="36"/>
      <c r="D70" s="36"/>
      <c r="E70" s="36"/>
      <c r="F70" s="36"/>
      <c r="G70" s="36"/>
      <c r="H70" s="36"/>
      <c r="I70" s="36"/>
      <c r="J70" s="36"/>
      <c r="K70" s="36"/>
      <c r="L70" s="36"/>
      <c r="M70" s="218"/>
    </row>
    <row r="71" spans="1:13" s="6" customFormat="1" ht="16.2">
      <c r="A71" s="92"/>
      <c r="B71" s="92" t="s">
        <v>0</v>
      </c>
      <c r="C71" s="92"/>
      <c r="D71" s="193"/>
      <c r="E71" s="193"/>
      <c r="F71" s="36"/>
      <c r="G71" s="36"/>
      <c r="H71" s="36"/>
      <c r="I71" s="36"/>
      <c r="J71" s="36"/>
      <c r="K71" s="36"/>
      <c r="L71" s="36"/>
      <c r="M71" s="218"/>
    </row>
    <row r="72" spans="1:13" s="6" customFormat="1" ht="16.2">
      <c r="A72" s="92"/>
      <c r="B72" s="92"/>
      <c r="C72" s="92"/>
      <c r="D72" s="193"/>
      <c r="E72" s="193"/>
      <c r="F72" s="36"/>
      <c r="G72" s="36"/>
      <c r="H72" s="36"/>
      <c r="I72" s="36"/>
      <c r="J72" s="36"/>
      <c r="K72" s="36"/>
      <c r="L72" s="36"/>
      <c r="M72" s="218"/>
    </row>
    <row r="73" spans="1:13" s="6" customFormat="1">
      <c r="A73" s="1"/>
      <c r="B73" s="1"/>
      <c r="C73" s="1"/>
      <c r="D73" s="1"/>
      <c r="E73" s="1"/>
      <c r="F73" s="1"/>
      <c r="G73" s="1"/>
      <c r="H73" s="1"/>
      <c r="I73" s="1"/>
      <c r="J73" s="1"/>
      <c r="K73" s="1"/>
      <c r="L73" s="1"/>
      <c r="M73" s="1"/>
    </row>
    <row r="74" spans="1:13" s="6" customFormat="1" ht="28.2">
      <c r="A74" s="1"/>
      <c r="B74" s="125" t="s">
        <v>247</v>
      </c>
      <c r="C74" s="125" t="s">
        <v>1</v>
      </c>
      <c r="D74" s="124" t="s">
        <v>248</v>
      </c>
      <c r="E74" s="124" t="s">
        <v>249</v>
      </c>
      <c r="F74" s="124" t="s">
        <v>250</v>
      </c>
      <c r="G74" s="124" t="s">
        <v>390</v>
      </c>
      <c r="H74" s="124" t="s">
        <v>391</v>
      </c>
      <c r="I74" s="124" t="s">
        <v>392</v>
      </c>
      <c r="J74" s="1"/>
      <c r="K74" s="1"/>
      <c r="L74" s="1"/>
      <c r="M74" s="1"/>
    </row>
    <row r="75" spans="1:13" s="6" customFormat="1">
      <c r="A75" s="1"/>
      <c r="B75" s="118">
        <v>1</v>
      </c>
      <c r="C75" s="123">
        <v>1E-4</v>
      </c>
      <c r="D75" s="121">
        <v>300000</v>
      </c>
      <c r="E75" s="121">
        <v>350000</v>
      </c>
      <c r="F75" s="121">
        <f>SUM(D75:E75)</f>
        <v>650000</v>
      </c>
      <c r="G75" s="121">
        <f>$C75*(1-$C75)*(D75^2)</f>
        <v>8999100</v>
      </c>
      <c r="H75" s="121">
        <f t="shared" ref="H75:I84" si="4">$C75*(1-$C75)*(E75^2)</f>
        <v>12248775.000000002</v>
      </c>
      <c r="I75" s="121">
        <f t="shared" si="4"/>
        <v>42245775.000000007</v>
      </c>
      <c r="J75" s="1"/>
      <c r="K75" s="1"/>
      <c r="L75" s="1"/>
      <c r="M75" s="1"/>
    </row>
    <row r="76" spans="1:13" s="6" customFormat="1">
      <c r="A76" s="1"/>
      <c r="B76" s="118">
        <v>2</v>
      </c>
      <c r="C76" s="123">
        <v>5.0000000000000001E-4</v>
      </c>
      <c r="D76" s="121">
        <v>100000</v>
      </c>
      <c r="E76" s="121">
        <v>102500</v>
      </c>
      <c r="F76" s="121">
        <f t="shared" ref="F76:F84" si="5">SUM(D76:E76)</f>
        <v>202500</v>
      </c>
      <c r="G76" s="121">
        <f t="shared" ref="G76:G84" si="6">$C76*(1-$C76)*(D76^2)</f>
        <v>4997500.0000000009</v>
      </c>
      <c r="H76" s="121">
        <f t="shared" si="4"/>
        <v>5250498.4375000009</v>
      </c>
      <c r="I76" s="121">
        <f t="shared" si="4"/>
        <v>20492873.437500004</v>
      </c>
      <c r="J76" s="1"/>
      <c r="K76" s="1"/>
      <c r="L76" s="1"/>
      <c r="M76" s="1"/>
    </row>
    <row r="77" spans="1:13" s="6" customFormat="1">
      <c r="A77" s="1"/>
      <c r="B77" s="118">
        <v>3</v>
      </c>
      <c r="C77" s="123">
        <v>7.5000000000000002E-4</v>
      </c>
      <c r="D77" s="121">
        <v>75000</v>
      </c>
      <c r="E77" s="121">
        <v>85000</v>
      </c>
      <c r="F77" s="121">
        <f t="shared" si="5"/>
        <v>160000</v>
      </c>
      <c r="G77" s="121">
        <f t="shared" si="6"/>
        <v>4215585.9375</v>
      </c>
      <c r="H77" s="121">
        <f t="shared" si="4"/>
        <v>5414685.9375</v>
      </c>
      <c r="I77" s="121">
        <f t="shared" si="4"/>
        <v>19185600</v>
      </c>
      <c r="J77" s="1"/>
      <c r="K77" s="1"/>
      <c r="L77" s="1"/>
      <c r="M77" s="1"/>
    </row>
    <row r="78" spans="1:13" s="6" customFormat="1">
      <c r="A78" s="1"/>
      <c r="B78" s="118">
        <v>4</v>
      </c>
      <c r="C78" s="123">
        <v>1E-3</v>
      </c>
      <c r="D78" s="121">
        <v>45000</v>
      </c>
      <c r="E78" s="121">
        <v>50000</v>
      </c>
      <c r="F78" s="121">
        <f t="shared" si="5"/>
        <v>95000</v>
      </c>
      <c r="G78" s="121">
        <f t="shared" si="6"/>
        <v>2022975.0000000002</v>
      </c>
      <c r="H78" s="121">
        <f t="shared" si="4"/>
        <v>2497500.0000000005</v>
      </c>
      <c r="I78" s="121">
        <f t="shared" si="4"/>
        <v>9015975.0000000019</v>
      </c>
      <c r="J78" s="1"/>
      <c r="K78" s="1"/>
      <c r="L78" s="1"/>
      <c r="M78" s="1"/>
    </row>
    <row r="79" spans="1:13" s="6" customFormat="1">
      <c r="A79" s="1"/>
      <c r="B79" s="118">
        <v>5</v>
      </c>
      <c r="C79" s="123">
        <v>1.25E-3</v>
      </c>
      <c r="D79" s="121">
        <v>25000</v>
      </c>
      <c r="E79" s="121">
        <v>23500</v>
      </c>
      <c r="F79" s="121">
        <f t="shared" si="5"/>
        <v>48500</v>
      </c>
      <c r="G79" s="121">
        <f t="shared" si="6"/>
        <v>780273.4375</v>
      </c>
      <c r="H79" s="121">
        <f t="shared" si="4"/>
        <v>689449.609375</v>
      </c>
      <c r="I79" s="121">
        <f t="shared" si="4"/>
        <v>2936637.109375</v>
      </c>
      <c r="J79" s="1"/>
      <c r="K79" s="1"/>
      <c r="L79" s="1"/>
      <c r="M79" s="1"/>
    </row>
    <row r="80" spans="1:13" s="6" customFormat="1">
      <c r="A80" s="1"/>
      <c r="B80" s="118">
        <v>6</v>
      </c>
      <c r="C80" s="123">
        <v>2.5000000000000001E-3</v>
      </c>
      <c r="D80" s="121">
        <v>17500</v>
      </c>
      <c r="E80" s="121">
        <v>20000</v>
      </c>
      <c r="F80" s="121">
        <f t="shared" si="5"/>
        <v>37500</v>
      </c>
      <c r="G80" s="121">
        <f t="shared" si="6"/>
        <v>763710.93750000012</v>
      </c>
      <c r="H80" s="121">
        <f t="shared" si="4"/>
        <v>997500.00000000012</v>
      </c>
      <c r="I80" s="121">
        <f t="shared" si="4"/>
        <v>3506835.9375000005</v>
      </c>
      <c r="J80" s="1"/>
      <c r="K80" s="1"/>
      <c r="L80" s="1"/>
      <c r="M80" s="1"/>
    </row>
    <row r="81" spans="1:13" s="6" customFormat="1">
      <c r="A81" s="1"/>
      <c r="B81" s="118">
        <v>7</v>
      </c>
      <c r="C81" s="123">
        <v>7.4999999999999997E-3</v>
      </c>
      <c r="D81" s="121">
        <v>12500</v>
      </c>
      <c r="E81" s="121">
        <v>15000</v>
      </c>
      <c r="F81" s="121">
        <f t="shared" si="5"/>
        <v>27500</v>
      </c>
      <c r="G81" s="121">
        <f t="shared" si="6"/>
        <v>1163085.9375</v>
      </c>
      <c r="H81" s="121">
        <f t="shared" si="4"/>
        <v>1674843.75</v>
      </c>
      <c r="I81" s="121">
        <f t="shared" si="4"/>
        <v>5629335.9375</v>
      </c>
      <c r="J81" s="1"/>
      <c r="K81" s="1"/>
      <c r="L81" s="1"/>
      <c r="M81" s="1"/>
    </row>
    <row r="82" spans="1:13" s="6" customFormat="1">
      <c r="A82" s="1"/>
      <c r="B82" s="118">
        <v>8</v>
      </c>
      <c r="C82" s="123">
        <v>0.01</v>
      </c>
      <c r="D82" s="121">
        <v>10000</v>
      </c>
      <c r="E82" s="121">
        <v>9000</v>
      </c>
      <c r="F82" s="121">
        <f t="shared" si="5"/>
        <v>19000</v>
      </c>
      <c r="G82" s="121">
        <f t="shared" si="6"/>
        <v>990000.00000000012</v>
      </c>
      <c r="H82" s="121">
        <f t="shared" si="4"/>
        <v>801900.00000000012</v>
      </c>
      <c r="I82" s="121">
        <f t="shared" si="4"/>
        <v>3573900.0000000005</v>
      </c>
      <c r="J82" s="1"/>
      <c r="K82" s="1"/>
      <c r="L82" s="1"/>
      <c r="M82" s="1"/>
    </row>
    <row r="83" spans="1:13" s="6" customFormat="1">
      <c r="A83" s="1"/>
      <c r="B83" s="118">
        <v>9</v>
      </c>
      <c r="C83" s="123">
        <v>2.5000000000000001E-2</v>
      </c>
      <c r="D83" s="121">
        <v>5000</v>
      </c>
      <c r="E83" s="121">
        <v>7000</v>
      </c>
      <c r="F83" s="121">
        <f t="shared" si="5"/>
        <v>12000</v>
      </c>
      <c r="G83" s="121">
        <f t="shared" si="6"/>
        <v>609375</v>
      </c>
      <c r="H83" s="121">
        <f t="shared" si="4"/>
        <v>1194375</v>
      </c>
      <c r="I83" s="121">
        <f t="shared" si="4"/>
        <v>3510000</v>
      </c>
      <c r="J83" s="1"/>
      <c r="K83" s="1"/>
      <c r="L83" s="1"/>
      <c r="M83" s="1"/>
    </row>
    <row r="84" spans="1:13" s="6" customFormat="1">
      <c r="A84" s="1"/>
      <c r="B84" s="118">
        <v>10</v>
      </c>
      <c r="C84" s="123">
        <v>0.05</v>
      </c>
      <c r="D84" s="121">
        <v>2000</v>
      </c>
      <c r="E84" s="121">
        <v>3000</v>
      </c>
      <c r="F84" s="121">
        <f t="shared" si="5"/>
        <v>5000</v>
      </c>
      <c r="G84" s="121">
        <f t="shared" si="6"/>
        <v>190000</v>
      </c>
      <c r="H84" s="121">
        <f t="shared" si="4"/>
        <v>427500</v>
      </c>
      <c r="I84" s="121">
        <f t="shared" si="4"/>
        <v>1187500</v>
      </c>
      <c r="J84" s="1"/>
      <c r="K84" s="1"/>
      <c r="L84" s="1"/>
      <c r="M84" s="1"/>
    </row>
    <row r="85" spans="1:13" s="6" customFormat="1">
      <c r="A85" s="1"/>
      <c r="B85" s="126"/>
      <c r="C85" s="126"/>
      <c r="D85" s="125" t="s">
        <v>251</v>
      </c>
      <c r="E85" s="125" t="s">
        <v>252</v>
      </c>
      <c r="F85" s="125" t="s">
        <v>513</v>
      </c>
      <c r="G85" s="126"/>
      <c r="H85" s="126"/>
      <c r="I85" s="117"/>
      <c r="J85" s="1"/>
      <c r="K85" s="1"/>
      <c r="L85" s="1"/>
      <c r="M85" s="1"/>
    </row>
    <row r="86" spans="1:13" s="6" customFormat="1">
      <c r="A86" s="1"/>
      <c r="B86" s="126"/>
      <c r="C86" s="307" t="s">
        <v>505</v>
      </c>
      <c r="D86" s="308">
        <f>SUMPRODUCT($C$75:$C$84,D75:D84)</f>
        <v>675</v>
      </c>
      <c r="E86" s="308">
        <f t="shared" ref="E86:F86" si="7">SUMPRODUCT($C$75:$C$84,E75:E84)</f>
        <v>806.875</v>
      </c>
      <c r="F86" s="308">
        <f t="shared" si="7"/>
        <v>1481.875</v>
      </c>
      <c r="G86" s="126"/>
      <c r="H86" s="126"/>
      <c r="I86" s="117"/>
      <c r="J86" s="1"/>
      <c r="K86" s="1"/>
      <c r="L86" s="1"/>
      <c r="M86" s="1"/>
    </row>
    <row r="87" spans="1:13" s="6" customFormat="1">
      <c r="A87" s="1"/>
      <c r="B87" s="122"/>
      <c r="C87" s="309" t="s">
        <v>506</v>
      </c>
      <c r="D87" s="310">
        <f>SUM(G75:G84)</f>
        <v>24731606.25</v>
      </c>
      <c r="E87" s="310">
        <f>SUM(H75:H84)</f>
        <v>31197027.734375004</v>
      </c>
      <c r="F87" s="310">
        <f>SUM(I75:I84)</f>
        <v>111284432.42187501</v>
      </c>
      <c r="G87" s="122"/>
      <c r="H87" s="122"/>
      <c r="I87" s="117"/>
      <c r="J87" s="1"/>
      <c r="K87" s="1"/>
      <c r="L87" s="1"/>
      <c r="M87" s="1"/>
    </row>
    <row r="88" spans="1:13" s="6" customFormat="1">
      <c r="A88" s="1"/>
      <c r="B88" s="122"/>
      <c r="C88" s="117"/>
      <c r="D88" s="120"/>
      <c r="E88" s="120"/>
      <c r="F88" s="120"/>
      <c r="G88" s="122"/>
      <c r="H88" s="122"/>
      <c r="I88" s="117"/>
      <c r="J88" s="1"/>
      <c r="K88" s="1"/>
      <c r="L88" s="1"/>
      <c r="M88" s="1"/>
    </row>
    <row r="89" spans="1:13" s="6" customFormat="1">
      <c r="A89" s="1"/>
      <c r="B89" s="122"/>
      <c r="C89" s="313" t="s">
        <v>389</v>
      </c>
      <c r="D89" s="125" t="s">
        <v>251</v>
      </c>
      <c r="E89" s="125" t="s">
        <v>252</v>
      </c>
      <c r="F89" s="120"/>
      <c r="G89" s="122"/>
      <c r="H89" s="122"/>
      <c r="I89" s="117"/>
      <c r="J89" s="1"/>
      <c r="K89" s="1"/>
      <c r="L89" s="1"/>
      <c r="M89" s="1"/>
    </row>
    <row r="90" spans="1:13" s="6" customFormat="1">
      <c r="A90" s="1"/>
      <c r="B90" s="122"/>
      <c r="C90" s="313" t="s">
        <v>253</v>
      </c>
      <c r="D90" s="311">
        <f>F87</f>
        <v>111284432.42187501</v>
      </c>
      <c r="E90" s="311">
        <f>F87</f>
        <v>111284432.42187501</v>
      </c>
      <c r="F90" s="120"/>
      <c r="G90" s="122"/>
      <c r="H90" s="122"/>
      <c r="I90" s="117"/>
      <c r="J90" s="1"/>
      <c r="K90" s="1"/>
      <c r="L90" s="1"/>
      <c r="M90" s="1"/>
    </row>
    <row r="91" spans="1:13" s="6" customFormat="1" ht="31.2" customHeight="1">
      <c r="A91" s="1"/>
      <c r="B91" s="122"/>
      <c r="C91" s="314" t="s">
        <v>507</v>
      </c>
      <c r="D91" s="311">
        <f>E87</f>
        <v>31197027.734375004</v>
      </c>
      <c r="E91" s="311">
        <f>D87</f>
        <v>24731606.25</v>
      </c>
      <c r="F91" s="120"/>
      <c r="G91" s="122"/>
      <c r="H91" s="122"/>
      <c r="I91" s="117"/>
      <c r="J91" s="1"/>
      <c r="K91" s="1"/>
      <c r="L91" s="1"/>
      <c r="M91" s="1"/>
    </row>
    <row r="92" spans="1:13" s="6" customFormat="1">
      <c r="A92" s="1"/>
      <c r="B92" s="117"/>
      <c r="C92" s="313" t="s">
        <v>254</v>
      </c>
      <c r="D92" s="311">
        <f>D90-D91</f>
        <v>80087404.687500015</v>
      </c>
      <c r="E92" s="311">
        <f>E90-E91</f>
        <v>86552826.171875015</v>
      </c>
      <c r="F92" s="117"/>
      <c r="G92" s="117"/>
      <c r="H92" s="117"/>
      <c r="I92" s="117"/>
      <c r="J92" s="1"/>
      <c r="K92" s="1"/>
      <c r="L92" s="1"/>
      <c r="M92" s="1"/>
    </row>
    <row r="93" spans="1:13" s="6" customFormat="1">
      <c r="A93" s="1"/>
      <c r="B93" s="117"/>
      <c r="C93" s="313" t="s">
        <v>255</v>
      </c>
      <c r="D93" s="312">
        <f>D92*$L$68</f>
        <v>1.6017480937500004</v>
      </c>
      <c r="E93" s="312">
        <f>E92*$L$68</f>
        <v>1.7310565234375004</v>
      </c>
      <c r="F93" s="117"/>
      <c r="G93" s="117"/>
      <c r="H93" s="117"/>
      <c r="I93" s="117"/>
      <c r="J93" s="1"/>
      <c r="K93" s="1"/>
      <c r="L93" s="1"/>
      <c r="M93" s="1"/>
    </row>
    <row r="94" spans="1:13" s="6" customFormat="1">
      <c r="A94" s="1"/>
      <c r="B94" s="117"/>
      <c r="C94" s="117"/>
      <c r="D94" s="128"/>
      <c r="E94" s="128"/>
      <c r="F94" s="117"/>
      <c r="G94" s="117"/>
      <c r="H94" s="117"/>
      <c r="I94" s="117"/>
      <c r="J94" s="1"/>
      <c r="K94" s="1"/>
      <c r="L94" s="1"/>
      <c r="M94" s="1"/>
    </row>
    <row r="95" spans="1:13" s="6" customFormat="1">
      <c r="A95" s="1"/>
      <c r="B95" s="117"/>
      <c r="C95" s="117"/>
      <c r="D95" s="128"/>
      <c r="E95" s="128"/>
      <c r="F95" s="117"/>
      <c r="G95" s="117"/>
      <c r="H95" s="117"/>
      <c r="I95" s="117"/>
      <c r="J95" s="1"/>
      <c r="K95" s="1"/>
      <c r="L95" s="1"/>
      <c r="M95" s="1"/>
    </row>
    <row r="96" spans="1:13" customFormat="1">
      <c r="A96" s="181" t="s">
        <v>17</v>
      </c>
      <c r="B96" s="476" t="s">
        <v>514</v>
      </c>
      <c r="C96" s="36"/>
      <c r="D96" s="36"/>
      <c r="E96" s="36"/>
      <c r="F96" s="36"/>
      <c r="G96" s="36"/>
      <c r="H96" s="36"/>
      <c r="I96" s="36"/>
      <c r="J96" s="36"/>
      <c r="K96" s="36"/>
      <c r="L96" s="36"/>
      <c r="M96" s="218"/>
    </row>
    <row r="97" spans="1:13" s="6" customFormat="1" ht="16.2">
      <c r="A97" s="92"/>
      <c r="B97" s="92" t="s">
        <v>0</v>
      </c>
      <c r="C97" s="92"/>
      <c r="D97" s="193"/>
      <c r="E97" s="193"/>
      <c r="F97" s="36"/>
      <c r="G97" s="36"/>
      <c r="H97" s="36"/>
      <c r="I97" s="36"/>
      <c r="J97" s="36"/>
      <c r="K97" s="36"/>
      <c r="L97" s="36"/>
      <c r="M97" s="218"/>
    </row>
    <row r="98" spans="1:13" s="6" customFormat="1" ht="16.2">
      <c r="A98" s="481"/>
      <c r="B98" s="481"/>
      <c r="C98" s="481"/>
      <c r="D98" s="482"/>
      <c r="E98" s="482"/>
      <c r="F98" s="2"/>
      <c r="G98" s="2"/>
      <c r="H98" s="2"/>
      <c r="I98" s="2"/>
      <c r="J98" s="2"/>
      <c r="K98" s="2"/>
      <c r="L98" s="2"/>
      <c r="M98" s="2"/>
    </row>
    <row r="99" spans="1:13">
      <c r="D99" s="478" t="s">
        <v>251</v>
      </c>
      <c r="E99" s="478" t="s">
        <v>252</v>
      </c>
      <c r="F99" s="478" t="s">
        <v>513</v>
      </c>
    </row>
    <row r="100" spans="1:13">
      <c r="B100" s="117"/>
      <c r="C100" s="307" t="s">
        <v>505</v>
      </c>
      <c r="D100" s="310">
        <f>D86</f>
        <v>675</v>
      </c>
      <c r="E100" s="310">
        <f>E86</f>
        <v>806.875</v>
      </c>
      <c r="F100" s="310">
        <f>F86</f>
        <v>1481.875</v>
      </c>
    </row>
    <row r="101" spans="1:13">
      <c r="B101" s="117"/>
      <c r="C101" s="309" t="s">
        <v>506</v>
      </c>
      <c r="D101" s="310">
        <f t="shared" ref="D101:F101" si="8">D87</f>
        <v>24731606.25</v>
      </c>
      <c r="E101" s="310">
        <f t="shared" si="8"/>
        <v>31197027.734375004</v>
      </c>
      <c r="F101" s="310">
        <f t="shared" si="8"/>
        <v>111284432.42187501</v>
      </c>
    </row>
    <row r="102" spans="1:13">
      <c r="B102" s="117"/>
      <c r="C102" s="117"/>
      <c r="D102" s="117"/>
      <c r="E102" s="117"/>
      <c r="F102" s="117"/>
    </row>
    <row r="103" spans="1:13">
      <c r="B103" s="117"/>
      <c r="C103" s="309" t="s">
        <v>515</v>
      </c>
      <c r="D103" s="477">
        <f>(F101-D101-E101)/2</f>
        <v>27677899.218750007</v>
      </c>
      <c r="E103" s="117"/>
      <c r="F103" s="117"/>
    </row>
    <row r="104" spans="1:13">
      <c r="B104" s="117"/>
      <c r="C104" s="117"/>
      <c r="D104" s="119"/>
      <c r="E104" s="117"/>
      <c r="F104" s="117"/>
    </row>
    <row r="105" spans="1:13">
      <c r="B105" s="117"/>
      <c r="C105" s="117"/>
      <c r="D105" s="479" t="s">
        <v>251</v>
      </c>
      <c r="E105" s="479" t="s">
        <v>252</v>
      </c>
      <c r="F105" s="117"/>
    </row>
    <row r="106" spans="1:13">
      <c r="C106" s="309" t="s">
        <v>256</v>
      </c>
      <c r="D106" s="477">
        <f>D101+D103</f>
        <v>52409505.468750007</v>
      </c>
      <c r="E106" s="477">
        <f>E101+D103</f>
        <v>58874926.953125015</v>
      </c>
      <c r="F106" s="117"/>
    </row>
    <row r="107" spans="1:13">
      <c r="B107" s="117"/>
      <c r="C107" s="309" t="s">
        <v>255</v>
      </c>
      <c r="D107" s="480">
        <f>D106*$L$68</f>
        <v>1.0481901093750001</v>
      </c>
      <c r="E107" s="480">
        <f>E106*$L$68</f>
        <v>1.1774985390625003</v>
      </c>
      <c r="F107" s="117"/>
    </row>
    <row r="108" spans="1:13">
      <c r="B108" s="117"/>
      <c r="C108" s="117"/>
      <c r="D108" s="117"/>
      <c r="E108" s="117"/>
      <c r="F108" s="117"/>
    </row>
    <row r="109" spans="1:13">
      <c r="F109" s="117"/>
    </row>
    <row r="110" spans="1:13">
      <c r="B110" s="117"/>
      <c r="C110" s="117"/>
      <c r="E110" s="117"/>
      <c r="F110" s="117"/>
    </row>
    <row r="111" spans="1:13">
      <c r="B111" s="117"/>
      <c r="C111" s="117"/>
      <c r="E111" s="117"/>
      <c r="F111" s="117"/>
    </row>
  </sheetData>
  <mergeCells count="8">
    <mergeCell ref="A13:M13"/>
    <mergeCell ref="B10:K10"/>
    <mergeCell ref="B11:K11"/>
    <mergeCell ref="B50:C50"/>
    <mergeCell ref="B15:B16"/>
    <mergeCell ref="C15:C16"/>
    <mergeCell ref="B33:B34"/>
    <mergeCell ref="C33:C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AJ60"/>
  <sheetViews>
    <sheetView workbookViewId="0"/>
  </sheetViews>
  <sheetFormatPr defaultColWidth="9.21875" defaultRowHeight="15.6"/>
  <cols>
    <col min="1" max="1" width="10.21875" style="6" customWidth="1"/>
    <col min="2" max="12" width="13.33203125" style="6" customWidth="1"/>
    <col min="13" max="13" width="9.77734375" style="6" customWidth="1"/>
    <col min="14" max="14" width="6.5546875" style="6" customWidth="1"/>
    <col min="15" max="25" width="10.77734375" style="6" customWidth="1"/>
    <col min="26" max="26" width="13" style="6" customWidth="1"/>
    <col min="27" max="27" width="13.77734375" style="6" customWidth="1"/>
    <col min="28" max="28" width="11.5546875" style="6" customWidth="1"/>
    <col min="29" max="16384" width="9.21875" style="6"/>
  </cols>
  <sheetData>
    <row r="1" spans="1:36" ht="18" customHeight="1">
      <c r="A1" s="12" t="s">
        <v>8</v>
      </c>
      <c r="B1" s="13"/>
      <c r="C1" s="10" t="s">
        <v>6</v>
      </c>
      <c r="D1" s="13"/>
      <c r="E1" s="13"/>
      <c r="F1" s="13"/>
      <c r="G1" s="13"/>
      <c r="H1" s="13"/>
      <c r="I1" s="13"/>
      <c r="J1" s="13"/>
      <c r="K1" s="13"/>
      <c r="L1" s="13"/>
      <c r="M1" s="13"/>
      <c r="O1" s="485" t="s">
        <v>32</v>
      </c>
      <c r="P1" s="486"/>
      <c r="R1" s="485" t="s">
        <v>33</v>
      </c>
      <c r="S1" s="487"/>
      <c r="T1" s="487"/>
      <c r="U1" s="486"/>
      <c r="W1" s="46" t="s">
        <v>26</v>
      </c>
      <c r="X1" s="47"/>
      <c r="Y1" s="47"/>
      <c r="Z1" s="47"/>
      <c r="AA1" s="48"/>
    </row>
    <row r="2" spans="1:36" ht="15.75" customHeight="1">
      <c r="A2" s="7"/>
      <c r="B2" s="5"/>
      <c r="C2" s="5"/>
      <c r="D2" s="5"/>
      <c r="E2" s="5"/>
      <c r="F2" s="5"/>
      <c r="G2" s="5"/>
      <c r="H2" s="10"/>
      <c r="I2" s="10"/>
      <c r="J2" s="11"/>
      <c r="K2" s="11"/>
      <c r="L2" s="11"/>
      <c r="M2" s="13"/>
      <c r="N2" s="4"/>
      <c r="O2" s="161" t="s">
        <v>272</v>
      </c>
      <c r="P2" s="161" t="s">
        <v>20</v>
      </c>
      <c r="R2" s="161" t="s">
        <v>272</v>
      </c>
      <c r="S2" s="162" t="s">
        <v>273</v>
      </c>
      <c r="T2" s="162" t="s">
        <v>275</v>
      </c>
      <c r="U2" s="163"/>
      <c r="W2" s="164"/>
      <c r="X2" s="164"/>
      <c r="Y2" s="165" t="s">
        <v>276</v>
      </c>
      <c r="Z2" s="164"/>
      <c r="AA2" s="164"/>
      <c r="AB2" s="1"/>
      <c r="AC2" s="1"/>
    </row>
    <row r="3" spans="1:36">
      <c r="A3" s="483" t="s">
        <v>279</v>
      </c>
      <c r="B3" s="483"/>
      <c r="C3" s="483"/>
      <c r="D3" s="483"/>
      <c r="E3" s="483"/>
      <c r="F3" s="483"/>
      <c r="G3" s="483"/>
      <c r="H3" s="483"/>
      <c r="I3" s="483"/>
      <c r="J3" s="483"/>
      <c r="K3" s="483"/>
      <c r="L3" s="483"/>
      <c r="M3" s="14"/>
      <c r="N3" s="4"/>
      <c r="O3" s="166" t="s">
        <v>271</v>
      </c>
      <c r="P3" s="166" t="s">
        <v>35</v>
      </c>
      <c r="R3" s="166" t="s">
        <v>271</v>
      </c>
      <c r="S3" s="167" t="s">
        <v>274</v>
      </c>
      <c r="T3" s="167" t="s">
        <v>274</v>
      </c>
      <c r="U3" s="168" t="s">
        <v>19</v>
      </c>
      <c r="W3" s="39" t="s">
        <v>21</v>
      </c>
      <c r="X3" s="39" t="s">
        <v>22</v>
      </c>
      <c r="Y3" s="40" t="s">
        <v>35</v>
      </c>
      <c r="Z3" s="39" t="s">
        <v>23</v>
      </c>
      <c r="AA3" s="39" t="s">
        <v>24</v>
      </c>
      <c r="AB3" s="1"/>
      <c r="AC3" s="1"/>
    </row>
    <row r="4" spans="1:36" ht="15.6" customHeight="1">
      <c r="A4" s="489" t="s">
        <v>43</v>
      </c>
      <c r="B4" s="489"/>
      <c r="C4" s="489"/>
      <c r="D4" s="489"/>
      <c r="E4" s="489"/>
      <c r="F4" s="489"/>
      <c r="G4" s="489"/>
      <c r="H4" s="489"/>
      <c r="I4" s="489"/>
      <c r="J4" s="489"/>
      <c r="K4" s="489"/>
      <c r="L4" s="489"/>
      <c r="M4" s="14"/>
      <c r="N4" s="4"/>
      <c r="O4" s="26">
        <v>2017</v>
      </c>
      <c r="P4" s="27">
        <v>13000</v>
      </c>
      <c r="R4" s="21">
        <v>2017</v>
      </c>
      <c r="S4" s="28">
        <v>0</v>
      </c>
      <c r="T4" s="28">
        <v>12</v>
      </c>
      <c r="U4" s="29">
        <v>1100</v>
      </c>
      <c r="W4" s="43">
        <v>0</v>
      </c>
      <c r="X4" s="43">
        <v>9.767365813257807E-2</v>
      </c>
      <c r="Y4" s="29">
        <v>13000</v>
      </c>
      <c r="Z4" s="56">
        <v>889.17879023337991</v>
      </c>
      <c r="AA4" s="56">
        <v>6580.1493718498123</v>
      </c>
      <c r="AB4" s="62">
        <f>(Z4-U4)^2/Z4</f>
        <v>49.984978246945971</v>
      </c>
      <c r="AC4" s="1"/>
      <c r="AG4" s="1"/>
      <c r="AH4" s="1"/>
      <c r="AI4" s="1"/>
      <c r="AJ4" s="1"/>
    </row>
    <row r="5" spans="1:36">
      <c r="A5" s="23"/>
      <c r="B5" s="14"/>
      <c r="C5" s="14"/>
      <c r="D5" s="14"/>
      <c r="E5" s="14"/>
      <c r="F5" s="14"/>
      <c r="G5" s="14"/>
      <c r="H5" s="14"/>
      <c r="I5" s="14"/>
      <c r="J5" s="14"/>
      <c r="K5" s="14"/>
      <c r="L5" s="14"/>
      <c r="M5" s="14"/>
      <c r="N5" s="4"/>
      <c r="O5" s="26">
        <v>2018</v>
      </c>
      <c r="P5" s="27">
        <v>14000</v>
      </c>
      <c r="R5" s="21">
        <v>2017</v>
      </c>
      <c r="S5" s="28">
        <v>12</v>
      </c>
      <c r="T5" s="28">
        <v>24</v>
      </c>
      <c r="U5" s="29">
        <v>3800</v>
      </c>
      <c r="W5" s="43">
        <v>9.767365813257807E-2</v>
      </c>
      <c r="X5" s="43">
        <v>0.50650009379928984</v>
      </c>
      <c r="Y5" s="29">
        <v>13000</v>
      </c>
      <c r="Z5" s="56">
        <v>3721.7792640480939</v>
      </c>
      <c r="AA5" s="56">
        <v>27521.657828837993</v>
      </c>
      <c r="AB5" s="62">
        <f t="shared" ref="AB5:AB39" si="0">(Z5-U5)^2/Z5</f>
        <v>1.643967333571225</v>
      </c>
      <c r="AC5" s="1"/>
    </row>
    <row r="6" spans="1:36" ht="16.2">
      <c r="A6" s="22" t="s">
        <v>44</v>
      </c>
      <c r="B6" s="38"/>
      <c r="C6" s="38"/>
      <c r="D6" s="38"/>
      <c r="E6" s="38"/>
      <c r="F6" s="38"/>
      <c r="G6" s="38"/>
      <c r="H6" s="53"/>
      <c r="I6" s="53"/>
      <c r="J6" s="54"/>
      <c r="K6" s="54"/>
      <c r="L6" s="11"/>
      <c r="M6" s="13"/>
      <c r="N6" s="4"/>
      <c r="O6" s="26">
        <v>2019</v>
      </c>
      <c r="P6" s="27">
        <v>15000</v>
      </c>
      <c r="R6" s="21">
        <v>2017</v>
      </c>
      <c r="S6" s="28">
        <v>24</v>
      </c>
      <c r="T6" s="28">
        <v>36</v>
      </c>
      <c r="U6" s="29">
        <v>1800</v>
      </c>
      <c r="W6" s="43">
        <v>0.50650009379928984</v>
      </c>
      <c r="X6" s="43">
        <v>0.74495584428341821</v>
      </c>
      <c r="Y6" s="29">
        <v>13000</v>
      </c>
      <c r="Z6" s="56">
        <v>2170.798143465352</v>
      </c>
      <c r="AA6" s="56">
        <v>11658.332193059508</v>
      </c>
      <c r="AB6" s="62">
        <f t="shared" si="0"/>
        <v>63.336733362903892</v>
      </c>
      <c r="AC6" s="1"/>
    </row>
    <row r="7" spans="1:36" ht="16.2">
      <c r="A7" s="169" t="s">
        <v>192</v>
      </c>
      <c r="B7" s="38" t="s">
        <v>193</v>
      </c>
      <c r="C7" s="38"/>
      <c r="D7" s="38"/>
      <c r="E7" s="38"/>
      <c r="F7" s="38"/>
      <c r="G7" s="38"/>
      <c r="H7" s="53"/>
      <c r="I7" s="53"/>
      <c r="J7" s="54"/>
      <c r="K7" s="54"/>
      <c r="L7" s="11"/>
      <c r="M7" s="13"/>
      <c r="N7" s="4"/>
      <c r="O7" s="26">
        <v>2020</v>
      </c>
      <c r="P7" s="27">
        <v>16500</v>
      </c>
      <c r="R7" s="21">
        <v>2017</v>
      </c>
      <c r="S7" s="28">
        <v>36</v>
      </c>
      <c r="T7" s="28">
        <v>48</v>
      </c>
      <c r="U7" s="29">
        <v>1500</v>
      </c>
      <c r="W7" s="43">
        <v>0.74495584428341821</v>
      </c>
      <c r="X7" s="43">
        <v>0.85330932915776259</v>
      </c>
      <c r="Y7" s="29">
        <v>13000</v>
      </c>
      <c r="Z7" s="56">
        <v>986.4033193818226</v>
      </c>
      <c r="AA7" s="56">
        <v>9354.6946561066361</v>
      </c>
      <c r="AB7" s="62">
        <f t="shared" si="0"/>
        <v>267.41754124197553</v>
      </c>
      <c r="AC7" s="1"/>
    </row>
    <row r="8" spans="1:36" ht="16.2">
      <c r="A8" s="169" t="s">
        <v>190</v>
      </c>
      <c r="B8" s="38" t="s">
        <v>191</v>
      </c>
      <c r="C8" s="38"/>
      <c r="D8" s="38"/>
      <c r="E8" s="38"/>
      <c r="F8" s="38"/>
      <c r="G8" s="38"/>
      <c r="H8" s="53"/>
      <c r="I8" s="53"/>
      <c r="J8" s="54"/>
      <c r="K8" s="54"/>
      <c r="L8" s="11"/>
      <c r="M8" s="13"/>
      <c r="N8" s="4"/>
      <c r="O8" s="26">
        <v>2021</v>
      </c>
      <c r="P8" s="27">
        <v>18000</v>
      </c>
      <c r="R8" s="21">
        <v>2017</v>
      </c>
      <c r="S8" s="28">
        <v>48</v>
      </c>
      <c r="T8" s="28">
        <v>60</v>
      </c>
      <c r="U8" s="29">
        <v>300</v>
      </c>
      <c r="W8" s="43">
        <v>0.85330932915776259</v>
      </c>
      <c r="X8" s="43">
        <v>0.90681469025479011</v>
      </c>
      <c r="Y8" s="29">
        <v>13000</v>
      </c>
      <c r="Z8" s="56">
        <v>487.08969399587426</v>
      </c>
      <c r="AA8" s="56">
        <v>1369.4447908162465</v>
      </c>
      <c r="AB8" s="62">
        <f t="shared" si="0"/>
        <v>71.860591654740176</v>
      </c>
      <c r="AC8" s="1"/>
    </row>
    <row r="9" spans="1:36" ht="16.2">
      <c r="A9" s="7"/>
      <c r="B9" s="5"/>
      <c r="C9" s="5"/>
      <c r="D9" s="5"/>
      <c r="E9" s="5"/>
      <c r="F9" s="5"/>
      <c r="G9" s="5"/>
      <c r="H9" s="10"/>
      <c r="I9" s="10"/>
      <c r="J9" s="11"/>
      <c r="K9" s="11"/>
      <c r="L9" s="11"/>
      <c r="M9" s="13"/>
      <c r="N9" s="4"/>
      <c r="O9" s="26">
        <v>2022</v>
      </c>
      <c r="P9" s="27">
        <v>19500</v>
      </c>
      <c r="R9" s="21">
        <v>2017</v>
      </c>
      <c r="S9" s="28">
        <v>60</v>
      </c>
      <c r="T9" s="28">
        <v>72</v>
      </c>
      <c r="U9" s="29">
        <v>500</v>
      </c>
      <c r="W9" s="43">
        <v>0.90681469025479011</v>
      </c>
      <c r="X9" s="43">
        <v>0.93620799909401087</v>
      </c>
      <c r="Y9" s="29">
        <v>13000</v>
      </c>
      <c r="Z9" s="56">
        <v>267.58398624876583</v>
      </c>
      <c r="AA9" s="56">
        <v>2527.1327559231104</v>
      </c>
      <c r="AB9" s="62">
        <f t="shared" si="0"/>
        <v>201.8700902295233</v>
      </c>
      <c r="AC9" s="1"/>
    </row>
    <row r="10" spans="1:36">
      <c r="A10" s="170" t="s">
        <v>2</v>
      </c>
      <c r="B10" s="5" t="s">
        <v>142</v>
      </c>
      <c r="C10" s="5"/>
      <c r="D10" s="5"/>
      <c r="E10" s="5"/>
      <c r="F10" s="5"/>
      <c r="G10" s="5"/>
      <c r="H10" s="5"/>
      <c r="I10" s="5"/>
      <c r="J10" s="5"/>
      <c r="K10" s="5"/>
      <c r="L10" s="5"/>
      <c r="M10" s="13"/>
      <c r="N10" s="4"/>
      <c r="O10" s="26">
        <v>2023</v>
      </c>
      <c r="P10" s="27">
        <v>21000</v>
      </c>
      <c r="R10" s="21">
        <v>2017</v>
      </c>
      <c r="S10" s="28">
        <v>72</v>
      </c>
      <c r="T10" s="28">
        <v>84</v>
      </c>
      <c r="U10" s="29">
        <v>200</v>
      </c>
      <c r="W10" s="43">
        <v>0.93620799909401087</v>
      </c>
      <c r="X10" s="43">
        <v>0.95383389218377346</v>
      </c>
      <c r="Y10" s="29">
        <v>13000</v>
      </c>
      <c r="Z10" s="56">
        <v>160.45851659476816</v>
      </c>
      <c r="AA10" s="56">
        <v>855.14857252095248</v>
      </c>
      <c r="AB10" s="62">
        <f t="shared" si="0"/>
        <v>9.7441316488975023</v>
      </c>
      <c r="AC10" s="1"/>
    </row>
    <row r="11" spans="1:36">
      <c r="A11" s="5"/>
      <c r="B11" s="5"/>
      <c r="C11" s="5"/>
      <c r="D11" s="5"/>
      <c r="E11" s="5"/>
      <c r="F11" s="5"/>
      <c r="G11" s="5"/>
      <c r="H11" s="5"/>
      <c r="I11" s="5"/>
      <c r="J11" s="5"/>
      <c r="K11" s="5"/>
      <c r="L11" s="5"/>
      <c r="M11" s="13"/>
      <c r="N11" s="4"/>
      <c r="O11" s="26">
        <v>2024</v>
      </c>
      <c r="P11" s="27">
        <v>23000</v>
      </c>
      <c r="R11" s="21">
        <v>2017</v>
      </c>
      <c r="S11" s="28">
        <v>84</v>
      </c>
      <c r="T11" s="28">
        <v>96</v>
      </c>
      <c r="U11" s="29">
        <v>0</v>
      </c>
      <c r="W11" s="43">
        <v>0.95383389218377346</v>
      </c>
      <c r="X11" s="43">
        <v>0.96515013638887792</v>
      </c>
      <c r="Y11" s="29">
        <v>13000</v>
      </c>
      <c r="Z11" s="56">
        <v>103.01819881285013</v>
      </c>
      <c r="AA11" s="56">
        <v>-103.01819881285013</v>
      </c>
      <c r="AB11" s="62">
        <f t="shared" si="0"/>
        <v>103.01819881285012</v>
      </c>
      <c r="AC11" s="1"/>
    </row>
    <row r="12" spans="1:36" ht="16.2">
      <c r="A12" s="10"/>
      <c r="B12" s="22" t="s">
        <v>143</v>
      </c>
      <c r="C12" s="10"/>
      <c r="D12" s="11"/>
      <c r="E12" s="11"/>
      <c r="F12" s="5"/>
      <c r="G12" s="5"/>
      <c r="H12" s="5"/>
      <c r="I12" s="5"/>
      <c r="J12" s="5"/>
      <c r="K12" s="5"/>
      <c r="L12" s="5"/>
      <c r="M12" s="13"/>
      <c r="N12" s="4"/>
      <c r="R12" s="21">
        <v>2018</v>
      </c>
      <c r="S12" s="28">
        <v>0</v>
      </c>
      <c r="T12" s="28">
        <v>12</v>
      </c>
      <c r="U12" s="29">
        <v>1300</v>
      </c>
      <c r="W12" s="43">
        <v>0</v>
      </c>
      <c r="X12" s="43">
        <v>9.767365813257807E-2</v>
      </c>
      <c r="Y12" s="29">
        <v>14000</v>
      </c>
      <c r="Z12" s="56">
        <v>957.57715871287076</v>
      </c>
      <c r="AA12" s="56">
        <v>7966.1510330034689</v>
      </c>
      <c r="AB12" s="62">
        <f t="shared" si="0"/>
        <v>122.4479940527789</v>
      </c>
      <c r="AC12" s="1"/>
    </row>
    <row r="13" spans="1:36" ht="16.2">
      <c r="A13" s="10"/>
      <c r="B13" s="10" t="s">
        <v>0</v>
      </c>
      <c r="C13" s="10"/>
      <c r="D13" s="11"/>
      <c r="E13" s="11"/>
      <c r="F13" s="5"/>
      <c r="G13" s="5"/>
      <c r="H13" s="5"/>
      <c r="I13" s="5"/>
      <c r="J13" s="5"/>
      <c r="K13" s="5"/>
      <c r="L13" s="5"/>
      <c r="M13" s="13"/>
      <c r="N13" s="4"/>
      <c r="R13" s="21">
        <v>2018</v>
      </c>
      <c r="S13" s="28">
        <v>12</v>
      </c>
      <c r="T13" s="28">
        <v>24</v>
      </c>
      <c r="U13" s="29">
        <v>3400</v>
      </c>
      <c r="W13" s="43">
        <v>9.767365813257807E-2</v>
      </c>
      <c r="X13" s="43">
        <v>0.50650009379928984</v>
      </c>
      <c r="Y13" s="29">
        <v>14000</v>
      </c>
      <c r="Z13" s="56">
        <v>4008.0699766671783</v>
      </c>
      <c r="AA13" s="56">
        <v>24198.55136965882</v>
      </c>
      <c r="AB13" s="62">
        <f t="shared" si="0"/>
        <v>92.25115795794548</v>
      </c>
      <c r="AC13" s="1"/>
    </row>
    <row r="14" spans="1:36">
      <c r="A14" s="4"/>
      <c r="B14" s="106" t="s">
        <v>400</v>
      </c>
      <c r="C14" s="4"/>
      <c r="D14" s="4"/>
      <c r="E14" s="4"/>
      <c r="F14" s="4"/>
      <c r="G14" s="4"/>
      <c r="H14" s="4"/>
      <c r="I14" s="4"/>
      <c r="J14" s="4"/>
      <c r="K14" s="4"/>
      <c r="L14" s="4"/>
      <c r="M14" s="4"/>
      <c r="N14" s="4"/>
      <c r="R14" s="21">
        <v>2018</v>
      </c>
      <c r="S14" s="28">
        <v>24</v>
      </c>
      <c r="T14" s="28">
        <v>36</v>
      </c>
      <c r="U14" s="29">
        <v>2000</v>
      </c>
      <c r="W14" s="43">
        <v>0.50650009379928984</v>
      </c>
      <c r="X14" s="43">
        <v>0.74495584428341821</v>
      </c>
      <c r="Y14" s="29">
        <v>14000</v>
      </c>
      <c r="Z14" s="56">
        <v>2337.7826160396103</v>
      </c>
      <c r="AA14" s="56">
        <v>13176.133702184345</v>
      </c>
      <c r="AB14" s="62">
        <f t="shared" si="0"/>
        <v>48.805690878073321</v>
      </c>
      <c r="AC14" s="1"/>
    </row>
    <row r="15" spans="1:36">
      <c r="A15" s="4"/>
      <c r="B15" s="106"/>
      <c r="C15" s="4"/>
      <c r="D15" s="4"/>
      <c r="E15" s="4"/>
      <c r="F15" s="4"/>
      <c r="G15" s="4"/>
      <c r="H15" s="4"/>
      <c r="I15" s="4"/>
      <c r="J15" s="4"/>
      <c r="K15" s="4"/>
      <c r="L15" s="4"/>
      <c r="M15" s="4"/>
      <c r="N15" s="4"/>
      <c r="R15" s="21">
        <v>2018</v>
      </c>
      <c r="S15" s="28">
        <v>36</v>
      </c>
      <c r="T15" s="28">
        <v>48</v>
      </c>
      <c r="U15" s="29">
        <v>1500</v>
      </c>
      <c r="W15" s="43">
        <v>0.74495584428341821</v>
      </c>
      <c r="X15" s="43">
        <v>0.85330932915776259</v>
      </c>
      <c r="Y15" s="29">
        <v>14000</v>
      </c>
      <c r="Z15" s="56">
        <v>1062.280497795809</v>
      </c>
      <c r="AA15" s="56">
        <v>9389.979435923231</v>
      </c>
      <c r="AB15" s="62">
        <f t="shared" si="0"/>
        <v>180.36513238023667</v>
      </c>
      <c r="AC15" s="1"/>
    </row>
    <row r="16" spans="1:36">
      <c r="A16" s="4"/>
      <c r="B16" s="31"/>
      <c r="C16" s="4"/>
      <c r="D16" s="4"/>
      <c r="E16" s="4"/>
      <c r="F16" s="4"/>
      <c r="G16" s="4"/>
      <c r="H16" s="4"/>
      <c r="I16" s="4"/>
      <c r="J16" s="4"/>
      <c r="K16" s="4"/>
      <c r="L16" s="4"/>
      <c r="M16" s="4"/>
      <c r="N16" s="4"/>
      <c r="R16" s="21">
        <v>2018</v>
      </c>
      <c r="S16" s="28">
        <v>48</v>
      </c>
      <c r="T16" s="28">
        <v>60</v>
      </c>
      <c r="U16" s="29">
        <v>600</v>
      </c>
      <c r="W16" s="43">
        <v>0.85330932915776259</v>
      </c>
      <c r="X16" s="43">
        <v>0.90681469025479011</v>
      </c>
      <c r="Y16" s="29">
        <v>14000</v>
      </c>
      <c r="Z16" s="56">
        <v>524.55813199555689</v>
      </c>
      <c r="AA16" s="56">
        <v>3232.9756209209181</v>
      </c>
      <c r="AB16" s="62">
        <f t="shared" si="0"/>
        <v>10.850037585630307</v>
      </c>
      <c r="AC16" s="1"/>
    </row>
    <row r="17" spans="1:29" ht="16.2">
      <c r="A17" s="10"/>
      <c r="B17" s="22" t="s">
        <v>144</v>
      </c>
      <c r="C17" s="10"/>
      <c r="D17" s="11"/>
      <c r="E17" s="11"/>
      <c r="F17" s="5"/>
      <c r="G17" s="5"/>
      <c r="H17" s="5"/>
      <c r="I17" s="5"/>
      <c r="J17" s="5"/>
      <c r="K17" s="5"/>
      <c r="L17" s="5"/>
      <c r="M17" s="5"/>
      <c r="N17" s="4"/>
      <c r="R17" s="21">
        <v>2018</v>
      </c>
      <c r="S17" s="28">
        <v>60</v>
      </c>
      <c r="T17" s="28">
        <v>72</v>
      </c>
      <c r="U17" s="29">
        <v>300</v>
      </c>
      <c r="W17" s="43">
        <v>0.90681469025479011</v>
      </c>
      <c r="X17" s="43">
        <v>0.93620799909401087</v>
      </c>
      <c r="Y17" s="29">
        <v>14000</v>
      </c>
      <c r="Z17" s="56">
        <v>288.16736980636324</v>
      </c>
      <c r="AA17" s="56">
        <v>1410.8950671428793</v>
      </c>
      <c r="AB17" s="62">
        <f t="shared" si="0"/>
        <v>0.48586742278782669</v>
      </c>
      <c r="AC17" s="1"/>
    </row>
    <row r="18" spans="1:29" ht="16.2">
      <c r="A18" s="10"/>
      <c r="B18" s="10" t="s">
        <v>0</v>
      </c>
      <c r="C18" s="10"/>
      <c r="D18" s="11"/>
      <c r="E18" s="11"/>
      <c r="F18" s="5"/>
      <c r="G18" s="5"/>
      <c r="H18" s="5"/>
      <c r="I18" s="5"/>
      <c r="J18" s="5"/>
      <c r="K18" s="5"/>
      <c r="L18" s="5"/>
      <c r="M18" s="13"/>
      <c r="N18" s="4"/>
      <c r="R18" s="21">
        <v>2018</v>
      </c>
      <c r="S18" s="28">
        <v>72</v>
      </c>
      <c r="T18" s="28">
        <v>84</v>
      </c>
      <c r="U18" s="29">
        <v>-100</v>
      </c>
      <c r="W18" s="43">
        <v>0.93620799909401087</v>
      </c>
      <c r="X18" s="43">
        <v>0.95383389218377346</v>
      </c>
      <c r="Y18" s="29">
        <v>14000</v>
      </c>
      <c r="Z18" s="56">
        <v>172.80147940975036</v>
      </c>
      <c r="AA18" s="56">
        <v>-688.01582118298279</v>
      </c>
      <c r="AB18" s="62">
        <f t="shared" si="0"/>
        <v>430.67135433303042</v>
      </c>
      <c r="AC18" s="1"/>
    </row>
    <row r="19" spans="1:29">
      <c r="A19" s="4"/>
      <c r="B19" s="106" t="s">
        <v>401</v>
      </c>
      <c r="C19" s="4"/>
      <c r="D19" s="4"/>
      <c r="E19" s="4"/>
      <c r="F19" s="4"/>
      <c r="G19" s="4"/>
      <c r="H19" s="4"/>
      <c r="I19" s="4"/>
      <c r="J19" s="4"/>
      <c r="K19" s="4"/>
      <c r="L19" s="4"/>
      <c r="M19" s="4"/>
      <c r="N19" s="4"/>
      <c r="R19" s="21">
        <v>2019</v>
      </c>
      <c r="S19" s="28">
        <v>0</v>
      </c>
      <c r="T19" s="28">
        <v>12</v>
      </c>
      <c r="U19" s="29">
        <v>700</v>
      </c>
      <c r="W19" s="43">
        <v>0</v>
      </c>
      <c r="X19" s="43">
        <v>9.767365813257807E-2</v>
      </c>
      <c r="Y19" s="29">
        <v>15000</v>
      </c>
      <c r="Z19" s="56">
        <v>1025.9755271923614</v>
      </c>
      <c r="AA19" s="56">
        <v>3827.4038937726873</v>
      </c>
      <c r="AB19" s="62">
        <f t="shared" si="0"/>
        <v>103.56976507921627</v>
      </c>
      <c r="AC19" s="1"/>
    </row>
    <row r="20" spans="1:29" ht="16.2" customHeight="1">
      <c r="A20" s="4"/>
      <c r="B20" s="106"/>
      <c r="C20" s="4"/>
      <c r="D20" s="4"/>
      <c r="E20" s="4"/>
      <c r="F20" s="4"/>
      <c r="G20" s="4"/>
      <c r="H20" s="4"/>
      <c r="I20" s="4"/>
      <c r="J20" s="4"/>
      <c r="K20" s="4"/>
      <c r="L20" s="4"/>
      <c r="M20" s="4"/>
      <c r="N20" s="4"/>
      <c r="R20" s="21">
        <v>2019</v>
      </c>
      <c r="S20" s="28">
        <v>12</v>
      </c>
      <c r="T20" s="28">
        <v>24</v>
      </c>
      <c r="U20" s="29">
        <v>4300</v>
      </c>
      <c r="W20" s="43">
        <v>9.767365813257807E-2</v>
      </c>
      <c r="X20" s="43">
        <v>0.50650009379928984</v>
      </c>
      <c r="Y20" s="29">
        <v>15000</v>
      </c>
      <c r="Z20" s="56">
        <v>4294.3606892862617</v>
      </c>
      <c r="AA20" s="56">
        <v>31675.388596108158</v>
      </c>
      <c r="AB20" s="62">
        <f t="shared" si="0"/>
        <v>7.4054853858511816E-3</v>
      </c>
      <c r="AC20" s="1"/>
    </row>
    <row r="21" spans="1:29" ht="16.2" customHeight="1">
      <c r="A21" s="4"/>
      <c r="B21" s="31"/>
      <c r="C21" s="4"/>
      <c r="D21" s="4"/>
      <c r="E21" s="4"/>
      <c r="F21" s="4"/>
      <c r="G21" s="4"/>
      <c r="H21" s="4"/>
      <c r="I21" s="4"/>
      <c r="J21" s="4"/>
      <c r="K21" s="4"/>
      <c r="L21" s="4"/>
      <c r="M21" s="4"/>
      <c r="N21" s="4"/>
      <c r="R21" s="21">
        <v>2019</v>
      </c>
      <c r="S21" s="28">
        <v>24</v>
      </c>
      <c r="T21" s="28">
        <v>36</v>
      </c>
      <c r="U21" s="29">
        <v>2200</v>
      </c>
      <c r="W21" s="43">
        <v>0.50650009379928984</v>
      </c>
      <c r="X21" s="43">
        <v>0.74495584428341821</v>
      </c>
      <c r="Y21" s="29">
        <v>15000</v>
      </c>
      <c r="Z21" s="56">
        <v>2504.7670886138681</v>
      </c>
      <c r="AA21" s="56">
        <v>14712.325178703779</v>
      </c>
      <c r="AB21" s="62">
        <f t="shared" si="0"/>
        <v>37.08248113143906</v>
      </c>
      <c r="AC21" s="1"/>
    </row>
    <row r="22" spans="1:29" ht="16.2">
      <c r="A22" s="10"/>
      <c r="B22" s="22" t="s">
        <v>145</v>
      </c>
      <c r="C22" s="10"/>
      <c r="D22" s="11"/>
      <c r="E22" s="11"/>
      <c r="F22" s="5"/>
      <c r="G22" s="5"/>
      <c r="H22" s="5"/>
      <c r="I22" s="5"/>
      <c r="J22" s="5"/>
      <c r="K22" s="5"/>
      <c r="L22" s="5"/>
      <c r="M22" s="13"/>
      <c r="N22" s="4"/>
      <c r="R22" s="21">
        <v>2019</v>
      </c>
      <c r="S22" s="28">
        <v>36</v>
      </c>
      <c r="T22" s="28">
        <v>48</v>
      </c>
      <c r="U22" s="29">
        <v>1100</v>
      </c>
      <c r="W22" s="43">
        <v>0.74495584428341821</v>
      </c>
      <c r="X22" s="43">
        <v>0.85330932915776259</v>
      </c>
      <c r="Y22" s="29">
        <v>15000</v>
      </c>
      <c r="Z22" s="56">
        <v>1138.1576762097952</v>
      </c>
      <c r="AA22" s="56">
        <v>6602.7251004864811</v>
      </c>
      <c r="AB22" s="62">
        <f t="shared" si="0"/>
        <v>1.2792676130606604</v>
      </c>
      <c r="AC22" s="1"/>
    </row>
    <row r="23" spans="1:29" ht="16.2">
      <c r="A23" s="10"/>
      <c r="B23" s="10" t="s">
        <v>0</v>
      </c>
      <c r="C23" s="10"/>
      <c r="D23" s="11"/>
      <c r="E23" s="11"/>
      <c r="F23" s="5"/>
      <c r="G23" s="5"/>
      <c r="H23" s="5"/>
      <c r="I23" s="5"/>
      <c r="J23" s="5"/>
      <c r="K23" s="5"/>
      <c r="L23" s="5"/>
      <c r="M23" s="13"/>
      <c r="N23" s="4"/>
      <c r="R23" s="21">
        <v>2019</v>
      </c>
      <c r="S23" s="28">
        <v>48</v>
      </c>
      <c r="T23" s="28">
        <v>60</v>
      </c>
      <c r="U23" s="29">
        <v>700</v>
      </c>
      <c r="W23" s="43">
        <v>0.85330932915776259</v>
      </c>
      <c r="X23" s="43">
        <v>0.90681469025479011</v>
      </c>
      <c r="Y23" s="29">
        <v>15000</v>
      </c>
      <c r="Z23" s="56">
        <v>562.02656999523947</v>
      </c>
      <c r="AA23" s="56">
        <v>3870.0578184481801</v>
      </c>
      <c r="AB23" s="62">
        <f t="shared" si="0"/>
        <v>33.87147228188838</v>
      </c>
      <c r="AC23" s="1"/>
    </row>
    <row r="24" spans="1:29">
      <c r="A24" s="4"/>
      <c r="B24" s="106" t="s">
        <v>402</v>
      </c>
      <c r="C24" s="4"/>
      <c r="D24" s="4"/>
      <c r="E24" s="4"/>
      <c r="F24" s="4"/>
      <c r="G24" s="4"/>
      <c r="H24" s="4"/>
      <c r="I24" s="4"/>
      <c r="J24" s="4"/>
      <c r="K24" s="4"/>
      <c r="L24" s="4"/>
      <c r="M24" s="4"/>
      <c r="N24" s="4"/>
      <c r="R24" s="21">
        <v>2019</v>
      </c>
      <c r="S24" s="28">
        <v>60</v>
      </c>
      <c r="T24" s="28">
        <v>72</v>
      </c>
      <c r="U24" s="29">
        <v>-100</v>
      </c>
      <c r="W24" s="43">
        <v>0.90681469025479011</v>
      </c>
      <c r="X24" s="43">
        <v>0.93620799909401087</v>
      </c>
      <c r="Y24" s="29">
        <v>15000</v>
      </c>
      <c r="Z24" s="56">
        <v>308.75075336396054</v>
      </c>
      <c r="AA24" s="56">
        <v>-882.00418616240313</v>
      </c>
      <c r="AB24" s="62">
        <f t="shared" si="0"/>
        <v>541.13933830196015</v>
      </c>
      <c r="AC24" s="1"/>
    </row>
    <row r="25" spans="1:29">
      <c r="A25" s="4"/>
      <c r="B25" s="106"/>
      <c r="C25" s="4"/>
      <c r="D25" s="4"/>
      <c r="E25" s="4"/>
      <c r="F25" s="4"/>
      <c r="G25" s="4"/>
      <c r="H25" s="4"/>
      <c r="I25" s="4"/>
      <c r="J25" s="4"/>
      <c r="K25" s="4"/>
      <c r="L25" s="4"/>
      <c r="M25" s="4"/>
      <c r="N25" s="4"/>
      <c r="R25" s="21">
        <v>2020</v>
      </c>
      <c r="S25" s="28">
        <v>0</v>
      </c>
      <c r="T25" s="28">
        <v>12</v>
      </c>
      <c r="U25" s="29">
        <v>1300</v>
      </c>
      <c r="W25" s="43">
        <v>0</v>
      </c>
      <c r="X25" s="43">
        <v>9.767365813257807E-2</v>
      </c>
      <c r="Y25" s="29">
        <v>16500</v>
      </c>
      <c r="Z25" s="56">
        <v>1128.5730799115977</v>
      </c>
      <c r="AA25" s="56">
        <v>8008.7490784834008</v>
      </c>
      <c r="AB25" s="62">
        <f t="shared" si="0"/>
        <v>26.039243230307601</v>
      </c>
      <c r="AC25" s="1"/>
    </row>
    <row r="26" spans="1:29">
      <c r="A26" s="4"/>
      <c r="B26" s="31"/>
      <c r="C26" s="4"/>
      <c r="D26" s="4"/>
      <c r="E26" s="4"/>
      <c r="F26" s="4"/>
      <c r="G26" s="4"/>
      <c r="H26" s="4"/>
      <c r="I26" s="4"/>
      <c r="J26" s="4"/>
      <c r="K26" s="4"/>
      <c r="L26" s="4"/>
      <c r="M26" s="4"/>
      <c r="N26" s="4"/>
      <c r="R26" s="21">
        <v>2020</v>
      </c>
      <c r="S26" s="28">
        <v>12</v>
      </c>
      <c r="T26" s="28">
        <v>24</v>
      </c>
      <c r="U26" s="29">
        <v>4700</v>
      </c>
      <c r="W26" s="43">
        <v>9.767365813257807E-2</v>
      </c>
      <c r="X26" s="43">
        <v>0.50650009379928984</v>
      </c>
      <c r="Y26" s="29">
        <v>16500</v>
      </c>
      <c r="Z26" s="56">
        <v>4723.7967582148885</v>
      </c>
      <c r="AA26" s="56">
        <v>35039.933561598868</v>
      </c>
      <c r="AB26" s="62">
        <f t="shared" si="0"/>
        <v>0.11987935352067587</v>
      </c>
      <c r="AC26" s="1"/>
    </row>
    <row r="27" spans="1:29" ht="16.2">
      <c r="A27" s="22" t="s">
        <v>280</v>
      </c>
      <c r="B27" s="10"/>
      <c r="C27" s="10"/>
      <c r="D27" s="11"/>
      <c r="E27" s="11"/>
      <c r="F27" s="5"/>
      <c r="G27" s="5"/>
      <c r="H27" s="5"/>
      <c r="I27" s="5"/>
      <c r="J27" s="5"/>
      <c r="K27" s="5"/>
      <c r="L27" s="5"/>
      <c r="M27" s="13"/>
      <c r="N27" s="4"/>
      <c r="R27" s="21">
        <v>2020</v>
      </c>
      <c r="S27" s="28">
        <v>24</v>
      </c>
      <c r="T27" s="28">
        <v>36</v>
      </c>
      <c r="U27" s="29">
        <v>3300</v>
      </c>
      <c r="W27" s="43">
        <v>0.50650009379928984</v>
      </c>
      <c r="X27" s="43">
        <v>0.74495584428341821</v>
      </c>
      <c r="Y27" s="29">
        <v>16500</v>
      </c>
      <c r="Z27" s="56">
        <v>2755.2437974752552</v>
      </c>
      <c r="AA27" s="56">
        <v>23384.918196855484</v>
      </c>
      <c r="AB27" s="62">
        <f t="shared" si="0"/>
        <v>107.70710035210449</v>
      </c>
      <c r="AC27" s="1"/>
    </row>
    <row r="28" spans="1:29" ht="16.2">
      <c r="A28" s="10"/>
      <c r="B28" s="10"/>
      <c r="C28" s="10"/>
      <c r="D28" s="11"/>
      <c r="E28" s="11"/>
      <c r="F28" s="5"/>
      <c r="G28" s="5"/>
      <c r="H28" s="5"/>
      <c r="I28" s="5"/>
      <c r="J28" s="5"/>
      <c r="K28" s="5"/>
      <c r="L28" s="5"/>
      <c r="M28" s="13"/>
      <c r="N28" s="4"/>
      <c r="R28" s="21">
        <v>2020</v>
      </c>
      <c r="S28" s="28">
        <v>36</v>
      </c>
      <c r="T28" s="28">
        <v>48</v>
      </c>
      <c r="U28" s="29">
        <v>1300</v>
      </c>
      <c r="W28" s="43">
        <v>0.74495584428341821</v>
      </c>
      <c r="X28" s="43">
        <v>0.85330932915776259</v>
      </c>
      <c r="Y28" s="29">
        <v>16500</v>
      </c>
      <c r="Z28" s="56">
        <v>1251.9734438307751</v>
      </c>
      <c r="AA28" s="56">
        <v>8020.2457987377202</v>
      </c>
      <c r="AB28" s="62">
        <f t="shared" si="0"/>
        <v>1.8423314878134793</v>
      </c>
      <c r="AC28" s="1"/>
    </row>
    <row r="29" spans="1:29">
      <c r="A29" s="170" t="s">
        <v>3</v>
      </c>
      <c r="B29" s="38" t="s">
        <v>278</v>
      </c>
      <c r="C29" s="5"/>
      <c r="D29" s="5"/>
      <c r="E29" s="5"/>
      <c r="F29" s="5"/>
      <c r="G29" s="5"/>
      <c r="H29" s="5"/>
      <c r="I29" s="5"/>
      <c r="J29" s="5"/>
      <c r="K29" s="5"/>
      <c r="L29" s="5"/>
      <c r="M29" s="13"/>
      <c r="N29" s="4"/>
      <c r="R29" s="21">
        <v>2020</v>
      </c>
      <c r="S29" s="28">
        <v>48</v>
      </c>
      <c r="T29" s="28">
        <v>60</v>
      </c>
      <c r="U29" s="29">
        <v>500</v>
      </c>
      <c r="W29" s="43">
        <v>0.85330932915776259</v>
      </c>
      <c r="X29" s="43">
        <v>0.90681469025479011</v>
      </c>
      <c r="Y29" s="29">
        <v>16500</v>
      </c>
      <c r="Z29" s="56">
        <v>618.22922699476351</v>
      </c>
      <c r="AA29" s="56">
        <v>2595.2004260812705</v>
      </c>
      <c r="AB29" s="62">
        <f t="shared" si="0"/>
        <v>22.609979446826948</v>
      </c>
      <c r="AC29" s="1"/>
    </row>
    <row r="30" spans="1:29" ht="16.2">
      <c r="A30" s="10"/>
      <c r="B30" s="10" t="s">
        <v>150</v>
      </c>
      <c r="C30" s="10"/>
      <c r="D30" s="11"/>
      <c r="E30" s="11"/>
      <c r="F30" s="5"/>
      <c r="G30" s="5"/>
      <c r="H30" s="5"/>
      <c r="I30" s="5"/>
      <c r="J30" s="5"/>
      <c r="K30" s="5"/>
      <c r="L30" s="5"/>
      <c r="M30" s="13"/>
      <c r="N30" s="4"/>
      <c r="R30" s="21">
        <v>2021</v>
      </c>
      <c r="S30" s="28">
        <v>0</v>
      </c>
      <c r="T30" s="28">
        <v>12</v>
      </c>
      <c r="U30" s="29">
        <v>1500</v>
      </c>
      <c r="W30" s="43">
        <v>0</v>
      </c>
      <c r="X30" s="43">
        <v>9.767365813257807E-2</v>
      </c>
      <c r="Y30" s="29">
        <v>18000</v>
      </c>
      <c r="Z30" s="56">
        <v>1231.1706326308338</v>
      </c>
      <c r="AA30" s="56">
        <v>9442.4104617709163</v>
      </c>
      <c r="AB30" s="62">
        <f t="shared" si="0"/>
        <v>58.699604136655879</v>
      </c>
      <c r="AC30" s="1"/>
    </row>
    <row r="31" spans="1:29" ht="15.6" customHeight="1">
      <c r="A31" s="55"/>
      <c r="B31" s="327" t="s">
        <v>146</v>
      </c>
      <c r="C31" s="328"/>
      <c r="D31" s="55"/>
      <c r="E31" s="55"/>
      <c r="F31" s="55"/>
      <c r="G31" s="55"/>
      <c r="H31" s="55"/>
      <c r="I31" s="55"/>
      <c r="J31" s="55"/>
      <c r="K31" s="55"/>
      <c r="L31" s="55"/>
      <c r="M31" s="55"/>
      <c r="N31" s="4"/>
      <c r="R31" s="21">
        <v>2021</v>
      </c>
      <c r="S31" s="28">
        <v>12</v>
      </c>
      <c r="T31" s="28">
        <v>24</v>
      </c>
      <c r="U31" s="29">
        <v>5300</v>
      </c>
      <c r="W31" s="43">
        <v>9.767365813257807E-2</v>
      </c>
      <c r="X31" s="43">
        <v>0.50650009379928984</v>
      </c>
      <c r="Y31" s="29">
        <v>18000</v>
      </c>
      <c r="Z31" s="56">
        <v>5153.2328271435144</v>
      </c>
      <c r="AA31" s="56">
        <v>40147.878682606402</v>
      </c>
      <c r="AB31" s="62">
        <f t="shared" si="0"/>
        <v>4.180017428055093</v>
      </c>
      <c r="AC31" s="1"/>
    </row>
    <row r="32" spans="1:29">
      <c r="A32" s="55"/>
      <c r="B32" s="315">
        <f>AB43</f>
        <v>1875.0808939041369</v>
      </c>
      <c r="C32" s="55"/>
      <c r="D32" s="55"/>
      <c r="E32" s="55"/>
      <c r="F32" s="55"/>
      <c r="G32" s="55"/>
      <c r="H32" s="55"/>
      <c r="I32" s="55"/>
      <c r="J32" s="55"/>
      <c r="K32" s="55"/>
      <c r="L32" s="55"/>
      <c r="M32" s="55"/>
      <c r="N32" s="4"/>
      <c r="R32" s="21">
        <v>2021</v>
      </c>
      <c r="S32" s="28">
        <v>24</v>
      </c>
      <c r="T32" s="28">
        <v>36</v>
      </c>
      <c r="U32" s="29">
        <v>4000</v>
      </c>
      <c r="W32" s="43">
        <v>0.50650009379928984</v>
      </c>
      <c r="X32" s="43">
        <v>0.74495584428341821</v>
      </c>
      <c r="Y32" s="29">
        <v>18000</v>
      </c>
      <c r="Z32" s="56">
        <v>3005.7205063366418</v>
      </c>
      <c r="AA32" s="56">
        <v>29027.369843234897</v>
      </c>
      <c r="AB32" s="62">
        <f t="shared" si="0"/>
        <v>328.90340583408232</v>
      </c>
      <c r="AC32" s="1"/>
    </row>
    <row r="33" spans="1:29">
      <c r="A33" s="55"/>
      <c r="B33" s="55"/>
      <c r="C33" s="55"/>
      <c r="D33" s="55"/>
      <c r="E33" s="55"/>
      <c r="F33" s="55"/>
      <c r="G33" s="55"/>
      <c r="H33" s="55"/>
      <c r="I33" s="55"/>
      <c r="J33" s="55"/>
      <c r="K33" s="55"/>
      <c r="L33" s="55"/>
      <c r="M33" s="55"/>
      <c r="N33" s="4"/>
      <c r="R33" s="21">
        <v>2021</v>
      </c>
      <c r="S33" s="28">
        <v>36</v>
      </c>
      <c r="T33" s="28">
        <v>48</v>
      </c>
      <c r="U33" s="29">
        <v>1000</v>
      </c>
      <c r="W33" s="43">
        <v>0.74495584428341821</v>
      </c>
      <c r="X33" s="43">
        <v>0.85330932915776259</v>
      </c>
      <c r="Y33" s="29">
        <v>18000</v>
      </c>
      <c r="Z33" s="56">
        <v>1365.7892114517545</v>
      </c>
      <c r="AA33" s="56">
        <v>5853.6985059751796</v>
      </c>
      <c r="AB33" s="62">
        <f t="shared" si="0"/>
        <v>97.966615999457829</v>
      </c>
      <c r="AC33" s="1"/>
    </row>
    <row r="34" spans="1:29">
      <c r="A34" s="488" t="s">
        <v>281</v>
      </c>
      <c r="B34" s="488"/>
      <c r="C34" s="488"/>
      <c r="D34" s="488"/>
      <c r="E34" s="488"/>
      <c r="F34" s="488"/>
      <c r="G34" s="488"/>
      <c r="H34" s="488"/>
      <c r="I34" s="488"/>
      <c r="J34" s="488"/>
      <c r="K34" s="488"/>
      <c r="L34" s="488"/>
      <c r="M34" s="129"/>
      <c r="N34" s="4"/>
      <c r="R34" s="21">
        <v>2022</v>
      </c>
      <c r="S34" s="28">
        <v>0</v>
      </c>
      <c r="T34" s="28">
        <v>12</v>
      </c>
      <c r="U34" s="29">
        <v>1200</v>
      </c>
      <c r="W34" s="43">
        <v>0</v>
      </c>
      <c r="X34" s="43">
        <v>9.767365813257807E-2</v>
      </c>
      <c r="Y34" s="29">
        <v>19500</v>
      </c>
      <c r="Z34" s="56">
        <v>1333.7681853500699</v>
      </c>
      <c r="AA34" s="56">
        <v>7301.1479393795735</v>
      </c>
      <c r="AB34" s="62">
        <f t="shared" si="0"/>
        <v>13.416070055047898</v>
      </c>
      <c r="AC34" s="1"/>
    </row>
    <row r="35" spans="1:29">
      <c r="A35" s="488"/>
      <c r="B35" s="488"/>
      <c r="C35" s="488"/>
      <c r="D35" s="488"/>
      <c r="E35" s="488"/>
      <c r="F35" s="488"/>
      <c r="G35" s="488"/>
      <c r="H35" s="488"/>
      <c r="I35" s="488"/>
      <c r="J35" s="488"/>
      <c r="K35" s="488"/>
      <c r="L35" s="488"/>
      <c r="M35" s="129"/>
      <c r="N35" s="4"/>
      <c r="R35" s="21">
        <v>2022</v>
      </c>
      <c r="S35" s="28">
        <v>12</v>
      </c>
      <c r="T35" s="28">
        <v>24</v>
      </c>
      <c r="U35" s="29">
        <v>6100</v>
      </c>
      <c r="W35" s="43">
        <v>9.767365813257807E-2</v>
      </c>
      <c r="X35" s="43">
        <v>0.50650009379928984</v>
      </c>
      <c r="Y35" s="29">
        <v>19500</v>
      </c>
      <c r="Z35" s="56">
        <v>5582.6688960721413</v>
      </c>
      <c r="AA35" s="56">
        <v>47044.606754599547</v>
      </c>
      <c r="AB35" s="62">
        <f t="shared" si="0"/>
        <v>47.93969982341553</v>
      </c>
      <c r="AC35" s="1"/>
    </row>
    <row r="36" spans="1:29" ht="16.2">
      <c r="A36" s="7"/>
      <c r="B36" s="5"/>
      <c r="C36" s="5"/>
      <c r="D36" s="5"/>
      <c r="E36" s="5"/>
      <c r="F36" s="5"/>
      <c r="G36" s="5"/>
      <c r="H36" s="10"/>
      <c r="I36" s="10"/>
      <c r="J36" s="11"/>
      <c r="K36" s="11"/>
      <c r="L36" s="11"/>
      <c r="M36" s="13"/>
      <c r="N36" s="4"/>
      <c r="R36" s="21">
        <v>2022</v>
      </c>
      <c r="S36" s="28">
        <v>24</v>
      </c>
      <c r="T36" s="28">
        <v>36</v>
      </c>
      <c r="U36" s="29">
        <v>3300</v>
      </c>
      <c r="W36" s="43">
        <v>0.50650009379928984</v>
      </c>
      <c r="X36" s="43">
        <v>0.74495584428341821</v>
      </c>
      <c r="Y36" s="29">
        <v>19500</v>
      </c>
      <c r="Z36" s="56">
        <v>3256.1972151980285</v>
      </c>
      <c r="AA36" s="56">
        <v>23435.243258521157</v>
      </c>
      <c r="AB36" s="62">
        <f t="shared" si="0"/>
        <v>0.58924070920905125</v>
      </c>
      <c r="AC36" s="1"/>
    </row>
    <row r="37" spans="1:29">
      <c r="A37" s="170" t="s">
        <v>16</v>
      </c>
      <c r="B37" s="38" t="s">
        <v>277</v>
      </c>
      <c r="C37" s="30"/>
      <c r="D37" s="30"/>
      <c r="E37" s="30"/>
      <c r="F37" s="30"/>
      <c r="G37" s="30"/>
      <c r="H37" s="30"/>
      <c r="I37" s="30"/>
      <c r="J37" s="30"/>
      <c r="K37" s="30"/>
      <c r="L37" s="30"/>
      <c r="M37" s="13"/>
      <c r="N37" s="4"/>
      <c r="R37" s="21">
        <v>2023</v>
      </c>
      <c r="S37" s="28">
        <v>0</v>
      </c>
      <c r="T37" s="28">
        <v>12</v>
      </c>
      <c r="U37" s="29">
        <v>700</v>
      </c>
      <c r="W37" s="43">
        <v>0</v>
      </c>
      <c r="X37" s="43">
        <v>9.767365813257807E-2</v>
      </c>
      <c r="Y37" s="29">
        <v>21000</v>
      </c>
      <c r="Z37" s="56">
        <v>1436.3657380693062</v>
      </c>
      <c r="AA37" s="56">
        <v>3652.5442485305916</v>
      </c>
      <c r="AB37" s="62">
        <f t="shared" si="0"/>
        <v>377.5044794170596</v>
      </c>
      <c r="AC37" s="1"/>
    </row>
    <row r="38" spans="1:29" ht="16.2">
      <c r="A38" s="10"/>
      <c r="B38" s="10" t="s">
        <v>0</v>
      </c>
      <c r="C38" s="10"/>
      <c r="D38" s="11"/>
      <c r="E38" s="11"/>
      <c r="F38" s="5"/>
      <c r="G38" s="5"/>
      <c r="H38" s="5"/>
      <c r="I38" s="5"/>
      <c r="J38" s="5"/>
      <c r="K38" s="5"/>
      <c r="L38" s="5"/>
      <c r="M38" s="13"/>
      <c r="N38" s="4"/>
      <c r="R38" s="21">
        <v>2023</v>
      </c>
      <c r="S38" s="28">
        <v>12</v>
      </c>
      <c r="T38" s="28">
        <v>24</v>
      </c>
      <c r="U38" s="29">
        <v>4900</v>
      </c>
      <c r="W38" s="43">
        <v>9.767365813257807E-2</v>
      </c>
      <c r="X38" s="43">
        <v>0.50650009379928984</v>
      </c>
      <c r="Y38" s="29">
        <v>21000</v>
      </c>
      <c r="Z38" s="56">
        <v>6012.1049650007672</v>
      </c>
      <c r="AA38" s="56">
        <v>36625.393063846117</v>
      </c>
      <c r="AB38" s="62">
        <f t="shared" si="0"/>
        <v>205.71454763002458</v>
      </c>
      <c r="AC38" s="1"/>
    </row>
    <row r="39" spans="1:29">
      <c r="N39" s="4"/>
      <c r="R39" s="21">
        <v>2024</v>
      </c>
      <c r="S39" s="28">
        <v>0</v>
      </c>
      <c r="T39" s="28">
        <v>12</v>
      </c>
      <c r="U39" s="29">
        <v>2200</v>
      </c>
      <c r="W39" s="43">
        <v>0</v>
      </c>
      <c r="X39" s="43">
        <v>9.767365813257807E-2</v>
      </c>
      <c r="Y39" s="29">
        <v>23000</v>
      </c>
      <c r="Z39" s="56">
        <v>1573.1624750282876</v>
      </c>
      <c r="AA39" s="56">
        <v>14620.692537766847</v>
      </c>
      <c r="AB39" s="62">
        <f t="shared" si="0"/>
        <v>249.76776966765419</v>
      </c>
      <c r="AC39" s="1"/>
    </row>
    <row r="40" spans="1:29">
      <c r="B40" s="484" t="s">
        <v>399</v>
      </c>
      <c r="C40" s="484"/>
      <c r="D40" s="484"/>
      <c r="E40" s="484"/>
      <c r="F40" s="484"/>
      <c r="G40" s="484"/>
      <c r="H40" s="484"/>
      <c r="I40" s="484"/>
      <c r="J40" s="484"/>
      <c r="K40" s="484"/>
      <c r="N40" s="4"/>
      <c r="W40" s="28"/>
      <c r="X40" s="28"/>
      <c r="Y40" s="28"/>
      <c r="Z40" s="28"/>
      <c r="AA40" s="57">
        <v>472456.14113729686</v>
      </c>
      <c r="AB40" s="63">
        <f>SUM(AB4:AB39)</f>
        <v>3914.7031816060762</v>
      </c>
      <c r="AC40" s="1"/>
    </row>
    <row r="41" spans="1:29">
      <c r="B41" s="484"/>
      <c r="C41" s="484"/>
      <c r="D41" s="484"/>
      <c r="E41" s="484"/>
      <c r="F41" s="484"/>
      <c r="G41" s="484"/>
      <c r="H41" s="484"/>
      <c r="I41" s="484"/>
      <c r="J41" s="484"/>
      <c r="K41" s="484"/>
      <c r="N41" s="4"/>
      <c r="W41" s="45" t="s">
        <v>31</v>
      </c>
      <c r="X41" s="58">
        <v>2.0474431364219821</v>
      </c>
      <c r="Y41" s="35"/>
      <c r="Z41" s="35"/>
      <c r="AB41" s="60">
        <f>AB40/(36-3)</f>
        <v>118.62736913957806</v>
      </c>
      <c r="AC41" s="59" t="s">
        <v>147</v>
      </c>
    </row>
    <row r="42" spans="1:29">
      <c r="B42" s="484"/>
      <c r="C42" s="484"/>
      <c r="D42" s="484"/>
      <c r="E42" s="484"/>
      <c r="F42" s="484"/>
      <c r="G42" s="484"/>
      <c r="H42" s="484"/>
      <c r="I42" s="484"/>
      <c r="J42" s="484"/>
      <c r="K42" s="484"/>
      <c r="N42" s="4"/>
      <c r="W42" s="45" t="s">
        <v>30</v>
      </c>
      <c r="X42" s="58">
        <v>17.772851454391255</v>
      </c>
      <c r="Y42" s="35"/>
      <c r="Z42" s="35"/>
      <c r="AB42" s="60">
        <f>SUM(P4:P11)*X43-SUM(U4:U39)</f>
        <v>29638.424793417304</v>
      </c>
      <c r="AC42" s="59" t="s">
        <v>148</v>
      </c>
    </row>
    <row r="43" spans="1:29">
      <c r="B43" s="484"/>
      <c r="C43" s="484"/>
      <c r="D43" s="484"/>
      <c r="E43" s="484"/>
      <c r="F43" s="484"/>
      <c r="G43" s="484"/>
      <c r="H43" s="484"/>
      <c r="I43" s="484"/>
      <c r="J43" s="484"/>
      <c r="K43" s="484"/>
      <c r="N43" s="4"/>
      <c r="W43" s="44" t="s">
        <v>25</v>
      </c>
      <c r="X43" s="58">
        <v>0.70027446281012362</v>
      </c>
      <c r="Y43" s="35"/>
      <c r="Z43" s="35"/>
      <c r="AB43" s="61">
        <f>SQRT(AB41*AB42)</f>
        <v>1875.0808939041369</v>
      </c>
      <c r="AC43" s="59" t="s">
        <v>149</v>
      </c>
    </row>
    <row r="44" spans="1:29">
      <c r="N44" s="4"/>
      <c r="W44" s="1"/>
      <c r="X44" s="1"/>
      <c r="Y44" s="1"/>
      <c r="Z44" s="1"/>
      <c r="AA44" s="1"/>
      <c r="AB44" s="1"/>
      <c r="AC44" s="1"/>
    </row>
    <row r="45" spans="1:29">
      <c r="N45" s="4"/>
      <c r="W45" s="1"/>
      <c r="X45" s="1"/>
      <c r="Y45" s="1"/>
      <c r="Z45" s="1"/>
      <c r="AA45" s="1"/>
      <c r="AB45" s="1"/>
      <c r="AC45" s="1"/>
    </row>
    <row r="46" spans="1:29">
      <c r="N46" s="4"/>
      <c r="W46" s="1"/>
      <c r="X46" s="1"/>
      <c r="Y46" s="1"/>
      <c r="Z46" s="1"/>
      <c r="AA46" s="1"/>
      <c r="AB46" s="1"/>
      <c r="AC46" s="1"/>
    </row>
    <row r="47" spans="1:29">
      <c r="N47" s="4"/>
      <c r="AB47" s="1"/>
      <c r="AC47" s="1"/>
    </row>
    <row r="48" spans="1:29">
      <c r="N48" s="4"/>
    </row>
    <row r="49" spans="14:14">
      <c r="N49" s="4"/>
    </row>
    <row r="50" spans="14:14">
      <c r="N50" s="4"/>
    </row>
    <row r="51" spans="14:14">
      <c r="N51" s="4"/>
    </row>
    <row r="52" spans="14:14">
      <c r="N52" s="4"/>
    </row>
    <row r="53" spans="14:14">
      <c r="N53" s="4"/>
    </row>
    <row r="54" spans="14:14">
      <c r="N54" s="4"/>
    </row>
    <row r="55" spans="14:14">
      <c r="N55" s="4"/>
    </row>
    <row r="56" spans="14:14">
      <c r="N56" s="4"/>
    </row>
    <row r="57" spans="14:14">
      <c r="N57" s="4"/>
    </row>
    <row r="58" spans="14:14">
      <c r="N58" s="4"/>
    </row>
    <row r="59" spans="14:14">
      <c r="N59" s="4"/>
    </row>
    <row r="60" spans="14:14">
      <c r="N60" s="4"/>
    </row>
  </sheetData>
  <mergeCells count="6">
    <mergeCell ref="B40:K43"/>
    <mergeCell ref="O1:P1"/>
    <mergeCell ref="R1:U1"/>
    <mergeCell ref="A34:L35"/>
    <mergeCell ref="A3:L3"/>
    <mergeCell ref="A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N66"/>
  <sheetViews>
    <sheetView workbookViewId="0"/>
  </sheetViews>
  <sheetFormatPr defaultColWidth="8.77734375" defaultRowHeight="15.6"/>
  <cols>
    <col min="1" max="1" width="12.33203125" style="1" customWidth="1"/>
    <col min="2" max="2" width="16.109375" style="1" customWidth="1"/>
    <col min="3" max="12" width="12.33203125" style="1" customWidth="1"/>
    <col min="13" max="16384" width="8.77734375" style="1"/>
  </cols>
  <sheetData>
    <row r="1" spans="1:13" ht="18">
      <c r="A1" s="234" t="s">
        <v>4</v>
      </c>
      <c r="B1" s="5"/>
      <c r="C1" s="92" t="s">
        <v>6</v>
      </c>
      <c r="D1" s="5"/>
      <c r="E1" s="5"/>
      <c r="F1" s="5"/>
      <c r="G1" s="5"/>
      <c r="H1" s="5"/>
      <c r="I1" s="5"/>
      <c r="J1" s="5"/>
      <c r="K1" s="5"/>
      <c r="L1" s="5"/>
      <c r="M1" s="52"/>
    </row>
    <row r="2" spans="1:13" ht="16.2">
      <c r="A2" s="7"/>
      <c r="B2" s="5"/>
      <c r="C2" s="5"/>
      <c r="D2" s="5"/>
      <c r="E2" s="5"/>
      <c r="F2" s="5"/>
      <c r="G2" s="5"/>
      <c r="H2" s="10"/>
      <c r="I2" s="10"/>
      <c r="J2" s="11"/>
      <c r="K2" s="11"/>
      <c r="L2" s="11"/>
      <c r="M2" s="52"/>
    </row>
    <row r="3" spans="1:13">
      <c r="A3" s="490" t="s">
        <v>289</v>
      </c>
      <c r="B3" s="490"/>
      <c r="C3" s="490"/>
      <c r="D3" s="490"/>
      <c r="E3" s="490"/>
      <c r="F3" s="490"/>
      <c r="G3" s="490"/>
      <c r="H3" s="490"/>
      <c r="I3" s="490"/>
      <c r="J3" s="490"/>
      <c r="K3" s="490"/>
      <c r="L3" s="490"/>
      <c r="M3" s="52"/>
    </row>
    <row r="4" spans="1:13">
      <c r="A4" s="183"/>
      <c r="B4" s="183"/>
      <c r="C4" s="183"/>
      <c r="D4" s="183"/>
      <c r="E4" s="183"/>
      <c r="F4" s="183"/>
      <c r="G4" s="183"/>
      <c r="H4" s="183"/>
      <c r="I4" s="183"/>
      <c r="J4" s="183"/>
      <c r="K4" s="183"/>
      <c r="L4" s="183"/>
      <c r="M4" s="52"/>
    </row>
    <row r="5" spans="1:13">
      <c r="A5" s="183"/>
      <c r="B5" s="184" t="s">
        <v>18</v>
      </c>
      <c r="C5" s="185" t="s">
        <v>46</v>
      </c>
      <c r="D5" s="185"/>
      <c r="E5" s="185"/>
      <c r="F5" s="185"/>
      <c r="G5" s="185"/>
      <c r="H5" s="185"/>
      <c r="I5" s="185"/>
      <c r="J5" s="186"/>
      <c r="K5" s="186"/>
      <c r="L5" s="186"/>
      <c r="M5" s="52"/>
    </row>
    <row r="6" spans="1:13">
      <c r="A6" s="183"/>
      <c r="B6" s="187" t="s">
        <v>45</v>
      </c>
      <c r="C6" s="188">
        <v>12</v>
      </c>
      <c r="D6" s="188">
        <v>24</v>
      </c>
      <c r="E6" s="188">
        <v>36</v>
      </c>
      <c r="F6" s="188">
        <v>48</v>
      </c>
      <c r="G6" s="188">
        <v>60</v>
      </c>
      <c r="H6" s="188">
        <v>72</v>
      </c>
      <c r="I6" s="188">
        <v>84</v>
      </c>
      <c r="J6" s="186"/>
      <c r="K6" s="186"/>
      <c r="L6" s="186"/>
      <c r="M6" s="52"/>
    </row>
    <row r="7" spans="1:13">
      <c r="A7" s="183"/>
      <c r="B7" s="189">
        <v>2018</v>
      </c>
      <c r="C7" s="190">
        <v>325</v>
      </c>
      <c r="D7" s="191">
        <v>1463</v>
      </c>
      <c r="E7" s="192" t="s">
        <v>47</v>
      </c>
      <c r="F7" s="191">
        <v>1932</v>
      </c>
      <c r="G7" s="191">
        <v>2029</v>
      </c>
      <c r="H7" s="191">
        <v>2070</v>
      </c>
      <c r="I7" s="191">
        <v>2080</v>
      </c>
      <c r="J7" s="186"/>
      <c r="K7" s="186"/>
      <c r="L7" s="186"/>
      <c r="M7" s="52"/>
    </row>
    <row r="8" spans="1:13">
      <c r="A8" s="183"/>
      <c r="B8" s="189">
        <v>2019</v>
      </c>
      <c r="C8" s="190">
        <v>138</v>
      </c>
      <c r="D8" s="190">
        <v>635</v>
      </c>
      <c r="E8" s="190">
        <v>794</v>
      </c>
      <c r="F8" s="190">
        <v>889</v>
      </c>
      <c r="G8" s="190">
        <v>900</v>
      </c>
      <c r="H8" s="190">
        <v>923</v>
      </c>
      <c r="I8" s="190"/>
      <c r="J8" s="186"/>
      <c r="K8" s="186"/>
      <c r="L8" s="186"/>
      <c r="M8" s="52"/>
    </row>
    <row r="9" spans="1:13">
      <c r="A9" s="183"/>
      <c r="B9" s="189">
        <v>2020</v>
      </c>
      <c r="C9" s="190">
        <v>94</v>
      </c>
      <c r="D9" s="190">
        <v>404</v>
      </c>
      <c r="E9" s="190">
        <v>517</v>
      </c>
      <c r="F9" s="190">
        <v>584</v>
      </c>
      <c r="G9" s="190">
        <v>592</v>
      </c>
      <c r="H9" s="190"/>
      <c r="I9" s="190"/>
      <c r="J9" s="186"/>
      <c r="K9" s="186"/>
      <c r="L9" s="186"/>
      <c r="M9" s="52"/>
    </row>
    <row r="10" spans="1:13">
      <c r="A10" s="183"/>
      <c r="B10" s="189">
        <v>2021</v>
      </c>
      <c r="C10" s="190">
        <v>243</v>
      </c>
      <c r="D10" s="191">
        <v>1166</v>
      </c>
      <c r="E10" s="191">
        <v>1469</v>
      </c>
      <c r="F10" s="191">
        <v>1601</v>
      </c>
      <c r="G10" s="190"/>
      <c r="H10" s="190"/>
      <c r="I10" s="190"/>
      <c r="J10" s="186"/>
      <c r="K10" s="186"/>
      <c r="L10" s="186"/>
      <c r="M10" s="52"/>
    </row>
    <row r="11" spans="1:13">
      <c r="A11" s="183"/>
      <c r="B11" s="189">
        <v>2022</v>
      </c>
      <c r="C11" s="190">
        <v>561</v>
      </c>
      <c r="D11" s="191">
        <v>2300</v>
      </c>
      <c r="E11" s="191">
        <v>2852</v>
      </c>
      <c r="F11" s="190"/>
      <c r="G11" s="190"/>
      <c r="H11" s="190"/>
      <c r="I11" s="190"/>
      <c r="J11" s="186"/>
      <c r="K11" s="186"/>
      <c r="L11" s="186"/>
      <c r="M11" s="52"/>
    </row>
    <row r="12" spans="1:13">
      <c r="A12" s="183"/>
      <c r="B12" s="189">
        <v>2023</v>
      </c>
      <c r="C12" s="190">
        <v>297</v>
      </c>
      <c r="D12" s="191">
        <v>1247</v>
      </c>
      <c r="E12" s="190"/>
      <c r="F12" s="190"/>
      <c r="G12" s="190"/>
      <c r="H12" s="190"/>
      <c r="I12" s="190"/>
      <c r="J12" s="186"/>
      <c r="K12" s="186"/>
      <c r="L12" s="186"/>
      <c r="M12" s="52"/>
    </row>
    <row r="13" spans="1:13">
      <c r="A13" s="183"/>
      <c r="B13" s="189">
        <v>2024</v>
      </c>
      <c r="C13" s="190">
        <v>469</v>
      </c>
      <c r="D13" s="190"/>
      <c r="E13" s="190"/>
      <c r="F13" s="190"/>
      <c r="G13" s="190"/>
      <c r="H13" s="190"/>
      <c r="I13" s="190"/>
      <c r="J13" s="186"/>
      <c r="K13" s="186"/>
      <c r="L13" s="186"/>
      <c r="M13" s="52"/>
    </row>
    <row r="14" spans="1:13">
      <c r="A14" s="183"/>
      <c r="B14" s="186"/>
      <c r="C14" s="186"/>
      <c r="D14" s="186"/>
      <c r="E14" s="186"/>
      <c r="F14" s="186"/>
      <c r="G14" s="186"/>
      <c r="H14" s="186"/>
      <c r="I14" s="186"/>
      <c r="J14" s="186"/>
      <c r="K14" s="186"/>
      <c r="L14" s="186"/>
      <c r="M14" s="52"/>
    </row>
    <row r="15" spans="1:13">
      <c r="A15" s="183"/>
      <c r="B15" s="82" t="s">
        <v>48</v>
      </c>
      <c r="C15" s="186"/>
      <c r="D15" s="186"/>
      <c r="E15" s="186"/>
      <c r="F15" s="186"/>
      <c r="G15" s="186"/>
      <c r="H15" s="186"/>
      <c r="I15" s="186"/>
      <c r="J15" s="186"/>
      <c r="K15" s="186"/>
      <c r="L15" s="186"/>
      <c r="M15" s="52"/>
    </row>
    <row r="16" spans="1:13" ht="16.2">
      <c r="A16" s="183"/>
      <c r="B16" s="36"/>
      <c r="C16" s="36"/>
      <c r="D16" s="36"/>
      <c r="E16" s="36"/>
      <c r="F16" s="36"/>
      <c r="G16" s="36"/>
      <c r="H16" s="92"/>
      <c r="I16" s="92"/>
      <c r="J16" s="193"/>
      <c r="K16" s="193"/>
      <c r="L16" s="193"/>
      <c r="M16" s="52"/>
    </row>
    <row r="17" spans="1:13">
      <c r="A17" s="181" t="s">
        <v>2</v>
      </c>
      <c r="B17" s="5" t="s">
        <v>405</v>
      </c>
      <c r="C17" s="36"/>
      <c r="D17" s="36"/>
      <c r="E17" s="36"/>
      <c r="F17" s="36"/>
      <c r="G17" s="36"/>
      <c r="H17" s="36"/>
      <c r="I17" s="36"/>
      <c r="J17" s="36"/>
      <c r="K17" s="36"/>
      <c r="L17" s="329" t="s">
        <v>406</v>
      </c>
      <c r="M17" s="330">
        <v>500000</v>
      </c>
    </row>
    <row r="18" spans="1:13" ht="16.2">
      <c r="A18" s="10"/>
      <c r="B18" s="92" t="s">
        <v>0</v>
      </c>
      <c r="C18" s="10"/>
      <c r="D18" s="11"/>
      <c r="E18" s="11"/>
      <c r="F18" s="5"/>
      <c r="G18" s="5"/>
      <c r="H18" s="5"/>
      <c r="I18" s="5"/>
      <c r="J18" s="5"/>
      <c r="K18" s="5"/>
      <c r="L18" s="5"/>
      <c r="M18" s="52"/>
    </row>
    <row r="19" spans="1:13">
      <c r="A19" s="51"/>
      <c r="B19" s="51"/>
      <c r="C19" s="51"/>
      <c r="D19" s="51"/>
      <c r="E19" s="51"/>
      <c r="F19" s="51"/>
      <c r="G19" s="51"/>
      <c r="H19" s="51"/>
      <c r="I19" s="51"/>
      <c r="J19" s="51"/>
      <c r="K19" s="51"/>
      <c r="L19" s="51"/>
      <c r="M19" s="51"/>
    </row>
    <row r="20" spans="1:13">
      <c r="B20" s="4"/>
      <c r="C20" s="4" t="s">
        <v>151</v>
      </c>
      <c r="D20" s="4"/>
      <c r="E20" s="4"/>
      <c r="F20" s="4"/>
      <c r="G20" s="4"/>
      <c r="H20" s="4"/>
      <c r="I20" s="4"/>
      <c r="J20" s="51"/>
      <c r="K20" s="51"/>
      <c r="L20" s="51"/>
      <c r="M20" s="51"/>
    </row>
    <row r="21" spans="1:13" ht="31.2">
      <c r="B21" s="64" t="s">
        <v>155</v>
      </c>
      <c r="C21" s="72" t="s">
        <v>36</v>
      </c>
      <c r="D21" s="72" t="s">
        <v>37</v>
      </c>
      <c r="E21" s="72" t="s">
        <v>38</v>
      </c>
      <c r="F21" s="72" t="s">
        <v>49</v>
      </c>
      <c r="G21" s="72" t="s">
        <v>50</v>
      </c>
      <c r="H21" s="72" t="s">
        <v>152</v>
      </c>
      <c r="I21" s="68"/>
      <c r="J21" s="51"/>
      <c r="K21" s="51"/>
      <c r="L21" s="51"/>
      <c r="M21" s="51"/>
    </row>
    <row r="22" spans="1:13">
      <c r="B22" s="69" t="s">
        <v>40</v>
      </c>
      <c r="C22" s="73">
        <f>SUM(D7:D12)/SUM(C7:C12)</f>
        <v>4.351628468033776</v>
      </c>
      <c r="D22" s="73">
        <f>SUM(E8:E11)/SUM(D8:D11)</f>
        <v>1.2501664816870144</v>
      </c>
      <c r="E22" s="73">
        <f>SUM(F8:F10)/SUM(E8:E10)</f>
        <v>1.1057553956834532</v>
      </c>
      <c r="F22" s="73">
        <f>SUM(G7:G9)/SUM(F7:F9)</f>
        <v>1.0340675477239354</v>
      </c>
      <c r="G22" s="73">
        <f>SUM(H7:H8)/SUM(G7:G8)</f>
        <v>1.0218504609081598</v>
      </c>
      <c r="H22" s="73">
        <f>SUM(I7)/SUM(H7)</f>
        <v>1.0048309178743962</v>
      </c>
      <c r="I22" t="s">
        <v>403</v>
      </c>
      <c r="J22" s="51"/>
      <c r="K22" s="51"/>
      <c r="L22" s="51"/>
      <c r="M22" s="51"/>
    </row>
    <row r="23" spans="1:13">
      <c r="B23" s="69" t="s">
        <v>153</v>
      </c>
      <c r="C23" s="74">
        <f>C22*D23</f>
        <v>6.3871625778844194</v>
      </c>
      <c r="D23" s="74">
        <f>D22*E23</f>
        <v>1.4677637635665095</v>
      </c>
      <c r="E23" s="74">
        <f>E22*F23</f>
        <v>1.1740546439749868</v>
      </c>
      <c r="F23" s="74">
        <f>F22*G23</f>
        <v>1.0617670495284528</v>
      </c>
      <c r="G23" s="74">
        <f>G22*H23</f>
        <v>1.0267869365647209</v>
      </c>
      <c r="H23" s="74">
        <f>H22</f>
        <v>1.0048309178743962</v>
      </c>
      <c r="J23" s="51"/>
      <c r="K23" s="51"/>
      <c r="L23" s="51"/>
      <c r="M23" s="51"/>
    </row>
    <row r="24" spans="1:13">
      <c r="B24" s="69" t="s">
        <v>27</v>
      </c>
      <c r="C24" s="75">
        <f>C13</f>
        <v>469</v>
      </c>
      <c r="D24" s="75">
        <f>D12</f>
        <v>1247</v>
      </c>
      <c r="E24" s="75">
        <f>E11</f>
        <v>2852</v>
      </c>
      <c r="F24" s="75">
        <f>F10</f>
        <v>1601</v>
      </c>
      <c r="G24" s="75">
        <f>G9</f>
        <v>592</v>
      </c>
      <c r="H24" s="75">
        <f>H8</f>
        <v>923</v>
      </c>
      <c r="I24" s="4"/>
      <c r="J24" s="51"/>
      <c r="K24" s="51"/>
      <c r="L24" s="51"/>
      <c r="M24" s="51"/>
    </row>
    <row r="25" spans="1:13">
      <c r="B25" s="69" t="s">
        <v>28</v>
      </c>
      <c r="C25" s="75">
        <f>C24*C23</f>
        <v>2995.5792490277927</v>
      </c>
      <c r="D25" s="75">
        <f t="shared" ref="D25:H25" si="0">D24*D23</f>
        <v>1830.3014131674374</v>
      </c>
      <c r="E25" s="75">
        <f t="shared" si="0"/>
        <v>3348.4038446166624</v>
      </c>
      <c r="F25" s="75">
        <f t="shared" si="0"/>
        <v>1699.8890462950528</v>
      </c>
      <c r="G25" s="75">
        <f t="shared" si="0"/>
        <v>607.8578664463148</v>
      </c>
      <c r="H25" s="75">
        <f t="shared" si="0"/>
        <v>927.4589371980677</v>
      </c>
      <c r="I25" s="4"/>
      <c r="J25" s="51"/>
      <c r="K25" s="51"/>
      <c r="L25" s="51"/>
      <c r="M25" s="51"/>
    </row>
    <row r="26" spans="1:13">
      <c r="B26" s="69" t="s">
        <v>29</v>
      </c>
      <c r="C26" s="75">
        <f>C25-C24</f>
        <v>2526.5792490277927</v>
      </c>
      <c r="D26" s="75">
        <f t="shared" ref="D26:H26" si="1">D25-D24</f>
        <v>583.30141316743743</v>
      </c>
      <c r="E26" s="75">
        <f t="shared" si="1"/>
        <v>496.40384461666235</v>
      </c>
      <c r="F26" s="75">
        <f t="shared" si="1"/>
        <v>98.889046295052822</v>
      </c>
      <c r="G26" s="75">
        <f t="shared" si="1"/>
        <v>15.857866446314802</v>
      </c>
      <c r="H26" s="75">
        <f t="shared" si="1"/>
        <v>4.4589371980677015</v>
      </c>
      <c r="I26" s="95">
        <f>SUM(C26:H26)</f>
        <v>3725.4903567513279</v>
      </c>
      <c r="J26" s="4" t="s">
        <v>154</v>
      </c>
      <c r="K26" s="51"/>
      <c r="L26" s="51"/>
      <c r="M26" s="51"/>
    </row>
    <row r="27" spans="1:13">
      <c r="A27" s="4"/>
      <c r="B27" s="66"/>
      <c r="C27" s="66"/>
      <c r="D27" s="66"/>
      <c r="E27" s="66"/>
      <c r="F27" s="66"/>
      <c r="G27" s="66"/>
      <c r="H27" s="71"/>
      <c r="I27" s="51"/>
      <c r="J27" s="51"/>
      <c r="K27" s="51"/>
      <c r="L27" s="51"/>
      <c r="M27" s="51"/>
    </row>
    <row r="28" spans="1:13">
      <c r="A28" s="82" t="s">
        <v>156</v>
      </c>
      <c r="B28" s="86"/>
      <c r="C28" s="86"/>
      <c r="D28" s="86"/>
      <c r="E28" s="86"/>
      <c r="F28" s="86"/>
      <c r="G28" s="86"/>
      <c r="H28" s="86"/>
      <c r="I28" s="5"/>
      <c r="J28" s="5"/>
      <c r="K28" s="5"/>
      <c r="L28" s="5"/>
      <c r="M28" s="3"/>
    </row>
    <row r="29" spans="1:13">
      <c r="A29" s="82"/>
      <c r="B29" s="86"/>
      <c r="C29" s="86"/>
      <c r="D29" s="86"/>
      <c r="E29" s="86"/>
      <c r="F29" s="86"/>
      <c r="G29" s="86"/>
      <c r="H29" s="86"/>
      <c r="I29" s="5"/>
      <c r="J29" s="5"/>
      <c r="K29" s="5"/>
      <c r="L29" s="5"/>
      <c r="M29" s="3"/>
    </row>
    <row r="30" spans="1:13">
      <c r="A30" s="82"/>
      <c r="B30" s="86"/>
      <c r="C30" s="171" t="s">
        <v>36</v>
      </c>
      <c r="D30" s="172" t="s">
        <v>37</v>
      </c>
      <c r="E30" s="173" t="s">
        <v>38</v>
      </c>
      <c r="F30" s="173" t="s">
        <v>49</v>
      </c>
      <c r="G30" s="173" t="s">
        <v>50</v>
      </c>
      <c r="H30" s="173" t="s">
        <v>152</v>
      </c>
      <c r="I30" s="173" t="s">
        <v>157</v>
      </c>
      <c r="J30" s="5"/>
      <c r="K30" s="5"/>
      <c r="L30" s="5"/>
      <c r="M30" s="3"/>
    </row>
    <row r="31" spans="1:13" ht="31.95" customHeight="1">
      <c r="A31" s="174" t="s">
        <v>158</v>
      </c>
      <c r="B31" s="175"/>
      <c r="C31" s="87">
        <v>1.35</v>
      </c>
      <c r="D31" s="87">
        <v>1.1299999999999999</v>
      </c>
      <c r="E31" s="87">
        <v>1.05</v>
      </c>
      <c r="F31" s="87">
        <v>1.02</v>
      </c>
      <c r="G31" s="87">
        <v>1.01</v>
      </c>
      <c r="H31" s="87">
        <v>1.002</v>
      </c>
      <c r="I31" s="87">
        <v>1</v>
      </c>
      <c r="J31" s="5"/>
      <c r="K31" s="5"/>
      <c r="L31" s="5"/>
      <c r="M31" s="3"/>
    </row>
    <row r="32" spans="1:13" ht="34.049999999999997" customHeight="1">
      <c r="A32" s="174" t="s">
        <v>159</v>
      </c>
      <c r="B32" s="175"/>
      <c r="C32" s="88">
        <v>0.83199999999999996</v>
      </c>
      <c r="D32" s="88">
        <v>0.69399999999999995</v>
      </c>
      <c r="E32" s="88">
        <v>0.65</v>
      </c>
      <c r="F32" s="88">
        <v>0.63300000000000001</v>
      </c>
      <c r="G32" s="88">
        <v>0.627</v>
      </c>
      <c r="H32" s="88">
        <v>0.623</v>
      </c>
      <c r="I32" s="88">
        <v>0.62</v>
      </c>
      <c r="J32" s="5"/>
      <c r="K32" s="5"/>
      <c r="L32" s="5"/>
      <c r="M32" s="3"/>
    </row>
    <row r="33" spans="1:13">
      <c r="A33" s="89"/>
      <c r="B33" s="85"/>
      <c r="C33" s="85"/>
      <c r="D33" s="85"/>
      <c r="E33" s="85"/>
      <c r="F33" s="85"/>
      <c r="G33" s="85"/>
      <c r="H33" s="85"/>
      <c r="I33" s="5"/>
      <c r="J33" s="5"/>
      <c r="K33" s="5"/>
      <c r="L33" s="5"/>
      <c r="M33" s="3"/>
    </row>
    <row r="34" spans="1:13">
      <c r="A34" s="170" t="s">
        <v>165</v>
      </c>
      <c r="B34" s="36" t="s">
        <v>404</v>
      </c>
      <c r="C34" s="90"/>
      <c r="D34" s="90"/>
      <c r="E34" s="90"/>
      <c r="F34" s="36"/>
      <c r="G34" s="91"/>
      <c r="H34" s="36"/>
      <c r="I34" s="5"/>
      <c r="J34" s="5"/>
      <c r="K34" s="5"/>
      <c r="L34" s="329" t="s">
        <v>406</v>
      </c>
      <c r="M34" s="330">
        <v>500000</v>
      </c>
    </row>
    <row r="35" spans="1:13" ht="16.2">
      <c r="A35" s="92"/>
      <c r="B35" s="92" t="s">
        <v>0</v>
      </c>
      <c r="C35" s="90"/>
      <c r="D35" s="90"/>
      <c r="E35" s="90"/>
      <c r="F35" s="36"/>
      <c r="G35" s="91"/>
      <c r="H35" s="36"/>
      <c r="I35" s="5"/>
      <c r="J35" s="5"/>
      <c r="K35" s="5"/>
      <c r="L35" s="5"/>
      <c r="M35" s="3"/>
    </row>
    <row r="36" spans="1:13">
      <c r="A36" s="4"/>
      <c r="B36" s="4"/>
      <c r="C36" s="78"/>
      <c r="D36" s="78"/>
      <c r="E36" s="78"/>
      <c r="F36" s="4"/>
      <c r="G36" s="79"/>
      <c r="H36" s="4"/>
      <c r="I36" s="4"/>
      <c r="J36" s="4"/>
      <c r="K36" s="4"/>
      <c r="L36" s="4"/>
      <c r="M36" s="4"/>
    </row>
    <row r="37" spans="1:13">
      <c r="B37" s="72" t="s">
        <v>153</v>
      </c>
      <c r="C37" s="72" t="s">
        <v>36</v>
      </c>
      <c r="D37" s="72" t="s">
        <v>37</v>
      </c>
      <c r="E37" s="72" t="s">
        <v>38</v>
      </c>
      <c r="F37" s="72" t="s">
        <v>49</v>
      </c>
      <c r="G37" s="72" t="s">
        <v>50</v>
      </c>
      <c r="H37" s="72" t="s">
        <v>152</v>
      </c>
      <c r="I37" s="4"/>
      <c r="J37" s="4"/>
      <c r="K37" s="4"/>
      <c r="L37" s="4"/>
      <c r="M37" s="4"/>
    </row>
    <row r="38" spans="1:13">
      <c r="B38" s="69" t="s">
        <v>160</v>
      </c>
      <c r="C38" s="73">
        <f>PRODUCT(C31:$I31)</f>
        <v>1.6534489022100001</v>
      </c>
      <c r="D38" s="73">
        <f>PRODUCT(D31:$I31)</f>
        <v>1.2247769646</v>
      </c>
      <c r="E38" s="73">
        <f>PRODUCT(E31:$I31)</f>
        <v>1.0838734200000002</v>
      </c>
      <c r="F38" s="73">
        <f>PRODUCT(F31:$I31)</f>
        <v>1.0322604</v>
      </c>
      <c r="G38" s="73">
        <f>PRODUCT(G31:$I31)</f>
        <v>1.0120199999999999</v>
      </c>
      <c r="H38" s="73">
        <f>PRODUCT(H31:$I31)</f>
        <v>1.002</v>
      </c>
      <c r="I38" s="4"/>
      <c r="J38" s="4"/>
      <c r="K38" s="4"/>
      <c r="L38" s="4"/>
      <c r="M38" s="4"/>
    </row>
    <row r="39" spans="1:13">
      <c r="B39" s="69" t="s">
        <v>161</v>
      </c>
      <c r="C39" s="74">
        <f t="shared" ref="C39:H39" si="2">C38*(1-$I$32)/(1-C32)</f>
        <v>3.7399439454749994</v>
      </c>
      <c r="D39" s="74">
        <f t="shared" si="2"/>
        <v>1.5209648579999997</v>
      </c>
      <c r="E39" s="74">
        <f t="shared" si="2"/>
        <v>1.1767768560000003</v>
      </c>
      <c r="F39" s="74">
        <f t="shared" si="2"/>
        <v>1.0688254822888283</v>
      </c>
      <c r="G39" s="74">
        <f t="shared" si="2"/>
        <v>1.0310123324396783</v>
      </c>
      <c r="H39" s="74">
        <f t="shared" si="2"/>
        <v>1.0099734748010609</v>
      </c>
      <c r="J39" s="4"/>
      <c r="K39" s="4"/>
      <c r="L39" s="4"/>
    </row>
    <row r="40" spans="1:13">
      <c r="B40" s="69" t="s">
        <v>29</v>
      </c>
      <c r="C40" s="70">
        <f>C24*(C39-1)</f>
        <v>1285.0337104277746</v>
      </c>
      <c r="D40" s="70">
        <f t="shared" ref="D40:H40" si="3">D24*(D39-1)</f>
        <v>649.64317792599957</v>
      </c>
      <c r="E40" s="70">
        <f t="shared" si="3"/>
        <v>504.16759331200075</v>
      </c>
      <c r="F40" s="70">
        <f t="shared" si="3"/>
        <v>110.18959714441418</v>
      </c>
      <c r="G40" s="70">
        <f t="shared" si="3"/>
        <v>18.359300804289536</v>
      </c>
      <c r="H40" s="70">
        <f t="shared" si="3"/>
        <v>9.2055172413792317</v>
      </c>
      <c r="I40" s="95">
        <f>SUM(C40:H40)</f>
        <v>2576.5988968558581</v>
      </c>
      <c r="J40" s="4" t="s">
        <v>154</v>
      </c>
    </row>
    <row r="41" spans="1:13">
      <c r="A41" s="4"/>
      <c r="B41" s="76"/>
      <c r="C41" s="76"/>
      <c r="D41" s="76"/>
      <c r="E41" s="77"/>
      <c r="F41" s="77"/>
      <c r="G41" s="77"/>
      <c r="H41" s="4"/>
    </row>
    <row r="42" spans="1:13">
      <c r="A42" s="4"/>
      <c r="B42" s="68"/>
      <c r="C42" s="68"/>
      <c r="D42" s="68"/>
      <c r="E42" s="4"/>
      <c r="F42" s="4"/>
      <c r="G42" s="4"/>
      <c r="H42" s="4"/>
    </row>
    <row r="43" spans="1:13">
      <c r="A43" s="170" t="s">
        <v>166</v>
      </c>
      <c r="B43" s="30" t="s">
        <v>407</v>
      </c>
      <c r="C43" s="36"/>
      <c r="D43" s="36"/>
      <c r="E43" s="36"/>
      <c r="F43" s="36"/>
      <c r="G43" s="36"/>
      <c r="H43" s="36"/>
      <c r="I43" s="3"/>
      <c r="J43" s="3"/>
      <c r="K43" s="3"/>
      <c r="L43" s="3"/>
      <c r="M43" s="3"/>
    </row>
    <row r="44" spans="1:13" ht="16.2">
      <c r="A44" s="92"/>
      <c r="B44" s="92" t="s">
        <v>0</v>
      </c>
      <c r="C44" s="36"/>
      <c r="D44" s="36"/>
      <c r="E44" s="36"/>
      <c r="F44" s="36"/>
      <c r="G44" s="36"/>
      <c r="H44" s="36"/>
      <c r="I44" s="3"/>
      <c r="J44" s="3"/>
      <c r="K44" s="3"/>
      <c r="L44" s="3"/>
      <c r="M44" s="3"/>
    </row>
    <row r="45" spans="1:13" ht="16.2">
      <c r="A45" s="67"/>
      <c r="B45" s="4"/>
      <c r="C45" s="4"/>
      <c r="D45" s="4"/>
      <c r="E45" s="4"/>
      <c r="F45" s="4"/>
      <c r="G45" s="4"/>
      <c r="H45" s="4"/>
    </row>
    <row r="46" spans="1:13">
      <c r="B46" s="80" t="s">
        <v>408</v>
      </c>
      <c r="C46" s="4"/>
      <c r="D46" s="4"/>
      <c r="E46" s="4"/>
      <c r="F46" s="4"/>
      <c r="G46" s="4"/>
      <c r="H46" s="4"/>
    </row>
    <row r="47" spans="1:13">
      <c r="B47" s="80" t="s">
        <v>409</v>
      </c>
      <c r="C47" s="4"/>
      <c r="D47" s="4"/>
      <c r="E47" s="4"/>
      <c r="F47" s="4"/>
      <c r="G47" s="4"/>
      <c r="H47" s="4"/>
    </row>
    <row r="48" spans="1:13">
      <c r="A48" s="80"/>
      <c r="B48" s="4"/>
      <c r="C48" s="4"/>
      <c r="D48" s="4"/>
      <c r="E48" s="4"/>
      <c r="F48" s="4"/>
      <c r="G48" s="4"/>
      <c r="H48" s="4"/>
    </row>
    <row r="49" spans="1:14">
      <c r="A49" s="36" t="s">
        <v>51</v>
      </c>
      <c r="B49" s="36"/>
      <c r="C49" s="36"/>
      <c r="D49" s="36"/>
      <c r="E49" s="36"/>
      <c r="F49" s="36"/>
      <c r="G49" s="36"/>
      <c r="H49" s="177"/>
      <c r="I49" s="36"/>
      <c r="J49" s="36"/>
      <c r="K49" s="36"/>
      <c r="L49" s="36"/>
      <c r="M49" s="36"/>
      <c r="N49" s="36"/>
    </row>
    <row r="50" spans="1:14">
      <c r="A50" s="36"/>
      <c r="B50" s="36"/>
      <c r="C50" s="36"/>
      <c r="D50" s="36"/>
      <c r="E50" s="36"/>
      <c r="F50" s="36"/>
      <c r="G50" s="36"/>
      <c r="H50" s="177"/>
      <c r="I50" s="36"/>
      <c r="J50" s="36"/>
      <c r="K50" s="36"/>
      <c r="L50" s="36"/>
      <c r="M50" s="36"/>
      <c r="N50" s="36"/>
    </row>
    <row r="51" spans="1:14" ht="31.2">
      <c r="A51" s="36"/>
      <c r="B51" s="176" t="s">
        <v>287</v>
      </c>
      <c r="C51" s="491" t="s">
        <v>286</v>
      </c>
      <c r="D51" s="491"/>
      <c r="E51" s="94"/>
      <c r="F51" s="36"/>
      <c r="G51" s="36"/>
      <c r="H51" s="178"/>
      <c r="I51" s="36"/>
      <c r="J51" s="36"/>
      <c r="K51" s="36"/>
      <c r="L51" s="36"/>
      <c r="M51" s="36"/>
      <c r="N51" s="36"/>
    </row>
    <row r="52" spans="1:14">
      <c r="A52" s="36"/>
      <c r="B52" s="83">
        <v>2023</v>
      </c>
      <c r="C52" s="492">
        <v>4013</v>
      </c>
      <c r="D52" s="492"/>
      <c r="E52" s="94"/>
      <c r="F52" s="36"/>
      <c r="G52" s="36"/>
      <c r="H52" s="178"/>
      <c r="I52" s="36"/>
      <c r="J52" s="36"/>
      <c r="K52" s="331"/>
      <c r="L52" s="332" t="s">
        <v>282</v>
      </c>
      <c r="M52" s="333">
        <v>500000</v>
      </c>
      <c r="N52" s="36"/>
    </row>
    <row r="53" spans="1:14">
      <c r="A53" s="36"/>
      <c r="B53" s="83">
        <v>2024</v>
      </c>
      <c r="C53" s="492">
        <v>4657</v>
      </c>
      <c r="D53" s="492"/>
      <c r="E53" s="94"/>
      <c r="F53" s="36"/>
      <c r="G53" s="36"/>
      <c r="H53" s="178"/>
      <c r="I53" s="36"/>
      <c r="J53" s="36"/>
      <c r="K53" s="334"/>
      <c r="L53" s="335"/>
      <c r="M53" s="336"/>
      <c r="N53" s="36"/>
    </row>
    <row r="54" spans="1:14">
      <c r="A54" s="36"/>
      <c r="B54" s="96"/>
      <c r="C54" s="97"/>
      <c r="D54" s="36"/>
      <c r="E54" s="94"/>
      <c r="F54" s="36"/>
      <c r="G54" s="36"/>
      <c r="H54" s="178"/>
      <c r="I54" s="36"/>
      <c r="J54" s="36"/>
      <c r="K54" s="331"/>
      <c r="L54" s="332" t="s">
        <v>283</v>
      </c>
      <c r="M54" s="337">
        <v>1.46</v>
      </c>
      <c r="N54" s="36"/>
    </row>
    <row r="55" spans="1:14">
      <c r="A55" s="179" t="s">
        <v>284</v>
      </c>
      <c r="B55" s="36"/>
      <c r="C55" s="97"/>
      <c r="D55" s="36"/>
      <c r="E55" s="94"/>
      <c r="F55" s="36"/>
      <c r="G55" s="36"/>
      <c r="H55" s="178"/>
      <c r="I55" s="36"/>
      <c r="J55" s="36"/>
      <c r="K55" s="338" t="s">
        <v>410</v>
      </c>
      <c r="L55" s="339">
        <v>45292</v>
      </c>
      <c r="M55" s="340" t="s">
        <v>411</v>
      </c>
      <c r="N55" s="36"/>
    </row>
    <row r="56" spans="1:14">
      <c r="A56" s="179" t="s">
        <v>217</v>
      </c>
      <c r="B56" s="36"/>
      <c r="C56" s="97"/>
      <c r="D56" s="36"/>
      <c r="E56" s="94"/>
      <c r="F56" s="36"/>
      <c r="G56" s="36"/>
      <c r="H56" s="178"/>
      <c r="I56" s="36"/>
      <c r="J56" s="180"/>
      <c r="K56" s="331"/>
      <c r="L56" s="332" t="s">
        <v>412</v>
      </c>
      <c r="M56" s="341">
        <v>0.05</v>
      </c>
      <c r="N56" s="36"/>
    </row>
    <row r="57" spans="1:14">
      <c r="A57" s="179" t="s">
        <v>218</v>
      </c>
      <c r="B57" s="36"/>
      <c r="C57" s="97"/>
      <c r="D57" s="36"/>
      <c r="E57" s="94"/>
      <c r="F57" s="36"/>
      <c r="G57" s="36"/>
      <c r="H57" s="178"/>
      <c r="I57" s="36"/>
      <c r="J57" s="180"/>
      <c r="K57" s="36"/>
      <c r="L57" s="36"/>
      <c r="M57" s="36"/>
      <c r="N57" s="36"/>
    </row>
    <row r="58" spans="1:14">
      <c r="A58" s="36"/>
      <c r="B58" s="36"/>
      <c r="C58" s="36"/>
      <c r="D58" s="36"/>
      <c r="E58" s="94"/>
      <c r="F58" s="36"/>
      <c r="G58" s="36"/>
      <c r="H58" s="178"/>
      <c r="I58" s="36"/>
      <c r="J58" s="36"/>
      <c r="K58" s="36"/>
      <c r="L58" s="36"/>
      <c r="M58" s="36"/>
      <c r="N58" s="36"/>
    </row>
    <row r="59" spans="1:14">
      <c r="A59" s="181" t="s">
        <v>167</v>
      </c>
      <c r="B59" s="36" t="s">
        <v>288</v>
      </c>
      <c r="C59" s="36"/>
      <c r="D59" s="36"/>
      <c r="E59" s="36"/>
      <c r="F59" s="36"/>
      <c r="G59" s="36"/>
      <c r="H59" s="36"/>
      <c r="I59" s="36"/>
      <c r="J59" s="36"/>
      <c r="K59" s="36"/>
      <c r="L59" s="36"/>
      <c r="M59" s="36"/>
      <c r="N59" s="36"/>
    </row>
    <row r="60" spans="1:14" ht="16.2">
      <c r="A60" s="92"/>
      <c r="B60" s="92" t="s">
        <v>0</v>
      </c>
      <c r="C60" s="36"/>
      <c r="D60" s="36"/>
      <c r="E60" s="36"/>
      <c r="F60" s="36"/>
      <c r="G60" s="36"/>
      <c r="H60" s="36"/>
      <c r="I60" s="36"/>
      <c r="J60" s="36"/>
      <c r="K60" s="36"/>
      <c r="L60" s="36"/>
      <c r="M60" s="36"/>
      <c r="N60" s="36"/>
    </row>
    <row r="61" spans="1:14" ht="16.2">
      <c r="A61" s="67"/>
      <c r="B61" s="4"/>
      <c r="C61" s="4"/>
      <c r="D61" s="4"/>
      <c r="E61" s="4"/>
      <c r="F61" s="4"/>
      <c r="G61" s="4"/>
      <c r="H61" s="4"/>
    </row>
    <row r="62" spans="1:14">
      <c r="B62" s="4"/>
      <c r="C62" s="1" t="s">
        <v>34</v>
      </c>
      <c r="D62" s="4">
        <v>2023</v>
      </c>
      <c r="E62" s="4">
        <v>2024</v>
      </c>
      <c r="F62" s="4"/>
      <c r="G62" s="4"/>
      <c r="H62" s="4"/>
    </row>
    <row r="63" spans="1:14">
      <c r="B63" s="4" t="s">
        <v>39</v>
      </c>
      <c r="D63" s="4">
        <v>-0.5</v>
      </c>
      <c r="E63" s="4">
        <v>0.5</v>
      </c>
      <c r="F63" s="4"/>
      <c r="G63" s="4"/>
      <c r="H63" s="4"/>
    </row>
    <row r="64" spans="1:14">
      <c r="B64" s="4" t="s">
        <v>162</v>
      </c>
      <c r="D64" s="81">
        <f>$M$54*(1+$M$56)^D63</f>
        <v>1.4248141065048583</v>
      </c>
      <c r="E64" s="81">
        <f>$M$54*(1+$M$56)^E63</f>
        <v>1.4960548118301014</v>
      </c>
      <c r="F64" s="4"/>
      <c r="G64" s="4"/>
      <c r="H64" s="4"/>
    </row>
    <row r="65" spans="2:8">
      <c r="B65" s="4" t="s">
        <v>163</v>
      </c>
      <c r="D65" s="78">
        <f>C52*D64</f>
        <v>5717.7790094039965</v>
      </c>
      <c r="E65" s="78">
        <f>C53*E64</f>
        <v>6967.1272586927817</v>
      </c>
      <c r="F65" s="4"/>
      <c r="G65" s="4"/>
      <c r="H65" s="4"/>
    </row>
    <row r="66" spans="2:8">
      <c r="B66" s="4" t="s">
        <v>164</v>
      </c>
      <c r="D66" s="98">
        <f>D65-C52-D12</f>
        <v>457.7790094039965</v>
      </c>
      <c r="E66" s="98">
        <f>E65-C53-C13</f>
        <v>1841.1272586927817</v>
      </c>
      <c r="F66" s="4"/>
      <c r="G66" s="4"/>
      <c r="H66" s="4"/>
    </row>
  </sheetData>
  <mergeCells count="4">
    <mergeCell ref="A3:L3"/>
    <mergeCell ref="C51:D51"/>
    <mergeCell ref="C52:D52"/>
    <mergeCell ref="C53:D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Z62"/>
  <sheetViews>
    <sheetView zoomScale="110" zoomScaleNormal="110" workbookViewId="0">
      <selection activeCell="I21" sqref="I21"/>
    </sheetView>
  </sheetViews>
  <sheetFormatPr defaultColWidth="9.21875" defaultRowHeight="15.6"/>
  <cols>
    <col min="1" max="1" width="10.21875" style="6" customWidth="1"/>
    <col min="2" max="2" width="12.21875" style="6" customWidth="1"/>
    <col min="3" max="6" width="14.33203125" style="6" customWidth="1"/>
    <col min="7" max="7" width="17.109375" style="6" customWidth="1"/>
    <col min="8" max="8" width="14.33203125" style="6" customWidth="1"/>
    <col min="9" max="9" width="17.33203125" style="6" customWidth="1"/>
    <col min="10" max="12" width="14.33203125" style="6" customWidth="1"/>
    <col min="13" max="13" width="11.33203125" style="6" customWidth="1"/>
    <col min="14" max="14" width="12.21875" style="6" customWidth="1"/>
    <col min="15" max="15" width="16.77734375" style="6" customWidth="1"/>
    <col min="16" max="19" width="12.21875" style="6" customWidth="1"/>
    <col min="20" max="21" width="9.21875" style="6"/>
    <col min="22" max="23" width="11.5546875" style="6" bestFit="1" customWidth="1"/>
    <col min="24" max="16384" width="9.21875" style="6"/>
  </cols>
  <sheetData>
    <row r="1" spans="1:13" ht="18" customHeight="1">
      <c r="A1" s="12" t="s">
        <v>5</v>
      </c>
      <c r="B1" s="13"/>
      <c r="C1" s="10" t="s">
        <v>6</v>
      </c>
      <c r="D1" s="13"/>
      <c r="E1" s="13"/>
      <c r="F1" s="13"/>
      <c r="G1" s="13"/>
      <c r="H1" s="13"/>
      <c r="I1" s="13"/>
      <c r="J1" s="13"/>
      <c r="K1" s="13"/>
      <c r="L1" s="13"/>
      <c r="M1" s="13"/>
    </row>
    <row r="2" spans="1:13" ht="15.75" customHeight="1">
      <c r="A2" s="7"/>
      <c r="B2" s="5"/>
      <c r="C2" s="5"/>
      <c r="D2" s="5"/>
      <c r="E2" s="5"/>
      <c r="F2" s="5"/>
      <c r="G2" s="5"/>
      <c r="H2" s="10"/>
      <c r="I2" s="10"/>
      <c r="J2" s="11"/>
      <c r="K2" s="11"/>
      <c r="L2" s="11"/>
      <c r="M2" s="13"/>
    </row>
    <row r="3" spans="1:13" ht="43.95" customHeight="1">
      <c r="A3" s="483" t="s">
        <v>414</v>
      </c>
      <c r="B3" s="483"/>
      <c r="C3" s="483"/>
      <c r="D3" s="483"/>
      <c r="E3" s="483"/>
      <c r="F3" s="483"/>
      <c r="G3" s="483"/>
      <c r="H3" s="483"/>
      <c r="I3" s="483"/>
      <c r="J3" s="483"/>
      <c r="K3" s="483"/>
      <c r="L3" s="483"/>
      <c r="M3" s="14"/>
    </row>
    <row r="4" spans="1:13">
      <c r="A4" s="25"/>
      <c r="B4" s="502" t="s">
        <v>52</v>
      </c>
      <c r="C4" s="503"/>
      <c r="D4" s="503"/>
      <c r="E4" s="503"/>
      <c r="F4" s="504"/>
      <c r="G4" s="25"/>
      <c r="H4" s="25"/>
      <c r="I4" s="25"/>
      <c r="J4" s="25"/>
      <c r="K4" s="25"/>
      <c r="L4" s="25"/>
      <c r="M4" s="14"/>
    </row>
    <row r="5" spans="1:13">
      <c r="A5" s="25"/>
      <c r="B5" s="343" t="s">
        <v>53</v>
      </c>
      <c r="C5" s="344"/>
      <c r="D5" s="344" t="s">
        <v>54</v>
      </c>
      <c r="E5" s="345" t="s">
        <v>55</v>
      </c>
      <c r="F5" s="344" t="s">
        <v>56</v>
      </c>
      <c r="G5" s="25"/>
      <c r="H5" s="25"/>
      <c r="I5" s="25"/>
      <c r="J5" s="25"/>
      <c r="K5" s="25"/>
      <c r="L5" s="25"/>
      <c r="M5" s="14"/>
    </row>
    <row r="6" spans="1:13">
      <c r="A6" s="25"/>
      <c r="B6" s="346" t="s">
        <v>57</v>
      </c>
      <c r="C6" s="347"/>
      <c r="D6" s="348">
        <v>0.25</v>
      </c>
      <c r="E6" s="346"/>
      <c r="F6" s="346"/>
      <c r="G6" s="25"/>
      <c r="H6" s="25"/>
      <c r="I6" s="25"/>
      <c r="J6" s="25"/>
      <c r="K6" s="25"/>
      <c r="L6" s="25"/>
      <c r="M6" s="14"/>
    </row>
    <row r="7" spans="1:13">
      <c r="A7" s="25"/>
      <c r="B7" s="346" t="s">
        <v>58</v>
      </c>
      <c r="C7" s="347"/>
      <c r="D7" s="348">
        <v>0.45</v>
      </c>
      <c r="E7" s="346"/>
      <c r="F7" s="346"/>
      <c r="G7" s="25"/>
      <c r="H7" s="25"/>
      <c r="I7" s="25"/>
      <c r="J7" s="25"/>
      <c r="K7" s="25"/>
      <c r="L7" s="25"/>
      <c r="M7" s="14"/>
    </row>
    <row r="8" spans="1:13">
      <c r="A8" s="25"/>
      <c r="B8" s="349" t="s">
        <v>59</v>
      </c>
      <c r="C8" s="350"/>
      <c r="D8" s="348">
        <v>0.3</v>
      </c>
      <c r="E8" s="346"/>
      <c r="F8" s="346"/>
      <c r="G8" s="25"/>
      <c r="H8" s="25"/>
      <c r="I8" s="25"/>
      <c r="J8" s="25"/>
      <c r="K8" s="25"/>
      <c r="L8" s="25"/>
      <c r="M8" s="14"/>
    </row>
    <row r="9" spans="1:13">
      <c r="A9" s="25"/>
      <c r="B9" s="25"/>
      <c r="C9" s="25"/>
      <c r="D9" s="25"/>
      <c r="E9" s="25"/>
      <c r="F9" s="25"/>
      <c r="G9" s="25"/>
      <c r="H9" s="25"/>
      <c r="I9" s="25"/>
      <c r="J9" s="25"/>
      <c r="K9" s="25"/>
      <c r="L9" s="25"/>
      <c r="M9" s="14"/>
    </row>
    <row r="10" spans="1:13">
      <c r="A10" s="7" t="s">
        <v>60</v>
      </c>
      <c r="B10" s="25"/>
      <c r="C10" s="25"/>
      <c r="D10" s="25"/>
      <c r="E10" s="25"/>
      <c r="F10" s="25"/>
      <c r="G10" s="25"/>
      <c r="H10" s="25"/>
      <c r="I10" s="25"/>
      <c r="J10" s="25"/>
      <c r="K10" s="25"/>
      <c r="L10" s="25"/>
      <c r="M10" s="14"/>
    </row>
    <row r="11" spans="1:13">
      <c r="A11" s="25"/>
      <c r="B11" s="25"/>
      <c r="C11" s="25"/>
      <c r="D11" s="25"/>
      <c r="E11" s="25"/>
      <c r="F11" s="25"/>
      <c r="G11" s="25"/>
      <c r="H11" s="25"/>
      <c r="I11" s="25"/>
      <c r="J11" s="25"/>
      <c r="K11" s="25"/>
      <c r="L11" s="25"/>
      <c r="M11" s="14"/>
    </row>
    <row r="12" spans="1:13" ht="18.600000000000001" customHeight="1">
      <c r="A12" s="25"/>
      <c r="B12" s="351"/>
      <c r="C12" s="352" t="s">
        <v>61</v>
      </c>
      <c r="D12" s="342"/>
      <c r="E12" s="342"/>
      <c r="F12" s="342"/>
      <c r="G12" s="353"/>
      <c r="H12" s="353"/>
      <c r="I12" s="353"/>
      <c r="J12" s="353"/>
      <c r="K12" s="354"/>
      <c r="L12" s="25"/>
      <c r="M12" s="14"/>
    </row>
    <row r="13" spans="1:13" ht="18.600000000000001" customHeight="1">
      <c r="A13" s="25"/>
      <c r="B13" s="355" t="s">
        <v>62</v>
      </c>
      <c r="C13" s="356" t="s">
        <v>63</v>
      </c>
      <c r="D13" s="342"/>
      <c r="E13" s="342"/>
      <c r="F13" s="342"/>
      <c r="G13" s="342"/>
      <c r="H13" s="342"/>
      <c r="I13" s="342"/>
      <c r="J13" s="342"/>
      <c r="K13" s="354"/>
      <c r="L13" s="25"/>
      <c r="M13" s="14"/>
    </row>
    <row r="14" spans="1:13" ht="18.600000000000001" customHeight="1">
      <c r="A14" s="25"/>
      <c r="B14" s="355" t="s">
        <v>64</v>
      </c>
      <c r="C14" s="356" t="s">
        <v>65</v>
      </c>
      <c r="D14" s="342"/>
      <c r="E14" s="342"/>
      <c r="F14" s="342"/>
      <c r="G14" s="342"/>
      <c r="H14" s="342"/>
      <c r="I14" s="342"/>
      <c r="J14" s="342"/>
      <c r="K14" s="354"/>
      <c r="L14" s="25"/>
      <c r="M14" s="14"/>
    </row>
    <row r="15" spans="1:13" ht="18.600000000000001" customHeight="1">
      <c r="A15" s="25"/>
      <c r="B15" s="355" t="s">
        <v>66</v>
      </c>
      <c r="C15" s="356" t="s">
        <v>67</v>
      </c>
      <c r="D15" s="342"/>
      <c r="E15" s="342"/>
      <c r="F15" s="342"/>
      <c r="G15" s="342"/>
      <c r="H15" s="342"/>
      <c r="I15" s="342"/>
      <c r="J15" s="342"/>
      <c r="K15" s="354"/>
      <c r="L15" s="25"/>
      <c r="M15" s="14"/>
    </row>
    <row r="16" spans="1:13" ht="18.600000000000001" customHeight="1">
      <c r="A16" s="25"/>
      <c r="B16" s="355" t="s">
        <v>68</v>
      </c>
      <c r="C16" s="356" t="s">
        <v>69</v>
      </c>
      <c r="D16" s="342"/>
      <c r="E16" s="342"/>
      <c r="F16" s="342"/>
      <c r="G16" s="342"/>
      <c r="H16" s="342"/>
      <c r="I16" s="342"/>
      <c r="J16" s="342"/>
      <c r="K16" s="354"/>
      <c r="L16" s="25"/>
      <c r="M16" s="14"/>
    </row>
    <row r="17" spans="1:26" ht="18.600000000000001" customHeight="1">
      <c r="A17" s="25"/>
      <c r="B17" s="355" t="s">
        <v>70</v>
      </c>
      <c r="C17" s="356" t="s">
        <v>71</v>
      </c>
      <c r="D17" s="342"/>
      <c r="E17" s="342"/>
      <c r="F17" s="342"/>
      <c r="G17" s="342"/>
      <c r="H17" s="342"/>
      <c r="I17" s="342"/>
      <c r="J17" s="342"/>
      <c r="K17" s="354"/>
      <c r="L17" s="25"/>
      <c r="M17" s="14"/>
    </row>
    <row r="18" spans="1:26">
      <c r="A18" s="25"/>
      <c r="B18" s="25"/>
      <c r="C18" s="25"/>
      <c r="D18" s="25"/>
      <c r="E18" s="25"/>
      <c r="F18" s="25"/>
      <c r="G18" s="25"/>
      <c r="H18" s="25"/>
      <c r="I18" s="25"/>
      <c r="J18" s="25"/>
      <c r="K18" s="25"/>
      <c r="L18" s="25"/>
      <c r="M18" s="14"/>
    </row>
    <row r="19" spans="1:26" ht="15.6" customHeight="1">
      <c r="A19" s="170" t="s">
        <v>2</v>
      </c>
      <c r="B19" s="493" t="s">
        <v>413</v>
      </c>
      <c r="C19" s="493"/>
      <c r="D19" s="493"/>
      <c r="E19" s="493"/>
      <c r="F19" s="493"/>
      <c r="G19" s="493"/>
      <c r="H19" s="493"/>
      <c r="I19" s="493"/>
      <c r="J19" s="493"/>
      <c r="K19" s="493"/>
      <c r="L19" s="493"/>
      <c r="M19" s="13"/>
    </row>
    <row r="20" spans="1:26" ht="16.2">
      <c r="A20" s="10"/>
      <c r="B20" s="142" t="s">
        <v>290</v>
      </c>
      <c r="C20" s="142"/>
      <c r="D20" s="11"/>
      <c r="E20" s="11"/>
      <c r="F20" s="5"/>
      <c r="G20" s="5"/>
      <c r="H20" s="5"/>
      <c r="I20" s="5"/>
      <c r="J20" s="5"/>
      <c r="K20" s="5"/>
      <c r="L20" s="5"/>
      <c r="M20" s="5"/>
    </row>
    <row r="21" spans="1:26" s="1" customFormat="1">
      <c r="A21" s="17"/>
      <c r="B21" s="130"/>
      <c r="C21" s="130"/>
      <c r="D21" s="130"/>
      <c r="E21" s="130"/>
      <c r="F21" s="130"/>
      <c r="G21" s="130"/>
      <c r="H21" s="130"/>
      <c r="I21" s="130"/>
      <c r="J21" s="130"/>
      <c r="K21" s="130"/>
      <c r="X21" s="6"/>
      <c r="Y21" s="6"/>
      <c r="Z21" s="6"/>
    </row>
    <row r="22" spans="1:26">
      <c r="A22" s="17"/>
      <c r="B22" s="494" t="s">
        <v>53</v>
      </c>
      <c r="C22" s="494"/>
      <c r="D22" s="197" t="s">
        <v>55</v>
      </c>
      <c r="E22" s="496" t="s">
        <v>72</v>
      </c>
      <c r="F22" s="497"/>
      <c r="G22" s="497"/>
      <c r="H22" s="497"/>
      <c r="I22" s="497"/>
      <c r="J22" s="497"/>
      <c r="K22" s="497"/>
      <c r="L22" s="498"/>
      <c r="M22"/>
      <c r="N22" s="4"/>
      <c r="O22" s="4"/>
    </row>
    <row r="23" spans="1:26" ht="31.2" customHeight="1">
      <c r="A23" s="17"/>
      <c r="B23" s="495" t="s">
        <v>57</v>
      </c>
      <c r="C23" s="495"/>
      <c r="D23" s="198" t="s">
        <v>64</v>
      </c>
      <c r="E23" s="499" t="s">
        <v>384</v>
      </c>
      <c r="F23" s="500"/>
      <c r="G23" s="500"/>
      <c r="H23" s="500"/>
      <c r="I23" s="500"/>
      <c r="J23" s="500"/>
      <c r="K23" s="500"/>
      <c r="L23" s="501"/>
      <c r="M23"/>
      <c r="N23"/>
      <c r="O23" s="200" t="s">
        <v>53</v>
      </c>
      <c r="P23" s="201"/>
      <c r="Q23" s="202" t="s">
        <v>168</v>
      </c>
      <c r="R23" s="203" t="s">
        <v>72</v>
      </c>
      <c r="S23" s="204"/>
      <c r="T23" s="204"/>
      <c r="U23" s="204"/>
      <c r="V23" s="204"/>
      <c r="W23" s="204"/>
    </row>
    <row r="24" spans="1:26" ht="31.2" customHeight="1">
      <c r="A24" s="17"/>
      <c r="B24" s="495" t="s">
        <v>58</v>
      </c>
      <c r="C24" s="495"/>
      <c r="D24" s="198" t="s">
        <v>70</v>
      </c>
      <c r="E24" s="499" t="s">
        <v>385</v>
      </c>
      <c r="F24" s="500"/>
      <c r="G24" s="500"/>
      <c r="H24" s="500"/>
      <c r="I24" s="500"/>
      <c r="J24" s="500"/>
      <c r="K24" s="500"/>
      <c r="L24" s="501"/>
      <c r="M24"/>
      <c r="N24"/>
      <c r="O24" s="205" t="s">
        <v>57</v>
      </c>
      <c r="P24" s="206"/>
      <c r="Q24" s="207" t="s">
        <v>64</v>
      </c>
      <c r="R24" s="505" t="s">
        <v>169</v>
      </c>
      <c r="S24" s="506"/>
      <c r="T24" s="506"/>
      <c r="U24" s="506"/>
      <c r="V24" s="506"/>
      <c r="W24" s="507"/>
    </row>
    <row r="25" spans="1:26" ht="31.2" customHeight="1">
      <c r="A25" s="17"/>
      <c r="B25" s="495" t="s">
        <v>59</v>
      </c>
      <c r="C25" s="495"/>
      <c r="D25" s="198" t="s">
        <v>66</v>
      </c>
      <c r="E25" s="499" t="s">
        <v>383</v>
      </c>
      <c r="F25" s="500"/>
      <c r="G25" s="500"/>
      <c r="H25" s="500"/>
      <c r="I25" s="500"/>
      <c r="J25" s="500"/>
      <c r="K25" s="500"/>
      <c r="L25" s="501"/>
      <c r="M25"/>
      <c r="N25"/>
      <c r="O25" s="208" t="s">
        <v>58</v>
      </c>
      <c r="P25" s="209"/>
      <c r="Q25" s="207" t="s">
        <v>70</v>
      </c>
      <c r="R25" s="505" t="s">
        <v>171</v>
      </c>
      <c r="S25" s="506"/>
      <c r="T25" s="506"/>
      <c r="U25" s="506"/>
      <c r="V25" s="506"/>
      <c r="W25" s="507"/>
    </row>
    <row r="26" spans="1:26" ht="15.6" customHeight="1">
      <c r="A26" s="17"/>
      <c r="B26" s="17"/>
      <c r="C26" s="17"/>
      <c r="D26" s="17"/>
      <c r="E26" s="17"/>
      <c r="F26" s="17"/>
      <c r="G26" s="17"/>
      <c r="H26" s="17"/>
      <c r="I26" s="17"/>
      <c r="J26" s="17"/>
      <c r="K26" s="17"/>
      <c r="L26" s="1"/>
      <c r="M26" s="1"/>
      <c r="N26"/>
      <c r="O26" s="208" t="s">
        <v>59</v>
      </c>
      <c r="P26" s="209"/>
      <c r="Q26" s="207" t="s">
        <v>68</v>
      </c>
      <c r="R26" s="505" t="s">
        <v>170</v>
      </c>
      <c r="S26" s="506"/>
      <c r="T26" s="506"/>
      <c r="U26" s="506"/>
      <c r="V26" s="506"/>
      <c r="W26" s="507"/>
    </row>
    <row r="27" spans="1:26" ht="15.6" customHeight="1">
      <c r="A27" s="82" t="s">
        <v>73</v>
      </c>
      <c r="B27" s="82"/>
      <c r="C27" s="193"/>
      <c r="D27" s="193"/>
      <c r="E27" s="193"/>
      <c r="F27" s="193"/>
      <c r="G27" s="193"/>
      <c r="H27" s="193"/>
      <c r="I27" s="193"/>
      <c r="J27" s="193"/>
      <c r="K27" s="193"/>
      <c r="L27" s="3"/>
      <c r="M27" s="3"/>
      <c r="N27"/>
      <c r="O27" s="99"/>
      <c r="P27" s="99"/>
      <c r="Q27" s="99"/>
      <c r="R27" s="99"/>
      <c r="S27" s="99"/>
      <c r="T27" s="99"/>
      <c r="U27" s="99"/>
      <c r="V27" s="99"/>
      <c r="W27" s="99"/>
    </row>
    <row r="28" spans="1:26" ht="15.6" customHeight="1">
      <c r="A28" s="193"/>
      <c r="B28" s="82"/>
      <c r="C28" s="193"/>
      <c r="D28" s="193"/>
      <c r="E28" s="193"/>
      <c r="F28" s="193"/>
      <c r="G28" s="193"/>
      <c r="H28" s="193"/>
      <c r="I28" s="193"/>
      <c r="J28" s="193"/>
      <c r="K28" s="193"/>
      <c r="L28" s="3"/>
      <c r="M28" s="3"/>
      <c r="N28" s="4"/>
      <c r="O28" s="4"/>
    </row>
    <row r="29" spans="1:26">
      <c r="A29" s="181" t="s">
        <v>3</v>
      </c>
      <c r="B29" s="36" t="s">
        <v>299</v>
      </c>
      <c r="C29" s="36"/>
      <c r="D29" s="36"/>
      <c r="E29" s="219"/>
      <c r="F29" s="217"/>
      <c r="G29" s="219"/>
      <c r="H29" s="36"/>
      <c r="I29" s="36"/>
      <c r="J29" s="36"/>
      <c r="K29" s="36"/>
      <c r="L29" s="5"/>
      <c r="M29" s="13"/>
      <c r="N29" s="4"/>
      <c r="O29" s="4"/>
    </row>
    <row r="30" spans="1:26" ht="16.2">
      <c r="A30" s="92"/>
      <c r="B30" s="220" t="s">
        <v>290</v>
      </c>
      <c r="C30" s="220"/>
      <c r="D30" s="193"/>
      <c r="E30" s="193"/>
      <c r="F30" s="36"/>
      <c r="G30" s="36"/>
      <c r="H30" s="36"/>
      <c r="I30" s="36"/>
      <c r="J30" s="36"/>
      <c r="K30" s="36"/>
      <c r="L30" s="5"/>
      <c r="M30" s="13"/>
      <c r="N30" s="4"/>
      <c r="O30" s="4"/>
    </row>
    <row r="31" spans="1:26">
      <c r="A31" s="199"/>
      <c r="B31" s="199"/>
      <c r="C31" s="199"/>
      <c r="D31" s="199"/>
      <c r="E31" s="199"/>
      <c r="F31" s="199"/>
      <c r="G31" s="199"/>
      <c r="H31" s="199"/>
      <c r="I31" s="199"/>
      <c r="J31" s="199"/>
      <c r="K31" s="199"/>
      <c r="L31" s="199"/>
      <c r="M31" s="199"/>
      <c r="N31" s="4"/>
      <c r="O31" s="4"/>
    </row>
    <row r="32" spans="1:26">
      <c r="A32" s="199"/>
      <c r="B32" s="494" t="s">
        <v>53</v>
      </c>
      <c r="C32" s="494"/>
      <c r="D32" s="197" t="s">
        <v>55</v>
      </c>
      <c r="E32" s="197" t="s">
        <v>382</v>
      </c>
      <c r="F32" s="199"/>
      <c r="G32" s="287" t="s">
        <v>379</v>
      </c>
      <c r="H32" s="199"/>
      <c r="I32" s="199"/>
      <c r="J32" s="199"/>
      <c r="K32" s="199"/>
      <c r="N32" s="4"/>
      <c r="O32" s="4"/>
    </row>
    <row r="33" spans="1:18">
      <c r="A33" s="199"/>
      <c r="B33" s="495" t="s">
        <v>57</v>
      </c>
      <c r="C33" s="495"/>
      <c r="D33" s="285" t="str">
        <f>D23</f>
        <v>II</v>
      </c>
      <c r="E33" s="286">
        <v>4</v>
      </c>
      <c r="F33" s="199"/>
      <c r="G33" s="288" t="s">
        <v>380</v>
      </c>
      <c r="H33" s="199"/>
      <c r="I33" s="199"/>
      <c r="J33" s="199"/>
      <c r="K33" s="199"/>
      <c r="N33" s="4"/>
      <c r="O33" s="4"/>
    </row>
    <row r="34" spans="1:18">
      <c r="A34" s="199"/>
      <c r="B34" s="495" t="s">
        <v>58</v>
      </c>
      <c r="C34" s="495"/>
      <c r="D34" s="285" t="str">
        <f t="shared" ref="D34:D35" si="0">D24</f>
        <v>V</v>
      </c>
      <c r="E34" s="286">
        <v>4</v>
      </c>
      <c r="F34" s="199"/>
      <c r="G34" s="289" t="s">
        <v>381</v>
      </c>
      <c r="H34" s="199"/>
      <c r="I34" s="199"/>
      <c r="J34" s="199"/>
      <c r="K34" s="199"/>
      <c r="N34" s="4"/>
      <c r="O34"/>
      <c r="P34"/>
      <c r="Q34"/>
      <c r="R34"/>
    </row>
    <row r="35" spans="1:18">
      <c r="A35" s="199"/>
      <c r="B35" s="495" t="s">
        <v>59</v>
      </c>
      <c r="C35" s="495"/>
      <c r="D35" s="285" t="str">
        <f t="shared" si="0"/>
        <v>III</v>
      </c>
      <c r="E35" s="286">
        <v>2</v>
      </c>
      <c r="F35" s="199"/>
      <c r="G35" s="199"/>
      <c r="H35" s="199"/>
      <c r="I35" s="199"/>
      <c r="J35" s="199"/>
      <c r="K35" s="199"/>
      <c r="N35" s="4"/>
      <c r="O35"/>
      <c r="P35"/>
      <c r="Q35"/>
      <c r="R35"/>
    </row>
    <row r="36" spans="1:18">
      <c r="E36" s="210"/>
      <c r="N36" s="4"/>
      <c r="O36"/>
      <c r="P36"/>
      <c r="Q36"/>
      <c r="R36"/>
    </row>
    <row r="37" spans="1:18" ht="16.2">
      <c r="A37" s="36" t="s">
        <v>74</v>
      </c>
      <c r="B37" s="92"/>
      <c r="C37" s="92"/>
      <c r="D37" s="193"/>
      <c r="E37" s="193"/>
      <c r="F37" s="36"/>
      <c r="G37" s="36"/>
      <c r="H37" s="36"/>
      <c r="I37" s="36"/>
      <c r="J37" s="36"/>
      <c r="K37" s="36"/>
      <c r="L37" s="36"/>
      <c r="M37" s="33"/>
      <c r="N37" s="4"/>
      <c r="O37" s="4"/>
    </row>
    <row r="38" spans="1:18" ht="15.6" customHeight="1">
      <c r="A38" s="92"/>
      <c r="B38" s="92"/>
      <c r="C38" s="92"/>
      <c r="D38" s="193"/>
      <c r="E38" s="193"/>
      <c r="F38" s="36"/>
      <c r="G38" s="36"/>
      <c r="H38" s="36"/>
      <c r="I38" s="36"/>
      <c r="J38" s="36"/>
      <c r="K38" s="36"/>
      <c r="L38" s="36"/>
      <c r="M38" s="33"/>
    </row>
    <row r="39" spans="1:18" s="1" customFormat="1" ht="46.8">
      <c r="A39" s="92"/>
      <c r="B39" s="211" t="s">
        <v>75</v>
      </c>
      <c r="C39" s="211" t="s">
        <v>76</v>
      </c>
      <c r="D39" s="193"/>
      <c r="E39" s="193"/>
      <c r="F39" s="36"/>
      <c r="G39" s="36"/>
      <c r="H39" s="36"/>
      <c r="I39" s="36"/>
      <c r="J39" s="36"/>
      <c r="K39" s="36"/>
      <c r="L39" s="36"/>
      <c r="M39" s="33"/>
    </row>
    <row r="40" spans="1:18" ht="16.2">
      <c r="A40" s="92"/>
      <c r="B40" s="83" t="s">
        <v>77</v>
      </c>
      <c r="C40" s="212">
        <v>0.15</v>
      </c>
      <c r="D40" s="193"/>
      <c r="E40" s="193"/>
      <c r="F40" s="36"/>
      <c r="G40" s="36"/>
      <c r="H40" s="36"/>
      <c r="I40" s="36"/>
      <c r="J40" s="36"/>
      <c r="K40" s="36"/>
      <c r="L40" s="36"/>
      <c r="M40" s="33"/>
    </row>
    <row r="41" spans="1:18" ht="16.2">
      <c r="A41" s="92"/>
      <c r="B41" s="83" t="s">
        <v>78</v>
      </c>
      <c r="C41" s="212">
        <v>0.09</v>
      </c>
      <c r="D41" s="193"/>
      <c r="E41" s="193"/>
      <c r="F41" s="36"/>
      <c r="G41" s="36"/>
      <c r="H41" s="36"/>
      <c r="I41" s="36"/>
      <c r="J41" s="36"/>
      <c r="K41" s="36"/>
      <c r="L41" s="36"/>
      <c r="M41" s="33"/>
    </row>
    <row r="42" spans="1:18" ht="16.2">
      <c r="A42" s="92"/>
      <c r="B42" s="83" t="s">
        <v>79</v>
      </c>
      <c r="C42" s="212">
        <v>0.06</v>
      </c>
      <c r="D42" s="193"/>
      <c r="E42" s="193"/>
      <c r="F42" s="36"/>
      <c r="G42" s="36"/>
      <c r="H42" s="36"/>
      <c r="I42" s="36"/>
      <c r="J42" s="36"/>
      <c r="K42" s="36"/>
      <c r="L42" s="36"/>
      <c r="M42" s="33"/>
    </row>
    <row r="43" spans="1:18" ht="16.2">
      <c r="A43" s="92"/>
      <c r="B43" s="83" t="s">
        <v>80</v>
      </c>
      <c r="C43" s="212">
        <v>0.05</v>
      </c>
      <c r="D43" s="193"/>
      <c r="E43" s="193"/>
      <c r="F43" s="36"/>
      <c r="G43" s="36"/>
      <c r="H43" s="36"/>
      <c r="I43" s="36"/>
      <c r="J43" s="36"/>
      <c r="K43" s="36"/>
      <c r="L43" s="36"/>
      <c r="M43" s="33"/>
    </row>
    <row r="44" spans="1:18" ht="16.2">
      <c r="A44" s="92"/>
      <c r="B44" s="92"/>
      <c r="C44" s="92"/>
      <c r="D44" s="193"/>
      <c r="E44" s="193"/>
      <c r="F44" s="36"/>
      <c r="G44" s="36"/>
      <c r="H44" s="36"/>
      <c r="I44" s="36"/>
      <c r="J44" s="36"/>
      <c r="K44" s="36"/>
      <c r="L44" s="36"/>
      <c r="M44" s="33"/>
    </row>
    <row r="45" spans="1:18">
      <c r="A45" s="181" t="s">
        <v>16</v>
      </c>
      <c r="B45" s="490" t="s">
        <v>298</v>
      </c>
      <c r="C45" s="490"/>
      <c r="D45" s="490"/>
      <c r="E45" s="490"/>
      <c r="F45" s="490"/>
      <c r="G45" s="490"/>
      <c r="H45" s="490"/>
      <c r="I45" s="490"/>
      <c r="J45" s="490"/>
      <c r="K45" s="490"/>
      <c r="L45" s="490"/>
      <c r="M45" s="13"/>
    </row>
    <row r="46" spans="1:18" ht="16.2">
      <c r="A46" s="92"/>
      <c r="B46" s="92" t="s">
        <v>0</v>
      </c>
      <c r="C46" s="36"/>
      <c r="D46" s="36"/>
      <c r="E46" s="36"/>
      <c r="F46" s="36"/>
      <c r="G46" s="36"/>
      <c r="H46" s="36"/>
      <c r="I46" s="36"/>
      <c r="J46" s="36"/>
      <c r="K46" s="36"/>
      <c r="L46" s="36"/>
      <c r="M46" s="3"/>
    </row>
    <row r="47" spans="1:18">
      <c r="A47" s="4"/>
      <c r="B47" s="4"/>
      <c r="C47" s="42"/>
      <c r="D47" s="4"/>
      <c r="E47" s="4"/>
      <c r="F47" s="4"/>
      <c r="G47" s="4"/>
      <c r="H47" s="4"/>
      <c r="I47" s="4"/>
      <c r="J47" s="4"/>
      <c r="K47" s="4"/>
      <c r="L47" s="4"/>
      <c r="M47" s="4"/>
    </row>
    <row r="48" spans="1:18">
      <c r="A48" s="4"/>
      <c r="B48" s="4" t="s">
        <v>56</v>
      </c>
      <c r="C48" s="42">
        <f>SUMPRODUCT(D6:D8,E33:E35)</f>
        <v>3.4</v>
      </c>
      <c r="D48" s="4"/>
      <c r="E48" s="4"/>
      <c r="F48" s="4"/>
      <c r="G48" s="4"/>
      <c r="H48" s="4"/>
      <c r="I48" s="4"/>
      <c r="J48" s="4"/>
      <c r="K48" s="4"/>
      <c r="L48" s="4"/>
      <c r="M48" s="4"/>
    </row>
    <row r="49" spans="1:13">
      <c r="A49" s="4"/>
      <c r="B49" s="4" t="s">
        <v>76</v>
      </c>
      <c r="C49" s="100">
        <v>0.09</v>
      </c>
      <c r="D49" s="4" t="s">
        <v>291</v>
      </c>
      <c r="E49" s="4"/>
      <c r="F49" s="4"/>
      <c r="G49" s="4"/>
      <c r="H49" s="4"/>
      <c r="I49" s="4"/>
      <c r="J49" s="4"/>
      <c r="K49" s="4"/>
      <c r="L49" s="4"/>
      <c r="M49" s="4"/>
    </row>
    <row r="50" spans="1:13">
      <c r="A50" s="4"/>
      <c r="B50" s="32"/>
      <c r="C50" s="32"/>
      <c r="D50" s="4"/>
      <c r="E50" s="4"/>
      <c r="F50" s="4"/>
      <c r="G50" s="4"/>
      <c r="H50" s="4"/>
      <c r="I50" s="4"/>
      <c r="J50" s="4"/>
      <c r="K50" s="4"/>
      <c r="L50" s="4"/>
      <c r="M50" s="4"/>
    </row>
    <row r="51" spans="1:13">
      <c r="A51" s="82" t="s">
        <v>81</v>
      </c>
      <c r="B51" s="186"/>
      <c r="C51" s="186"/>
      <c r="D51" s="36"/>
      <c r="E51" s="36"/>
      <c r="F51" s="36"/>
      <c r="G51" s="36"/>
      <c r="H51" s="36"/>
      <c r="I51" s="36"/>
      <c r="J51" s="36"/>
      <c r="K51" s="36"/>
      <c r="L51" s="36"/>
      <c r="M51" s="36"/>
    </row>
    <row r="52" spans="1:13" ht="15.6" customHeight="1">
      <c r="A52" s="213" t="s">
        <v>219</v>
      </c>
      <c r="B52" s="186"/>
      <c r="C52" s="186"/>
      <c r="D52" s="36"/>
      <c r="E52" s="36"/>
      <c r="F52" s="36"/>
      <c r="G52" s="36"/>
      <c r="H52" s="36"/>
      <c r="I52" s="36"/>
      <c r="J52" s="357"/>
      <c r="K52" s="358" t="s">
        <v>293</v>
      </c>
      <c r="L52" s="337">
        <v>750</v>
      </c>
      <c r="M52" s="359" t="s">
        <v>292</v>
      </c>
    </row>
    <row r="53" spans="1:13">
      <c r="A53" s="213" t="s">
        <v>220</v>
      </c>
      <c r="B53" s="186"/>
      <c r="C53" s="186"/>
      <c r="D53" s="36"/>
      <c r="E53" s="36"/>
      <c r="F53" s="36"/>
      <c r="G53" s="36"/>
      <c r="H53" s="36"/>
      <c r="I53" s="36"/>
      <c r="J53" s="357"/>
      <c r="K53" s="358" t="s">
        <v>294</v>
      </c>
      <c r="L53" s="360">
        <v>7.4999999999999997E-2</v>
      </c>
      <c r="M53" s="5"/>
    </row>
    <row r="54" spans="1:13">
      <c r="A54" s="213" t="s">
        <v>221</v>
      </c>
      <c r="B54" s="186"/>
      <c r="C54" s="186"/>
      <c r="D54" s="36"/>
      <c r="E54" s="36"/>
      <c r="F54" s="36"/>
      <c r="G54" s="36"/>
      <c r="H54" s="36"/>
      <c r="I54" s="36"/>
      <c r="J54" s="357"/>
      <c r="K54" s="358" t="s">
        <v>295</v>
      </c>
      <c r="L54" s="341">
        <v>0.1</v>
      </c>
      <c r="M54" s="5"/>
    </row>
    <row r="55" spans="1:13">
      <c r="A55" s="213" t="s">
        <v>222</v>
      </c>
      <c r="B55" s="186"/>
      <c r="C55" s="186"/>
      <c r="D55" s="36"/>
      <c r="E55" s="36"/>
      <c r="F55" s="36"/>
      <c r="G55" s="36"/>
      <c r="H55" s="36"/>
      <c r="I55" s="36"/>
      <c r="J55" s="357"/>
      <c r="K55" s="358" t="s">
        <v>296</v>
      </c>
      <c r="L55" s="337">
        <v>0.67400000000000004</v>
      </c>
      <c r="M55" s="5"/>
    </row>
    <row r="56" spans="1:13">
      <c r="A56" s="216"/>
      <c r="B56" s="186"/>
      <c r="C56" s="186"/>
      <c r="D56" s="36"/>
      <c r="E56" s="36"/>
      <c r="F56" s="36"/>
      <c r="G56" s="36"/>
      <c r="H56" s="36"/>
      <c r="I56" s="36"/>
      <c r="J56" s="36"/>
      <c r="K56" s="36"/>
      <c r="L56" s="36"/>
      <c r="M56" s="36"/>
    </row>
    <row r="57" spans="1:13">
      <c r="A57" s="181" t="s">
        <v>17</v>
      </c>
      <c r="B57" s="490" t="s">
        <v>297</v>
      </c>
      <c r="C57" s="490"/>
      <c r="D57" s="490"/>
      <c r="E57" s="490"/>
      <c r="F57" s="490"/>
      <c r="G57" s="490"/>
      <c r="H57" s="490"/>
      <c r="I57" s="490"/>
      <c r="J57" s="490"/>
      <c r="K57" s="490"/>
      <c r="L57" s="182"/>
      <c r="M57" s="218"/>
    </row>
    <row r="58" spans="1:13" ht="16.2">
      <c r="A58" s="92"/>
      <c r="B58" s="92" t="s">
        <v>0</v>
      </c>
      <c r="C58" s="92"/>
      <c r="D58" s="193"/>
      <c r="E58" s="193"/>
      <c r="F58" s="36"/>
      <c r="G58" s="36"/>
      <c r="H58" s="36"/>
      <c r="I58" s="36"/>
      <c r="J58" s="36"/>
      <c r="K58" s="36"/>
      <c r="L58" s="36"/>
      <c r="M58" s="218"/>
    </row>
    <row r="61" spans="1:13">
      <c r="B61" s="4" t="s">
        <v>172</v>
      </c>
      <c r="D61" s="102">
        <f>L55*L52*SQRT(L53^2+L54^2+C49^2)</f>
        <v>77.861769702788038</v>
      </c>
    </row>
    <row r="62" spans="1:13">
      <c r="D62" s="103"/>
    </row>
  </sheetData>
  <mergeCells count="20">
    <mergeCell ref="R24:W24"/>
    <mergeCell ref="R25:W25"/>
    <mergeCell ref="R26:W26"/>
    <mergeCell ref="B45:L45"/>
    <mergeCell ref="B57:K57"/>
    <mergeCell ref="B32:C32"/>
    <mergeCell ref="B33:C33"/>
    <mergeCell ref="B34:C34"/>
    <mergeCell ref="B35:C35"/>
    <mergeCell ref="B25:C25"/>
    <mergeCell ref="E25:L25"/>
    <mergeCell ref="B19:L19"/>
    <mergeCell ref="A3:L3"/>
    <mergeCell ref="B22:C22"/>
    <mergeCell ref="B23:C23"/>
    <mergeCell ref="B24:C24"/>
    <mergeCell ref="E22:L22"/>
    <mergeCell ref="E23:L23"/>
    <mergeCell ref="E24:L24"/>
    <mergeCell ref="B4:F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166"/>
  <sheetViews>
    <sheetView workbookViewId="0"/>
  </sheetViews>
  <sheetFormatPr defaultColWidth="8.77734375" defaultRowHeight="15.6"/>
  <cols>
    <col min="1" max="1" width="11.44140625" style="1" customWidth="1"/>
    <col min="2" max="5" width="13.77734375" style="1" customWidth="1"/>
    <col min="6" max="6" width="15.21875" style="1" customWidth="1"/>
    <col min="7" max="7" width="13.77734375" style="1" customWidth="1"/>
    <col min="8" max="13" width="12.21875" style="1" customWidth="1"/>
    <col min="14" max="14" width="11" style="1" bestFit="1" customWidth="1"/>
    <col min="15" max="15" width="9" style="1" bestFit="1" customWidth="1"/>
    <col min="16" max="16384" width="8.77734375" style="1"/>
  </cols>
  <sheetData>
    <row r="1" spans="1:13" ht="18" customHeight="1">
      <c r="A1" s="221" t="s">
        <v>11</v>
      </c>
      <c r="B1" s="225"/>
      <c r="C1" s="92" t="s">
        <v>6</v>
      </c>
      <c r="D1" s="218"/>
      <c r="E1" s="218"/>
      <c r="F1" s="218"/>
      <c r="G1" s="218"/>
      <c r="H1" s="218"/>
      <c r="I1" s="218"/>
      <c r="J1" s="218"/>
      <c r="K1" s="218"/>
      <c r="L1" s="218"/>
      <c r="M1" s="218"/>
    </row>
    <row r="2" spans="1:13" ht="16.2">
      <c r="A2" s="82"/>
      <c r="B2" s="82"/>
      <c r="C2" s="36"/>
      <c r="D2" s="36"/>
      <c r="E2" s="36"/>
      <c r="F2" s="36"/>
      <c r="G2" s="36"/>
      <c r="H2" s="36"/>
      <c r="I2" s="92"/>
      <c r="J2" s="92"/>
      <c r="K2" s="193"/>
      <c r="L2" s="193"/>
      <c r="M2" s="193"/>
    </row>
    <row r="3" spans="1:13" s="6" customFormat="1">
      <c r="A3" s="490" t="s">
        <v>300</v>
      </c>
      <c r="B3" s="490"/>
      <c r="C3" s="490"/>
      <c r="D3" s="490"/>
      <c r="E3" s="490"/>
      <c r="F3" s="490"/>
      <c r="G3" s="490"/>
      <c r="H3" s="490"/>
      <c r="I3" s="490"/>
      <c r="J3" s="490"/>
      <c r="K3" s="490"/>
      <c r="L3" s="490"/>
      <c r="M3" s="490"/>
    </row>
    <row r="4" spans="1:13" s="6" customFormat="1">
      <c r="A4" s="182"/>
      <c r="B4" s="182"/>
      <c r="C4" s="182"/>
      <c r="D4" s="182"/>
      <c r="E4" s="182"/>
      <c r="F4" s="182"/>
      <c r="G4" s="182"/>
      <c r="H4" s="182"/>
      <c r="I4" s="182"/>
      <c r="J4" s="182"/>
      <c r="K4" s="182"/>
      <c r="L4" s="182"/>
      <c r="M4" s="182"/>
    </row>
    <row r="5" spans="1:13" s="6" customFormat="1">
      <c r="A5" s="182"/>
      <c r="B5" s="509" t="s">
        <v>18</v>
      </c>
      <c r="C5" s="509" t="s">
        <v>303</v>
      </c>
      <c r="D5" s="509" t="s">
        <v>83</v>
      </c>
      <c r="E5" s="511" t="s">
        <v>84</v>
      </c>
      <c r="F5" s="512"/>
      <c r="G5" s="509" t="s">
        <v>85</v>
      </c>
      <c r="H5" s="182"/>
      <c r="I5" s="182"/>
      <c r="J5" s="182"/>
      <c r="K5" s="182"/>
      <c r="L5" s="182"/>
      <c r="M5" s="182"/>
    </row>
    <row r="6" spans="1:13" s="6" customFormat="1" ht="46.8">
      <c r="A6" s="182"/>
      <c r="B6" s="510"/>
      <c r="C6" s="510"/>
      <c r="D6" s="510"/>
      <c r="E6" s="211" t="s">
        <v>86</v>
      </c>
      <c r="F6" s="226" t="s">
        <v>87</v>
      </c>
      <c r="G6" s="510"/>
      <c r="H6" s="182"/>
      <c r="I6" s="182"/>
      <c r="J6" s="182"/>
      <c r="K6" s="182"/>
      <c r="L6" s="182"/>
      <c r="M6" s="182"/>
    </row>
    <row r="7" spans="1:13" s="6" customFormat="1">
      <c r="A7" s="182"/>
      <c r="B7" s="227">
        <v>2020</v>
      </c>
      <c r="C7" s="228">
        <v>44203</v>
      </c>
      <c r="D7" s="228">
        <v>11183</v>
      </c>
      <c r="E7" s="228">
        <v>63304</v>
      </c>
      <c r="F7" s="229"/>
      <c r="G7" s="228">
        <v>63304</v>
      </c>
      <c r="H7" s="182"/>
      <c r="I7" s="182"/>
      <c r="J7" s="182"/>
      <c r="K7" s="182"/>
      <c r="L7" s="182"/>
      <c r="M7" s="182"/>
    </row>
    <row r="8" spans="1:13" s="6" customFormat="1">
      <c r="A8" s="182"/>
      <c r="B8" s="227">
        <v>2021</v>
      </c>
      <c r="C8" s="228">
        <v>29239</v>
      </c>
      <c r="D8" s="228">
        <v>21587</v>
      </c>
      <c r="E8" s="228">
        <v>61783</v>
      </c>
      <c r="F8" s="228">
        <v>63590</v>
      </c>
      <c r="G8" s="228">
        <v>61783</v>
      </c>
      <c r="H8" s="182"/>
      <c r="I8" s="182"/>
      <c r="J8" s="182"/>
      <c r="K8" s="182"/>
      <c r="L8" s="182"/>
      <c r="M8" s="182"/>
    </row>
    <row r="9" spans="1:13" s="6" customFormat="1">
      <c r="A9" s="182"/>
      <c r="B9" s="227">
        <v>2022</v>
      </c>
      <c r="C9" s="228">
        <v>25200</v>
      </c>
      <c r="D9" s="228">
        <v>34502</v>
      </c>
      <c r="E9" s="228">
        <v>81662</v>
      </c>
      <c r="F9" s="228">
        <v>77446</v>
      </c>
      <c r="G9" s="228">
        <v>79554</v>
      </c>
      <c r="H9" s="182"/>
      <c r="I9" s="182"/>
      <c r="J9" s="182"/>
      <c r="K9" s="182"/>
      <c r="L9" s="182"/>
      <c r="M9" s="182"/>
    </row>
    <row r="10" spans="1:13" s="6" customFormat="1">
      <c r="A10" s="182"/>
      <c r="B10" s="227">
        <v>2023</v>
      </c>
      <c r="C10" s="228">
        <v>11374</v>
      </c>
      <c r="D10" s="228">
        <v>18692</v>
      </c>
      <c r="E10" s="228">
        <v>53864</v>
      </c>
      <c r="F10" s="228">
        <v>56789</v>
      </c>
      <c r="G10" s="228">
        <v>55327</v>
      </c>
      <c r="H10" s="182"/>
      <c r="I10" s="182"/>
      <c r="J10" s="182"/>
      <c r="K10" s="182"/>
      <c r="L10" s="182"/>
      <c r="M10" s="182"/>
    </row>
    <row r="11" spans="1:13" s="6" customFormat="1">
      <c r="A11" s="182"/>
      <c r="B11" s="227">
        <v>2024</v>
      </c>
      <c r="C11" s="228">
        <v>6829</v>
      </c>
      <c r="D11" s="228">
        <v>27016</v>
      </c>
      <c r="E11" s="228">
        <v>76250</v>
      </c>
      <c r="F11" s="228">
        <v>66523</v>
      </c>
      <c r="G11" s="228">
        <v>66523</v>
      </c>
      <c r="H11" s="182"/>
      <c r="I11" s="182"/>
      <c r="J11" s="182"/>
      <c r="K11" s="182"/>
      <c r="L11" s="182"/>
      <c r="M11" s="182"/>
    </row>
    <row r="12" spans="1:13" s="6" customFormat="1">
      <c r="A12" s="182"/>
      <c r="B12" s="182"/>
      <c r="C12" s="182"/>
      <c r="D12" s="182"/>
      <c r="E12" s="182"/>
      <c r="F12" s="182"/>
      <c r="G12" s="182"/>
      <c r="H12" s="182"/>
      <c r="I12" s="182"/>
      <c r="J12" s="182"/>
      <c r="K12" s="182"/>
      <c r="L12" s="182"/>
      <c r="M12" s="182"/>
    </row>
    <row r="13" spans="1:13" s="6" customFormat="1">
      <c r="A13" s="82" t="s">
        <v>88</v>
      </c>
      <c r="B13" s="182"/>
      <c r="C13" s="182"/>
      <c r="D13" s="182"/>
      <c r="E13" s="182"/>
      <c r="F13" s="182"/>
      <c r="G13" s="182"/>
      <c r="H13" s="182"/>
      <c r="I13" s="182"/>
      <c r="J13" s="182"/>
      <c r="K13" s="182"/>
      <c r="L13" s="182"/>
      <c r="M13" s="182"/>
    </row>
    <row r="14" spans="1:13" s="6" customFormat="1">
      <c r="A14" s="182"/>
      <c r="B14" s="182"/>
      <c r="C14" s="182"/>
      <c r="D14" s="182"/>
      <c r="E14" s="182"/>
      <c r="F14" s="182"/>
      <c r="G14" s="182"/>
      <c r="H14" s="182"/>
      <c r="I14" s="182"/>
      <c r="J14" s="182"/>
      <c r="K14" s="182"/>
      <c r="L14" s="182"/>
      <c r="M14" s="182"/>
    </row>
    <row r="15" spans="1:13" s="6" customFormat="1" ht="31.2">
      <c r="A15" s="182"/>
      <c r="B15" s="211" t="s">
        <v>18</v>
      </c>
      <c r="C15" s="211" t="s">
        <v>303</v>
      </c>
      <c r="D15" s="211" t="s">
        <v>89</v>
      </c>
      <c r="E15" s="182"/>
      <c r="F15" s="182"/>
      <c r="G15" s="182"/>
      <c r="H15" s="182"/>
      <c r="I15" s="182"/>
      <c r="J15" s="182"/>
      <c r="K15" s="182"/>
      <c r="L15" s="182"/>
      <c r="M15" s="182"/>
    </row>
    <row r="16" spans="1:13" s="6" customFormat="1">
      <c r="A16" s="182"/>
      <c r="B16" s="227">
        <v>2021</v>
      </c>
      <c r="C16" s="228">
        <v>30790</v>
      </c>
      <c r="D16" s="228">
        <v>20572</v>
      </c>
      <c r="E16" s="182"/>
      <c r="F16" s="182"/>
      <c r="G16" s="182"/>
      <c r="H16" s="182"/>
      <c r="I16" s="182"/>
      <c r="J16" s="182"/>
      <c r="K16" s="182"/>
      <c r="L16" s="182"/>
      <c r="M16" s="182"/>
    </row>
    <row r="17" spans="1:13" s="6" customFormat="1">
      <c r="A17" s="182"/>
      <c r="B17" s="227">
        <v>2022</v>
      </c>
      <c r="C17" s="228">
        <v>27173</v>
      </c>
      <c r="D17" s="228">
        <v>33935</v>
      </c>
      <c r="E17" s="182"/>
      <c r="F17" s="182"/>
      <c r="G17" s="182"/>
      <c r="H17" s="182"/>
      <c r="I17" s="182"/>
      <c r="J17" s="182"/>
      <c r="K17" s="182"/>
      <c r="L17" s="182"/>
      <c r="M17" s="182"/>
    </row>
    <row r="18" spans="1:13" s="6" customFormat="1">
      <c r="A18" s="182"/>
      <c r="B18" s="227">
        <v>2023</v>
      </c>
      <c r="C18" s="228">
        <v>12904</v>
      </c>
      <c r="D18" s="228">
        <v>20178</v>
      </c>
      <c r="E18" s="182"/>
      <c r="F18" s="182"/>
      <c r="G18" s="182"/>
      <c r="H18" s="182"/>
      <c r="I18" s="182"/>
      <c r="J18" s="182"/>
      <c r="K18" s="182"/>
      <c r="L18" s="182"/>
      <c r="M18" s="182"/>
    </row>
    <row r="19" spans="1:13" s="6" customFormat="1">
      <c r="A19" s="182"/>
      <c r="B19" s="227">
        <v>2024</v>
      </c>
      <c r="C19" s="228">
        <v>7803</v>
      </c>
      <c r="D19" s="228">
        <v>28706</v>
      </c>
      <c r="E19" s="182"/>
      <c r="F19" s="182"/>
      <c r="G19" s="182"/>
      <c r="H19" s="182"/>
      <c r="I19" s="182"/>
      <c r="J19" s="182"/>
      <c r="K19" s="182"/>
      <c r="L19" s="182"/>
      <c r="M19" s="182"/>
    </row>
    <row r="20" spans="1:13" s="6" customFormat="1">
      <c r="A20" s="182"/>
      <c r="B20" s="182"/>
      <c r="C20" s="182"/>
      <c r="D20" s="182"/>
      <c r="E20" s="182"/>
      <c r="F20" s="182"/>
      <c r="G20" s="182"/>
      <c r="H20" s="182"/>
      <c r="I20" s="182"/>
      <c r="J20" s="182"/>
      <c r="K20" s="182"/>
      <c r="L20" s="182"/>
      <c r="M20" s="182"/>
    </row>
    <row r="21" spans="1:13" customFormat="1">
      <c r="A21" s="82" t="s">
        <v>90</v>
      </c>
      <c r="B21" s="186"/>
      <c r="C21" s="186"/>
      <c r="D21" s="186"/>
      <c r="E21" s="186"/>
      <c r="F21" s="186"/>
      <c r="G21" s="186"/>
      <c r="H21" s="186"/>
      <c r="I21" s="186"/>
      <c r="J21" s="186"/>
      <c r="K21" s="186"/>
      <c r="L21" s="186"/>
      <c r="M21" s="186"/>
    </row>
    <row r="22" spans="1:13" customFormat="1">
      <c r="A22" s="213" t="s">
        <v>301</v>
      </c>
      <c r="B22" s="186"/>
      <c r="C22" s="186"/>
      <c r="D22" s="186"/>
      <c r="E22" s="186"/>
      <c r="F22" s="186"/>
      <c r="G22" s="186"/>
      <c r="H22" s="186"/>
      <c r="I22" s="186"/>
      <c r="J22" s="186"/>
      <c r="K22" s="186"/>
      <c r="L22" s="186"/>
      <c r="M22" s="186"/>
    </row>
    <row r="23" spans="1:13" customFormat="1">
      <c r="A23" s="213" t="s">
        <v>302</v>
      </c>
      <c r="B23" s="186"/>
      <c r="C23" s="186"/>
      <c r="D23" s="186"/>
      <c r="E23" s="186"/>
      <c r="F23" s="186"/>
      <c r="G23" s="186"/>
      <c r="H23" s="186"/>
      <c r="I23" s="186"/>
      <c r="J23" s="186"/>
      <c r="K23" s="186"/>
      <c r="L23" s="186"/>
      <c r="M23" s="186"/>
    </row>
    <row r="24" spans="1:13" s="6" customFormat="1" ht="15.6" customHeight="1">
      <c r="A24" s="92"/>
      <c r="B24" s="92" t="s">
        <v>0</v>
      </c>
      <c r="C24" s="92"/>
      <c r="D24" s="193"/>
      <c r="E24" s="193"/>
      <c r="F24" s="36"/>
      <c r="G24" s="36"/>
      <c r="H24" s="36"/>
      <c r="I24" s="36"/>
      <c r="J24" s="36"/>
      <c r="K24" s="36"/>
      <c r="L24" s="36"/>
      <c r="M24" s="218"/>
    </row>
    <row r="25" spans="1:13">
      <c r="A25" s="4"/>
      <c r="B25" s="4"/>
      <c r="C25" s="4"/>
      <c r="D25" s="4"/>
      <c r="E25" s="4"/>
      <c r="F25" s="4"/>
      <c r="G25" s="4"/>
      <c r="H25" s="4"/>
      <c r="I25" s="4"/>
      <c r="J25" s="4"/>
      <c r="K25" s="4"/>
      <c r="L25" s="4"/>
      <c r="M25" s="4"/>
    </row>
    <row r="26" spans="1:13">
      <c r="A26" s="4"/>
      <c r="B26" s="508" t="s">
        <v>18</v>
      </c>
      <c r="C26" s="508" t="s">
        <v>173</v>
      </c>
      <c r="D26" s="508" t="s">
        <v>83</v>
      </c>
      <c r="E26" s="508" t="s">
        <v>84</v>
      </c>
      <c r="F26" s="508"/>
      <c r="G26" s="508" t="s">
        <v>85</v>
      </c>
      <c r="H26" s="4"/>
    </row>
    <row r="27" spans="1:13" ht="46.8">
      <c r="A27" s="4"/>
      <c r="B27" s="508"/>
      <c r="C27" s="508"/>
      <c r="D27" s="508"/>
      <c r="E27" s="230" t="s">
        <v>86</v>
      </c>
      <c r="F27" s="230" t="s">
        <v>87</v>
      </c>
      <c r="G27" s="508"/>
      <c r="H27" s="4" t="s">
        <v>27</v>
      </c>
      <c r="I27" s="65" t="s">
        <v>176</v>
      </c>
    </row>
    <row r="28" spans="1:13">
      <c r="A28" s="4"/>
      <c r="B28" s="231">
        <v>2020</v>
      </c>
      <c r="C28" s="232">
        <v>44203</v>
      </c>
      <c r="D28" s="232">
        <v>11183</v>
      </c>
      <c r="E28" s="232">
        <v>63304</v>
      </c>
      <c r="F28" s="233"/>
      <c r="G28" s="232">
        <v>63304</v>
      </c>
      <c r="H28" s="34">
        <f>C28+D28</f>
        <v>55386</v>
      </c>
    </row>
    <row r="29" spans="1:13">
      <c r="A29" s="4"/>
      <c r="B29" s="231">
        <v>2021</v>
      </c>
      <c r="C29" s="232">
        <v>29239</v>
      </c>
      <c r="D29" s="232">
        <v>21587</v>
      </c>
      <c r="E29" s="232">
        <v>61783</v>
      </c>
      <c r="F29" s="232">
        <v>63590</v>
      </c>
      <c r="G29" s="232">
        <v>61783</v>
      </c>
      <c r="H29" s="34">
        <f t="shared" ref="H29:H32" si="0">C29+D29</f>
        <v>50826</v>
      </c>
      <c r="I29" s="105">
        <f>D16+C16</f>
        <v>51362</v>
      </c>
    </row>
    <row r="30" spans="1:13">
      <c r="A30" s="4"/>
      <c r="B30" s="231">
        <v>2022</v>
      </c>
      <c r="C30" s="232">
        <v>25200</v>
      </c>
      <c r="D30" s="232">
        <v>34502</v>
      </c>
      <c r="E30" s="232">
        <v>81662</v>
      </c>
      <c r="F30" s="232">
        <v>77446</v>
      </c>
      <c r="G30" s="232">
        <v>79554</v>
      </c>
      <c r="H30" s="34">
        <f t="shared" si="0"/>
        <v>59702</v>
      </c>
      <c r="I30" s="105">
        <f>D17+C17</f>
        <v>61108</v>
      </c>
    </row>
    <row r="31" spans="1:13">
      <c r="A31" s="4"/>
      <c r="B31" s="231">
        <v>2023</v>
      </c>
      <c r="C31" s="232">
        <v>11374</v>
      </c>
      <c r="D31" s="232">
        <v>18692</v>
      </c>
      <c r="E31" s="232">
        <v>53864</v>
      </c>
      <c r="F31" s="232">
        <v>56789</v>
      </c>
      <c r="G31" s="232">
        <v>55327</v>
      </c>
      <c r="H31" s="34">
        <f t="shared" si="0"/>
        <v>30066</v>
      </c>
      <c r="I31" s="105">
        <f>D18+C18</f>
        <v>33082</v>
      </c>
    </row>
    <row r="32" spans="1:13">
      <c r="A32" s="4"/>
      <c r="B32" s="231">
        <v>2024</v>
      </c>
      <c r="C32" s="232">
        <v>6829</v>
      </c>
      <c r="D32" s="232">
        <v>27016</v>
      </c>
      <c r="E32" s="232">
        <v>76250</v>
      </c>
      <c r="F32" s="232">
        <v>66523</v>
      </c>
      <c r="G32" s="232">
        <v>66523</v>
      </c>
      <c r="H32" s="34">
        <f t="shared" si="0"/>
        <v>33845</v>
      </c>
      <c r="I32" s="105">
        <f>D19+C19</f>
        <v>36509</v>
      </c>
    </row>
    <row r="33" spans="1:13">
      <c r="A33" s="4"/>
      <c r="B33" s="4"/>
      <c r="C33" s="4"/>
      <c r="D33" s="4"/>
      <c r="E33" s="4"/>
      <c r="F33" s="4"/>
      <c r="G33" s="4"/>
      <c r="H33" s="4"/>
      <c r="I33" s="105"/>
      <c r="J33" s="4"/>
      <c r="K33" s="4"/>
      <c r="L33" s="4"/>
      <c r="M33" s="4"/>
    </row>
    <row r="34" spans="1:13">
      <c r="A34" s="4"/>
      <c r="B34" s="290" t="s">
        <v>386</v>
      </c>
      <c r="C34" s="4"/>
      <c r="D34" s="4"/>
      <c r="H34" s="290" t="s">
        <v>387</v>
      </c>
      <c r="I34" s="290"/>
      <c r="J34" s="4"/>
      <c r="M34" s="4"/>
    </row>
    <row r="35" spans="1:13" ht="31.2">
      <c r="A35" s="141" t="s">
        <v>34</v>
      </c>
      <c r="B35" s="15" t="s">
        <v>174</v>
      </c>
      <c r="C35" s="15" t="s">
        <v>175</v>
      </c>
      <c r="D35" s="15" t="s">
        <v>177</v>
      </c>
      <c r="E35" s="65" t="s">
        <v>178</v>
      </c>
      <c r="F35" s="291" t="s">
        <v>179</v>
      </c>
      <c r="G35" s="141" t="s">
        <v>34</v>
      </c>
      <c r="H35" s="15" t="s">
        <v>174</v>
      </c>
      <c r="I35" s="15" t="s">
        <v>175</v>
      </c>
      <c r="J35" s="15" t="s">
        <v>177</v>
      </c>
      <c r="K35" s="65" t="s">
        <v>178</v>
      </c>
      <c r="L35" s="291" t="s">
        <v>179</v>
      </c>
      <c r="M35" s="4"/>
    </row>
    <row r="36" spans="1:13">
      <c r="A36" s="4">
        <f>B28</f>
        <v>2020</v>
      </c>
      <c r="B36" s="104">
        <f>G28/$H28</f>
        <v>1.1429603148810168</v>
      </c>
      <c r="C36" s="104"/>
      <c r="D36" s="68"/>
      <c r="E36" s="50"/>
      <c r="F36" s="59"/>
      <c r="G36" s="4">
        <f>A36</f>
        <v>2020</v>
      </c>
      <c r="H36" s="104">
        <f>E28/$H28</f>
        <v>1.1429603148810168</v>
      </c>
      <c r="I36" s="104"/>
      <c r="J36" s="68"/>
      <c r="K36" s="50"/>
      <c r="L36" s="59"/>
      <c r="M36" s="4"/>
    </row>
    <row r="37" spans="1:13">
      <c r="A37" s="4">
        <f t="shared" ref="A37:A40" si="1">B29</f>
        <v>2021</v>
      </c>
      <c r="B37" s="104">
        <f>G29/$H29</f>
        <v>1.2155786408531066</v>
      </c>
      <c r="C37" s="104">
        <f>B37/B36</f>
        <v>1.0635352995433174</v>
      </c>
      <c r="D37" s="68">
        <f t="shared" ref="D37:D40" si="2">C37^(1/4)</f>
        <v>1.0155188221659122</v>
      </c>
      <c r="E37" s="50">
        <f>D37*$H29</f>
        <v>51614.759655404654</v>
      </c>
      <c r="F37" s="292">
        <f>$I29-E37</f>
        <v>-252.75965540465404</v>
      </c>
      <c r="G37" s="4">
        <f t="shared" ref="G37:G40" si="3">A37</f>
        <v>2021</v>
      </c>
      <c r="H37" s="104">
        <f>E29/$H29</f>
        <v>1.2155786408531066</v>
      </c>
      <c r="I37" s="104">
        <f>H37/H36</f>
        <v>1.0635352995433174</v>
      </c>
      <c r="J37" s="68">
        <f t="shared" ref="J37:J40" si="4">I37^(1/4)</f>
        <v>1.0155188221659122</v>
      </c>
      <c r="K37" s="50">
        <f>J37*$H29</f>
        <v>51614.759655404654</v>
      </c>
      <c r="L37" s="292">
        <f>$I29-K37</f>
        <v>-252.75965540465404</v>
      </c>
      <c r="M37" s="4"/>
    </row>
    <row r="38" spans="1:13">
      <c r="A38" s="4">
        <f t="shared" si="1"/>
        <v>2022</v>
      </c>
      <c r="B38" s="104">
        <f>G30/$H30</f>
        <v>1.3325181735955245</v>
      </c>
      <c r="C38" s="104">
        <f t="shared" ref="C38:C40" si="5">B38/B37</f>
        <v>1.0962007136456005</v>
      </c>
      <c r="D38" s="68">
        <f t="shared" si="2"/>
        <v>1.023228245702404</v>
      </c>
      <c r="E38" s="50">
        <f>D38*$H30</f>
        <v>61088.772724924922</v>
      </c>
      <c r="F38" s="292">
        <f>$I30-E38</f>
        <v>19.227275075078069</v>
      </c>
      <c r="G38" s="4">
        <f t="shared" si="3"/>
        <v>2022</v>
      </c>
      <c r="H38" s="104">
        <f>E30/$H30</f>
        <v>1.3678268734715755</v>
      </c>
      <c r="I38" s="104">
        <f t="shared" ref="I38:I40" si="6">H38/H37</f>
        <v>1.1252475384987182</v>
      </c>
      <c r="J38" s="68">
        <f t="shared" si="4"/>
        <v>1.0299402196869984</v>
      </c>
      <c r="K38" s="50">
        <f>J38*$H30</f>
        <v>61489.490995753178</v>
      </c>
      <c r="L38" s="292">
        <f>$I30-K38</f>
        <v>-381.49099575317814</v>
      </c>
      <c r="M38" s="4"/>
    </row>
    <row r="39" spans="1:13">
      <c r="A39" s="4">
        <f t="shared" si="1"/>
        <v>2023</v>
      </c>
      <c r="B39" s="104">
        <f>G31/$H31</f>
        <v>1.8401849264950443</v>
      </c>
      <c r="C39" s="104">
        <f t="shared" si="5"/>
        <v>1.3809829861679757</v>
      </c>
      <c r="D39" s="68">
        <f t="shared" si="2"/>
        <v>1.0840444292860096</v>
      </c>
      <c r="E39" s="50">
        <f>D39*$H31</f>
        <v>32592.879810913164</v>
      </c>
      <c r="F39" s="292">
        <f>$I31-E39</f>
        <v>489.12018908683604</v>
      </c>
      <c r="G39" s="4">
        <f t="shared" si="3"/>
        <v>2023</v>
      </c>
      <c r="H39" s="104">
        <f>E31/$H31</f>
        <v>1.7915253109825051</v>
      </c>
      <c r="I39" s="104">
        <f t="shared" si="6"/>
        <v>1.3097602816031633</v>
      </c>
      <c r="J39" s="68">
        <f t="shared" si="4"/>
        <v>1.069788571619112</v>
      </c>
      <c r="K39" s="50">
        <f>J39*$H31</f>
        <v>32164.26319430022</v>
      </c>
      <c r="L39" s="292">
        <f>$I31-K39</f>
        <v>917.73680569978023</v>
      </c>
      <c r="M39" s="4"/>
    </row>
    <row r="40" spans="1:13">
      <c r="A40" s="4">
        <f t="shared" si="1"/>
        <v>2024</v>
      </c>
      <c r="B40" s="104">
        <f>G32/$H32</f>
        <v>1.9655192790663318</v>
      </c>
      <c r="C40" s="104">
        <f t="shared" si="5"/>
        <v>1.0681096507023393</v>
      </c>
      <c r="D40" s="68">
        <f t="shared" si="2"/>
        <v>1.0166090224519995</v>
      </c>
      <c r="E40" s="50">
        <f>D40*$H32</f>
        <v>34407.132364887919</v>
      </c>
      <c r="F40" s="292">
        <f>$I32-E40</f>
        <v>2101.8676351120812</v>
      </c>
      <c r="G40" s="4">
        <f t="shared" si="3"/>
        <v>2024</v>
      </c>
      <c r="H40" s="104">
        <f>E32/$H32</f>
        <v>2.252917713103856</v>
      </c>
      <c r="I40" s="104">
        <f t="shared" si="6"/>
        <v>1.2575416597761127</v>
      </c>
      <c r="J40" s="68">
        <f t="shared" si="4"/>
        <v>1.0589625345698126</v>
      </c>
      <c r="K40" s="50">
        <f>J40*$H32</f>
        <v>35840.586982515306</v>
      </c>
      <c r="L40" s="292">
        <f>$I32-K40</f>
        <v>668.41301748469414</v>
      </c>
      <c r="M40" s="4"/>
    </row>
    <row r="41" spans="1:13">
      <c r="A41" s="4"/>
      <c r="B41" s="4"/>
      <c r="C41" s="4"/>
      <c r="D41" s="4"/>
      <c r="E41" s="4"/>
      <c r="F41" s="4"/>
      <c r="G41" s="4"/>
      <c r="H41" s="4"/>
      <c r="I41" s="4"/>
      <c r="J41" s="4"/>
      <c r="K41" s="4"/>
      <c r="L41" s="4"/>
      <c r="M41" s="4"/>
    </row>
    <row r="42" spans="1:13">
      <c r="A42" s="4"/>
      <c r="B42" s="4" t="s">
        <v>415</v>
      </c>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4"/>
      <c r="J101" s="4"/>
      <c r="K101" s="4"/>
      <c r="L101" s="4"/>
      <c r="M101" s="4"/>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sheetData>
  <mergeCells count="11">
    <mergeCell ref="A3:M3"/>
    <mergeCell ref="B5:B6"/>
    <mergeCell ref="D5:D6"/>
    <mergeCell ref="E5:F5"/>
    <mergeCell ref="G5:G6"/>
    <mergeCell ref="C5:C6"/>
    <mergeCell ref="B26:B27"/>
    <mergeCell ref="C26:C27"/>
    <mergeCell ref="D26:D27"/>
    <mergeCell ref="E26:F26"/>
    <mergeCell ref="G26:G2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N79"/>
  <sheetViews>
    <sheetView workbookViewId="0">
      <selection activeCell="B49" sqref="B49"/>
    </sheetView>
  </sheetViews>
  <sheetFormatPr defaultColWidth="8.77734375" defaultRowHeight="15.6"/>
  <cols>
    <col min="1" max="1" width="8.77734375" style="1"/>
    <col min="2" max="11" width="13.33203125" style="1" customWidth="1"/>
    <col min="12" max="12" width="18" style="1" customWidth="1"/>
    <col min="13" max="13" width="13.33203125" style="1" customWidth="1"/>
    <col min="14" max="16384" width="8.77734375" style="1"/>
  </cols>
  <sheetData>
    <row r="1" spans="1:13" ht="18" customHeight="1">
      <c r="A1" s="234" t="s">
        <v>9</v>
      </c>
      <c r="B1" s="101"/>
      <c r="C1" s="92" t="s">
        <v>6</v>
      </c>
      <c r="D1" s="101"/>
      <c r="E1" s="101"/>
      <c r="F1" s="101"/>
      <c r="G1" s="101"/>
      <c r="H1" s="101"/>
      <c r="I1" s="101"/>
      <c r="J1" s="101"/>
      <c r="K1" s="101"/>
      <c r="L1" s="101"/>
      <c r="M1" s="101"/>
    </row>
    <row r="2" spans="1:13" ht="18" customHeight="1">
      <c r="A2" s="234"/>
      <c r="B2" s="101"/>
      <c r="C2" s="92"/>
      <c r="D2" s="101"/>
      <c r="E2" s="101"/>
      <c r="F2" s="101"/>
      <c r="G2" s="101"/>
      <c r="H2" s="101"/>
      <c r="I2" s="101"/>
      <c r="J2" s="101"/>
      <c r="K2" s="101"/>
      <c r="L2" s="101"/>
      <c r="M2" s="101"/>
    </row>
    <row r="3" spans="1:13">
      <c r="A3" s="82" t="s">
        <v>315</v>
      </c>
      <c r="B3" s="186"/>
      <c r="C3" s="186"/>
      <c r="D3" s="186"/>
      <c r="E3" s="186"/>
      <c r="F3" s="36"/>
      <c r="G3" s="36"/>
      <c r="H3" s="36"/>
      <c r="I3" s="36"/>
      <c r="J3" s="36"/>
      <c r="K3" s="36"/>
      <c r="L3" s="36"/>
      <c r="M3" s="36"/>
    </row>
    <row r="4" spans="1:13" ht="16.2" customHeight="1">
      <c r="A4" s="216" t="s">
        <v>316</v>
      </c>
      <c r="B4" s="182"/>
      <c r="C4" s="182"/>
      <c r="D4" s="182"/>
      <c r="E4" s="182"/>
      <c r="F4" s="182"/>
      <c r="G4" s="182"/>
      <c r="H4" s="182"/>
      <c r="I4" s="182"/>
      <c r="J4" s="182"/>
      <c r="K4" s="182"/>
      <c r="L4" s="239" t="s">
        <v>304</v>
      </c>
      <c r="M4" s="235">
        <v>25000</v>
      </c>
    </row>
    <row r="5" spans="1:13" ht="15.6" customHeight="1">
      <c r="A5" s="216" t="s">
        <v>317</v>
      </c>
      <c r="B5" s="182"/>
      <c r="C5" s="182"/>
      <c r="D5" s="182"/>
      <c r="E5" s="182"/>
      <c r="F5" s="182"/>
      <c r="G5" s="182"/>
      <c r="H5" s="182"/>
      <c r="I5" s="182"/>
      <c r="J5" s="182"/>
      <c r="K5" s="182"/>
      <c r="L5" s="240" t="s">
        <v>305</v>
      </c>
      <c r="M5" s="236">
        <v>0.8</v>
      </c>
    </row>
    <row r="6" spans="1:13" ht="15.6" customHeight="1">
      <c r="A6" s="216" t="s">
        <v>311</v>
      </c>
      <c r="B6" s="182"/>
      <c r="C6" s="182"/>
      <c r="D6" s="182"/>
      <c r="E6" s="182"/>
      <c r="F6" s="182"/>
      <c r="G6" s="182"/>
      <c r="H6" s="182"/>
      <c r="I6" s="182"/>
      <c r="J6" s="182"/>
      <c r="K6" s="182"/>
      <c r="L6" s="240" t="s">
        <v>306</v>
      </c>
      <c r="M6" s="235">
        <v>1000</v>
      </c>
    </row>
    <row r="7" spans="1:13">
      <c r="A7" s="82"/>
      <c r="B7" s="186"/>
      <c r="C7" s="186"/>
      <c r="D7" s="186"/>
      <c r="E7" s="186"/>
      <c r="F7" s="36"/>
      <c r="G7" s="36"/>
      <c r="H7" s="36"/>
      <c r="I7" s="36"/>
      <c r="J7" s="36"/>
      <c r="K7" s="36"/>
      <c r="L7" s="36"/>
      <c r="M7" s="36"/>
    </row>
    <row r="8" spans="1:13">
      <c r="A8" s="245" t="s">
        <v>2</v>
      </c>
      <c r="B8" s="82" t="s">
        <v>318</v>
      </c>
      <c r="C8" s="186"/>
      <c r="D8" s="186"/>
      <c r="E8" s="186"/>
      <c r="F8" s="36"/>
      <c r="G8" s="36"/>
      <c r="H8" s="36"/>
      <c r="I8" s="36"/>
      <c r="J8" s="36"/>
      <c r="K8" s="36"/>
      <c r="L8" s="36"/>
      <c r="M8" s="36"/>
    </row>
    <row r="9" spans="1:13">
      <c r="A9" s="237"/>
      <c r="B9" s="186"/>
      <c r="C9" s="186"/>
      <c r="D9" s="186"/>
      <c r="E9" s="186"/>
      <c r="F9" s="36"/>
      <c r="G9" s="36"/>
      <c r="H9" s="36"/>
      <c r="I9" s="36"/>
      <c r="J9" s="36"/>
      <c r="K9" s="36"/>
      <c r="L9" s="36"/>
      <c r="M9" s="36"/>
    </row>
    <row r="10" spans="1:13">
      <c r="A10" s="238" t="s">
        <v>319</v>
      </c>
      <c r="B10" s="186"/>
      <c r="C10" s="186"/>
      <c r="D10" s="186"/>
      <c r="E10" s="186"/>
      <c r="F10" s="36"/>
      <c r="G10" s="36"/>
      <c r="H10" s="36"/>
      <c r="I10" s="36"/>
      <c r="J10" s="36"/>
      <c r="K10" s="36"/>
      <c r="L10" s="36"/>
      <c r="M10" s="36"/>
    </row>
    <row r="11" spans="1:13">
      <c r="A11" s="238" t="s">
        <v>320</v>
      </c>
      <c r="B11" s="186"/>
      <c r="C11" s="186"/>
      <c r="D11" s="186"/>
      <c r="E11" s="186"/>
      <c r="F11" s="36"/>
      <c r="G11" s="36"/>
      <c r="H11" s="36"/>
      <c r="I11" s="36"/>
      <c r="J11" s="36"/>
      <c r="K11" s="36"/>
      <c r="L11" s="36"/>
      <c r="M11" s="36"/>
    </row>
    <row r="12" spans="1:13" ht="16.2">
      <c r="A12" s="92"/>
      <c r="B12" s="92" t="s">
        <v>0</v>
      </c>
      <c r="C12" s="92"/>
      <c r="D12" s="193"/>
      <c r="E12" s="193"/>
      <c r="F12" s="36"/>
      <c r="G12" s="36"/>
      <c r="H12" s="36"/>
      <c r="I12" s="36"/>
      <c r="J12" s="36"/>
      <c r="K12" s="36"/>
      <c r="L12" s="36"/>
      <c r="M12" s="218"/>
    </row>
    <row r="14" spans="1:13">
      <c r="B14" s="374" t="s">
        <v>180</v>
      </c>
      <c r="C14" s="375">
        <v>25000</v>
      </c>
      <c r="D14" s="243"/>
      <c r="E14" s="243"/>
      <c r="F14" s="243"/>
      <c r="G14" s="243"/>
      <c r="H14" s="243"/>
    </row>
    <row r="15" spans="1:13">
      <c r="B15" s="374" t="s">
        <v>185</v>
      </c>
      <c r="C15" s="376">
        <v>0.8</v>
      </c>
      <c r="D15" s="243"/>
      <c r="E15" s="243"/>
      <c r="F15" s="243"/>
      <c r="G15" s="243"/>
      <c r="H15" s="243"/>
    </row>
    <row r="16" spans="1:13">
      <c r="B16" s="297" t="s">
        <v>186</v>
      </c>
      <c r="C16" s="301">
        <f>C14*C15</f>
        <v>20000</v>
      </c>
    </row>
    <row r="17" spans="1:13">
      <c r="B17" s="297" t="s">
        <v>187</v>
      </c>
      <c r="C17" s="301">
        <v>1000</v>
      </c>
    </row>
    <row r="19" spans="1:13">
      <c r="B19" s="244"/>
      <c r="C19" s="361"/>
      <c r="D19" s="363" t="s">
        <v>181</v>
      </c>
      <c r="E19" s="362"/>
      <c r="F19" s="244"/>
      <c r="G19" s="148"/>
      <c r="H19" s="365" t="s">
        <v>182</v>
      </c>
      <c r="I19" s="366"/>
    </row>
    <row r="20" spans="1:13" ht="31.2">
      <c r="B20" s="294" t="s">
        <v>416</v>
      </c>
      <c r="C20" s="364">
        <v>16000</v>
      </c>
      <c r="D20" s="364">
        <v>19000</v>
      </c>
      <c r="E20" s="364">
        <v>22000</v>
      </c>
      <c r="F20" s="373" t="s">
        <v>416</v>
      </c>
      <c r="G20" s="367">
        <f>C20</f>
        <v>16000</v>
      </c>
      <c r="H20" s="367">
        <f>D20</f>
        <v>19000</v>
      </c>
      <c r="I20" s="367">
        <f>E20</f>
        <v>22000</v>
      </c>
    </row>
    <row r="21" spans="1:13" ht="31.2">
      <c r="B21" s="294" t="s">
        <v>184</v>
      </c>
      <c r="C21" s="293">
        <f>1-C20/$C$16</f>
        <v>0.19999999999999996</v>
      </c>
      <c r="D21" s="293">
        <f>1-D20/$C$16</f>
        <v>5.0000000000000044E-2</v>
      </c>
      <c r="E21" s="293">
        <v>0</v>
      </c>
      <c r="F21" s="294"/>
      <c r="G21" s="368"/>
      <c r="H21" s="368"/>
      <c r="I21" s="368"/>
    </row>
    <row r="22" spans="1:13">
      <c r="B22" s="295" t="s">
        <v>183</v>
      </c>
      <c r="C22" s="318"/>
      <c r="D22" s="319"/>
      <c r="E22" s="319"/>
      <c r="F22" s="371" t="s">
        <v>183</v>
      </c>
      <c r="G22" s="369"/>
      <c r="H22" s="369"/>
      <c r="I22" s="370"/>
    </row>
    <row r="23" spans="1:13">
      <c r="B23" s="316">
        <v>18000</v>
      </c>
      <c r="C23" s="317">
        <f t="shared" ref="C23:E25" si="0">MIN(C$20,$B23*(1-C$21))-$C$17</f>
        <v>13400</v>
      </c>
      <c r="D23" s="317">
        <f t="shared" si="0"/>
        <v>16100</v>
      </c>
      <c r="E23" s="317">
        <f t="shared" si="0"/>
        <v>17000</v>
      </c>
      <c r="F23" s="372">
        <v>18000</v>
      </c>
      <c r="G23" s="320">
        <f t="shared" ref="G23:I25" si="1">$B23-C23</f>
        <v>4600</v>
      </c>
      <c r="H23" s="320">
        <f t="shared" si="1"/>
        <v>1900</v>
      </c>
      <c r="I23" s="320">
        <f t="shared" si="1"/>
        <v>1000</v>
      </c>
    </row>
    <row r="24" spans="1:13">
      <c r="B24" s="316">
        <v>21500</v>
      </c>
      <c r="C24" s="317">
        <f t="shared" si="0"/>
        <v>15000</v>
      </c>
      <c r="D24" s="317">
        <f t="shared" si="0"/>
        <v>18000</v>
      </c>
      <c r="E24" s="317">
        <f t="shared" si="0"/>
        <v>20500</v>
      </c>
      <c r="F24" s="372">
        <v>21500</v>
      </c>
      <c r="G24" s="320">
        <f t="shared" si="1"/>
        <v>6500</v>
      </c>
      <c r="H24" s="320">
        <f t="shared" si="1"/>
        <v>3500</v>
      </c>
      <c r="I24" s="320">
        <f t="shared" si="1"/>
        <v>1000</v>
      </c>
    </row>
    <row r="25" spans="1:13">
      <c r="B25" s="316">
        <v>25000</v>
      </c>
      <c r="C25" s="317">
        <f t="shared" si="0"/>
        <v>15000</v>
      </c>
      <c r="D25" s="317">
        <f t="shared" si="0"/>
        <v>18000</v>
      </c>
      <c r="E25" s="317">
        <f t="shared" si="0"/>
        <v>21000</v>
      </c>
      <c r="F25" s="372">
        <v>25000</v>
      </c>
      <c r="G25" s="320">
        <f t="shared" si="1"/>
        <v>10000</v>
      </c>
      <c r="H25" s="320">
        <f t="shared" si="1"/>
        <v>7000</v>
      </c>
      <c r="I25" s="320">
        <f t="shared" si="1"/>
        <v>4000</v>
      </c>
    </row>
    <row r="26" spans="1:13">
      <c r="A26" s="2"/>
      <c r="B26" s="2"/>
      <c r="C26" s="2"/>
      <c r="D26" s="2"/>
      <c r="E26" s="2"/>
      <c r="F26" s="2"/>
      <c r="G26" s="2"/>
      <c r="H26" s="2"/>
      <c r="I26" s="2"/>
      <c r="J26" s="2"/>
      <c r="K26" s="2"/>
      <c r="L26" s="2"/>
      <c r="M26" s="2"/>
    </row>
    <row r="27" spans="1:13">
      <c r="A27" s="82" t="s">
        <v>91</v>
      </c>
      <c r="B27" s="186"/>
      <c r="C27" s="186"/>
      <c r="D27" s="186"/>
      <c r="E27" s="186"/>
      <c r="F27" s="36"/>
      <c r="G27" s="36"/>
      <c r="H27" s="36"/>
      <c r="I27" s="36"/>
      <c r="J27" s="36"/>
      <c r="K27" s="36"/>
      <c r="L27" s="36"/>
      <c r="M27" s="36"/>
    </row>
    <row r="28" spans="1:13">
      <c r="A28" s="216" t="s">
        <v>307</v>
      </c>
      <c r="B28" s="36"/>
      <c r="C28" s="186"/>
      <c r="D28" s="186"/>
      <c r="E28" s="186"/>
      <c r="F28" s="36"/>
      <c r="G28" s="36"/>
      <c r="H28" s="36"/>
      <c r="I28" s="36"/>
      <c r="J28" s="36"/>
      <c r="K28" s="36"/>
      <c r="L28" s="241" t="s">
        <v>304</v>
      </c>
      <c r="M28" s="235">
        <v>250000</v>
      </c>
    </row>
    <row r="29" spans="1:13">
      <c r="A29" s="216" t="s">
        <v>308</v>
      </c>
      <c r="B29" s="36"/>
      <c r="C29" s="186"/>
      <c r="D29" s="186"/>
      <c r="E29" s="186"/>
      <c r="F29" s="36"/>
      <c r="G29" s="36"/>
      <c r="H29" s="36"/>
      <c r="I29" s="36"/>
      <c r="J29" s="36"/>
      <c r="K29" s="36"/>
      <c r="L29" s="241" t="s">
        <v>321</v>
      </c>
      <c r="M29" s="235">
        <v>200000</v>
      </c>
    </row>
    <row r="30" spans="1:13">
      <c r="A30" s="216" t="s">
        <v>309</v>
      </c>
      <c r="B30" s="36"/>
      <c r="C30" s="186"/>
      <c r="D30" s="186"/>
      <c r="E30" s="186"/>
      <c r="F30" s="36"/>
      <c r="G30" s="36"/>
      <c r="H30" s="36"/>
      <c r="I30" s="36"/>
      <c r="J30" s="36"/>
      <c r="K30" s="36"/>
      <c r="L30" s="242" t="s">
        <v>305</v>
      </c>
      <c r="M30" s="236">
        <v>0.85</v>
      </c>
    </row>
    <row r="31" spans="1:13">
      <c r="A31" s="216" t="s">
        <v>310</v>
      </c>
      <c r="B31" s="36"/>
      <c r="C31" s="186"/>
      <c r="D31" s="186"/>
      <c r="E31" s="186"/>
      <c r="F31" s="36"/>
      <c r="G31" s="36"/>
      <c r="H31" s="36"/>
      <c r="I31" s="36"/>
      <c r="J31" s="36"/>
      <c r="K31" s="36"/>
      <c r="L31" s="242" t="s">
        <v>322</v>
      </c>
      <c r="M31" s="236">
        <v>0.1</v>
      </c>
    </row>
    <row r="32" spans="1:13">
      <c r="A32" s="216" t="s">
        <v>311</v>
      </c>
      <c r="B32" s="36"/>
      <c r="C32" s="186"/>
      <c r="D32" s="186"/>
      <c r="E32" s="186"/>
      <c r="F32" s="36"/>
      <c r="G32" s="36"/>
      <c r="H32" s="36"/>
      <c r="I32" s="36"/>
      <c r="J32" s="36"/>
      <c r="K32" s="36"/>
      <c r="L32" s="242" t="s">
        <v>323</v>
      </c>
      <c r="M32" s="235">
        <v>3000</v>
      </c>
    </row>
    <row r="33" spans="1:13">
      <c r="A33" s="216" t="s">
        <v>312</v>
      </c>
      <c r="B33" s="36"/>
      <c r="C33" s="186"/>
      <c r="D33" s="186"/>
      <c r="E33" s="186"/>
      <c r="F33" s="36"/>
      <c r="G33" s="36"/>
      <c r="H33" s="36"/>
      <c r="I33" s="36"/>
      <c r="J33" s="36"/>
      <c r="K33" s="36"/>
      <c r="L33" s="36"/>
      <c r="M33" s="36"/>
    </row>
    <row r="34" spans="1:13">
      <c r="A34" s="216"/>
      <c r="B34" s="36"/>
      <c r="C34" s="186"/>
      <c r="D34" s="186"/>
      <c r="E34" s="186"/>
      <c r="F34" s="36"/>
      <c r="G34" s="36"/>
      <c r="H34" s="36"/>
      <c r="I34" s="36"/>
      <c r="J34" s="36"/>
      <c r="K34" s="36"/>
      <c r="L34" s="36"/>
      <c r="M34" s="36"/>
    </row>
    <row r="35" spans="1:13" ht="15.6" customHeight="1">
      <c r="A35" s="245" t="s">
        <v>3</v>
      </c>
      <c r="B35" s="82" t="s">
        <v>313</v>
      </c>
      <c r="C35" s="186"/>
      <c r="D35" s="186"/>
      <c r="E35" s="186"/>
      <c r="F35" s="36"/>
      <c r="G35" s="36"/>
      <c r="H35" s="36"/>
      <c r="I35" s="36"/>
      <c r="J35" s="36"/>
      <c r="K35" s="36"/>
      <c r="L35" s="36"/>
      <c r="M35" s="36"/>
    </row>
    <row r="36" spans="1:13" ht="16.2">
      <c r="A36" s="92"/>
      <c r="B36" s="92" t="s">
        <v>0</v>
      </c>
      <c r="C36" s="92"/>
      <c r="D36" s="193"/>
      <c r="E36" s="193"/>
      <c r="F36" s="36"/>
      <c r="G36" s="36"/>
      <c r="H36" s="36"/>
      <c r="I36" s="36"/>
      <c r="J36" s="36"/>
      <c r="K36" s="36"/>
      <c r="L36" s="36"/>
      <c r="M36" s="218"/>
    </row>
    <row r="38" spans="1:13">
      <c r="D38" s="301">
        <f>85%*250000</f>
        <v>212500</v>
      </c>
      <c r="E38" s="1" t="s">
        <v>419</v>
      </c>
    </row>
    <row r="39" spans="1:13">
      <c r="B39" s="1" t="s">
        <v>420</v>
      </c>
      <c r="E39" s="135"/>
      <c r="F39" s="107"/>
    </row>
    <row r="40" spans="1:13">
      <c r="E40" s="135" t="s">
        <v>417</v>
      </c>
      <c r="F40" s="377">
        <f>M31*M29</f>
        <v>20000</v>
      </c>
      <c r="G40" s="1" t="s">
        <v>418</v>
      </c>
    </row>
    <row r="41" spans="1:13">
      <c r="E41" s="135" t="s">
        <v>188</v>
      </c>
      <c r="F41" s="105">
        <f>200000-F40</f>
        <v>180000</v>
      </c>
    </row>
    <row r="43" spans="1:13" ht="15.6" customHeight="1">
      <c r="A43" s="82" t="s">
        <v>92</v>
      </c>
      <c r="B43" s="186"/>
      <c r="C43" s="186"/>
      <c r="D43" s="186"/>
      <c r="E43" s="186"/>
      <c r="F43" s="36"/>
      <c r="G43" s="36"/>
      <c r="H43" s="36"/>
      <c r="I43" s="36"/>
      <c r="J43" s="36"/>
      <c r="K43" s="36"/>
      <c r="L43" s="36"/>
      <c r="M43" s="36"/>
    </row>
    <row r="44" spans="1:13" ht="15.6" customHeight="1">
      <c r="A44" s="82"/>
      <c r="B44" s="186"/>
      <c r="C44" s="186"/>
      <c r="D44" s="186"/>
      <c r="E44" s="186"/>
      <c r="F44" s="36"/>
      <c r="G44" s="36"/>
      <c r="H44" s="36"/>
      <c r="I44" s="36"/>
      <c r="J44" s="36"/>
      <c r="K44" s="36"/>
      <c r="L44" s="36"/>
      <c r="M44" s="36"/>
    </row>
    <row r="45" spans="1:13" ht="15.6" customHeight="1">
      <c r="A45" s="245" t="s">
        <v>16</v>
      </c>
      <c r="B45" s="82" t="s">
        <v>314</v>
      </c>
      <c r="C45" s="186"/>
      <c r="D45" s="186"/>
      <c r="E45" s="186"/>
      <c r="F45" s="36"/>
      <c r="G45" s="36"/>
      <c r="H45" s="36"/>
      <c r="I45" s="36"/>
      <c r="J45" s="36"/>
      <c r="K45" s="36"/>
      <c r="L45" s="36"/>
      <c r="M45" s="36"/>
    </row>
    <row r="46" spans="1:13" ht="15.6" customHeight="1">
      <c r="B46" s="326" t="s">
        <v>421</v>
      </c>
    </row>
    <row r="47" spans="1:13" ht="15.6" customHeight="1">
      <c r="B47" s="378" t="s">
        <v>423</v>
      </c>
    </row>
    <row r="48" spans="1:13" ht="15.6" customHeight="1">
      <c r="B48" s="378" t="s">
        <v>424</v>
      </c>
    </row>
    <row r="49" spans="2:14" ht="15.6" customHeight="1">
      <c r="B49" s="326" t="s">
        <v>422</v>
      </c>
    </row>
    <row r="50" spans="2:14" ht="15.6" customHeight="1">
      <c r="B50" s="378" t="s">
        <v>425</v>
      </c>
    </row>
    <row r="51" spans="2:14" ht="15.6" customHeight="1">
      <c r="B51" s="378" t="s">
        <v>426</v>
      </c>
    </row>
    <row r="52" spans="2:14" ht="15.6" customHeight="1">
      <c r="B52" s="378" t="s">
        <v>427</v>
      </c>
    </row>
    <row r="53" spans="2:14" ht="15.6" customHeight="1">
      <c r="B53" s="378" t="s">
        <v>428</v>
      </c>
    </row>
    <row r="54" spans="2:14" ht="15.6" customHeight="1">
      <c r="B54" s="296"/>
    </row>
    <row r="55" spans="2:14" ht="15.6" customHeight="1">
      <c r="B55" s="296"/>
    </row>
    <row r="56" spans="2:14" ht="15.6" customHeight="1"/>
    <row r="57" spans="2:14" ht="15.6" customHeight="1"/>
    <row r="58" spans="2:14" ht="15.6" customHeight="1"/>
    <row r="59" spans="2:14" ht="15.6" customHeight="1"/>
    <row r="60" spans="2:14" ht="15.6" customHeight="1">
      <c r="N60" s="6"/>
    </row>
    <row r="61" spans="2:14" ht="15.6" customHeight="1">
      <c r="N61" s="6"/>
    </row>
    <row r="62" spans="2:14">
      <c r="N62" s="6"/>
    </row>
    <row r="63" spans="2:14">
      <c r="N63" s="6"/>
    </row>
    <row r="64" spans="2:14">
      <c r="N64" s="6"/>
    </row>
    <row r="65" spans="14:14">
      <c r="N65" s="6"/>
    </row>
    <row r="66" spans="14:14">
      <c r="N66" s="6"/>
    </row>
    <row r="67" spans="14:14">
      <c r="N67" s="6"/>
    </row>
    <row r="68" spans="14:14">
      <c r="N68" s="6"/>
    </row>
    <row r="69" spans="14:14">
      <c r="N69" s="6"/>
    </row>
    <row r="70" spans="14:14">
      <c r="N70" s="6"/>
    </row>
    <row r="74" spans="14:14">
      <c r="N74" s="6"/>
    </row>
    <row r="79" spans="14:14">
      <c r="N79"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S73"/>
  <sheetViews>
    <sheetView zoomScale="110" zoomScaleNormal="110" workbookViewId="0">
      <selection activeCell="J30" sqref="J30"/>
    </sheetView>
  </sheetViews>
  <sheetFormatPr defaultColWidth="8.77734375" defaultRowHeight="15.6"/>
  <cols>
    <col min="1" max="1" width="8.77734375" style="1"/>
    <col min="2" max="2" width="14" style="1" customWidth="1"/>
    <col min="3" max="4" width="12.77734375" style="1" customWidth="1"/>
    <col min="5" max="5" width="15" style="1" customWidth="1"/>
    <col min="6" max="6" width="15.44140625" style="1" customWidth="1"/>
    <col min="7" max="7" width="12.5546875" style="1" customWidth="1"/>
    <col min="8" max="8" width="13.6640625" style="1" customWidth="1"/>
    <col min="9" max="9" width="13.33203125" style="1" customWidth="1"/>
    <col min="10" max="11" width="11.5546875" style="1" customWidth="1"/>
    <col min="12" max="12" width="15.88671875" style="1" customWidth="1"/>
    <col min="13" max="13" width="12.77734375" style="1" customWidth="1"/>
    <col min="14" max="14" width="11.109375" style="1" bestFit="1" customWidth="1"/>
    <col min="15" max="15" width="12.77734375" style="1" customWidth="1"/>
    <col min="16" max="16" width="13.88671875" style="1" bestFit="1" customWidth="1"/>
    <col min="17" max="17" width="13.77734375" style="1" customWidth="1"/>
    <col min="18" max="16384" width="8.77734375" style="1"/>
  </cols>
  <sheetData>
    <row r="1" spans="1:19" ht="18" customHeight="1">
      <c r="A1" s="221" t="s">
        <v>12</v>
      </c>
      <c r="B1" s="225"/>
      <c r="C1" s="92" t="s">
        <v>6</v>
      </c>
      <c r="D1" s="218"/>
      <c r="E1" s="218"/>
      <c r="F1" s="218"/>
      <c r="G1" s="218"/>
      <c r="H1" s="218"/>
      <c r="I1" s="218"/>
      <c r="J1" s="218"/>
      <c r="K1" s="218"/>
      <c r="L1" s="218"/>
      <c r="M1" s="218"/>
    </row>
    <row r="2" spans="1:19" ht="13.95" customHeight="1">
      <c r="A2" s="82"/>
      <c r="B2" s="82"/>
      <c r="C2" s="36"/>
      <c r="D2" s="36"/>
      <c r="E2" s="36"/>
      <c r="F2" s="36"/>
      <c r="G2" s="36"/>
      <c r="H2" s="36"/>
      <c r="I2" s="92"/>
      <c r="J2" s="92"/>
      <c r="K2" s="193"/>
      <c r="L2" s="193"/>
      <c r="M2" s="193"/>
    </row>
    <row r="3" spans="1:19" ht="31.05" customHeight="1">
      <c r="A3" s="514" t="s">
        <v>324</v>
      </c>
      <c r="B3" s="514"/>
      <c r="C3" s="514"/>
      <c r="D3" s="514"/>
      <c r="E3" s="514"/>
      <c r="F3" s="514"/>
      <c r="G3" s="514"/>
      <c r="H3" s="514"/>
      <c r="I3" s="514"/>
      <c r="J3" s="514"/>
      <c r="K3" s="514"/>
      <c r="L3" s="514"/>
      <c r="M3" s="514"/>
      <c r="N3" s="6"/>
      <c r="O3" s="6"/>
      <c r="P3" s="6"/>
    </row>
    <row r="4" spans="1:19">
      <c r="A4" s="222"/>
      <c r="B4" s="222"/>
      <c r="C4" s="222"/>
      <c r="D4" s="222"/>
      <c r="E4" s="222"/>
      <c r="F4" s="222"/>
      <c r="G4" s="222"/>
      <c r="H4" s="222"/>
      <c r="I4" s="222"/>
      <c r="J4" s="222"/>
      <c r="K4" s="222"/>
      <c r="L4" s="222"/>
      <c r="M4" s="222"/>
      <c r="N4" s="6"/>
      <c r="O4" s="6"/>
      <c r="P4" s="6"/>
    </row>
    <row r="5" spans="1:19">
      <c r="A5" s="245" t="s">
        <v>93</v>
      </c>
      <c r="B5" s="222"/>
      <c r="C5" s="222"/>
      <c r="D5" s="222"/>
      <c r="E5" s="222"/>
      <c r="F5" s="222"/>
      <c r="G5" s="222"/>
      <c r="H5" s="222"/>
      <c r="I5" s="222"/>
      <c r="J5" s="222"/>
      <c r="K5" s="222"/>
      <c r="L5" s="222"/>
      <c r="M5" s="222"/>
      <c r="N5" s="6"/>
      <c r="O5" s="6"/>
      <c r="P5" s="6"/>
    </row>
    <row r="6" spans="1:19">
      <c r="A6" s="245"/>
      <c r="B6" s="36"/>
      <c r="C6" s="36"/>
      <c r="D6" s="36"/>
      <c r="E6" s="36"/>
      <c r="F6" s="36"/>
      <c r="G6" s="36"/>
      <c r="H6" s="36"/>
      <c r="I6" s="36"/>
      <c r="J6" s="36"/>
      <c r="K6" s="36"/>
      <c r="L6" s="36"/>
      <c r="M6" s="218"/>
      <c r="N6" s="6"/>
      <c r="O6" s="6"/>
      <c r="P6" s="6"/>
    </row>
    <row r="7" spans="1:19" ht="31.2">
      <c r="A7" s="245"/>
      <c r="B7" s="176" t="s">
        <v>94</v>
      </c>
      <c r="C7" s="176" t="s">
        <v>95</v>
      </c>
      <c r="D7" s="176" t="s">
        <v>96</v>
      </c>
      <c r="E7" s="176" t="s">
        <v>97</v>
      </c>
      <c r="F7" s="176" t="s">
        <v>98</v>
      </c>
      <c r="G7" s="36"/>
      <c r="H7" s="36"/>
      <c r="I7" s="36"/>
      <c r="J7" s="36"/>
      <c r="K7" s="36"/>
      <c r="L7" s="211" t="s">
        <v>189</v>
      </c>
      <c r="M7" s="246">
        <v>630.16999999999996</v>
      </c>
      <c r="N7" s="6"/>
      <c r="O7" s="6"/>
      <c r="P7" s="6"/>
    </row>
    <row r="8" spans="1:19">
      <c r="A8" s="245"/>
      <c r="B8" s="247" t="s">
        <v>99</v>
      </c>
      <c r="C8" s="248" t="s">
        <v>100</v>
      </c>
      <c r="D8" s="249">
        <v>2000</v>
      </c>
      <c r="E8" s="250">
        <v>4.4999999999999998E-2</v>
      </c>
      <c r="F8" s="249">
        <v>13333</v>
      </c>
      <c r="G8" s="36"/>
      <c r="H8" s="36"/>
      <c r="I8" s="36"/>
      <c r="J8" s="36"/>
      <c r="K8" s="36"/>
      <c r="L8" s="36"/>
      <c r="M8" s="218"/>
      <c r="N8" s="6"/>
      <c r="O8" s="6"/>
      <c r="P8" s="6"/>
      <c r="S8" s="6"/>
    </row>
    <row r="9" spans="1:19">
      <c r="A9" s="245"/>
      <c r="B9" s="247" t="s">
        <v>101</v>
      </c>
      <c r="C9" s="248" t="s">
        <v>100</v>
      </c>
      <c r="D9" s="249">
        <v>900</v>
      </c>
      <c r="E9" s="250">
        <v>4.4400000000000002E-2</v>
      </c>
      <c r="F9" s="249">
        <v>9000</v>
      </c>
      <c r="G9" s="36"/>
      <c r="H9" s="36"/>
      <c r="I9" s="36"/>
      <c r="J9" s="36"/>
      <c r="K9" s="36"/>
      <c r="L9" s="36"/>
      <c r="M9" s="218"/>
      <c r="N9" s="6"/>
      <c r="O9" s="6"/>
      <c r="P9" s="6"/>
      <c r="S9" s="6"/>
    </row>
    <row r="10" spans="1:19">
      <c r="A10" s="245"/>
      <c r="B10" s="247" t="s">
        <v>99</v>
      </c>
      <c r="C10" s="248" t="s">
        <v>102</v>
      </c>
      <c r="D10" s="249">
        <v>3600</v>
      </c>
      <c r="E10" s="250">
        <v>0.05</v>
      </c>
      <c r="F10" s="249">
        <v>14000</v>
      </c>
      <c r="G10" s="36"/>
      <c r="H10" s="36"/>
      <c r="I10" s="36"/>
      <c r="J10" s="36"/>
      <c r="K10" s="36"/>
      <c r="L10" s="36"/>
      <c r="M10" s="218"/>
      <c r="N10" s="6"/>
      <c r="O10" s="6"/>
      <c r="P10" s="6"/>
      <c r="S10" s="6"/>
    </row>
    <row r="11" spans="1:19">
      <c r="A11" s="245"/>
      <c r="B11" s="247" t="s">
        <v>101</v>
      </c>
      <c r="C11" s="248" t="s">
        <v>102</v>
      </c>
      <c r="D11" s="249">
        <v>2000</v>
      </c>
      <c r="E11" s="250">
        <v>0.05</v>
      </c>
      <c r="F11" s="249">
        <v>9000</v>
      </c>
      <c r="G11" s="36"/>
      <c r="H11" s="36"/>
      <c r="I11" s="36"/>
      <c r="J11" s="36"/>
      <c r="K11" s="36"/>
      <c r="L11" s="36"/>
      <c r="M11" s="218"/>
      <c r="N11" s="6"/>
      <c r="O11" s="6"/>
      <c r="P11" s="6"/>
      <c r="S11" s="6"/>
    </row>
    <row r="12" spans="1:19">
      <c r="A12" s="245"/>
      <c r="B12" s="247" t="s">
        <v>99</v>
      </c>
      <c r="C12" s="248" t="s">
        <v>103</v>
      </c>
      <c r="D12" s="249">
        <v>5400</v>
      </c>
      <c r="E12" s="250">
        <v>5.5599999999999997E-2</v>
      </c>
      <c r="F12" s="249">
        <v>15750</v>
      </c>
      <c r="G12" s="36"/>
      <c r="H12" s="36"/>
      <c r="I12" s="36"/>
      <c r="J12" s="36"/>
      <c r="K12" s="36"/>
      <c r="L12" s="36"/>
      <c r="M12" s="218"/>
      <c r="N12" s="6"/>
      <c r="O12" s="6"/>
      <c r="P12" s="6"/>
      <c r="S12" s="6"/>
    </row>
    <row r="13" spans="1:19">
      <c r="A13" s="245"/>
      <c r="B13" s="247" t="s">
        <v>101</v>
      </c>
      <c r="C13" s="248" t="s">
        <v>103</v>
      </c>
      <c r="D13" s="249">
        <v>3500</v>
      </c>
      <c r="E13" s="250">
        <v>4.5699999999999998E-2</v>
      </c>
      <c r="F13" s="249">
        <v>6750</v>
      </c>
      <c r="G13" s="36"/>
      <c r="H13" s="36"/>
      <c r="I13" s="36"/>
      <c r="J13" s="36"/>
      <c r="K13" s="36"/>
      <c r="L13" s="36"/>
      <c r="M13" s="218"/>
      <c r="N13" s="6"/>
      <c r="O13" s="6"/>
      <c r="P13" s="6"/>
      <c r="S13" s="6"/>
    </row>
    <row r="14" spans="1:19">
      <c r="A14" s="245"/>
      <c r="B14" s="36"/>
      <c r="C14" s="36"/>
      <c r="D14" s="36"/>
      <c r="E14" s="36"/>
      <c r="F14" s="36"/>
      <c r="G14" s="36"/>
      <c r="H14" s="36"/>
      <c r="I14" s="36"/>
      <c r="J14" s="36"/>
      <c r="K14" s="36"/>
      <c r="L14" s="36"/>
      <c r="M14" s="218"/>
      <c r="N14" s="6"/>
      <c r="O14" s="6"/>
      <c r="P14" s="6"/>
    </row>
    <row r="15" spans="1:19">
      <c r="A15" s="245" t="s">
        <v>2</v>
      </c>
      <c r="B15" s="513" t="s">
        <v>325</v>
      </c>
      <c r="C15" s="513"/>
      <c r="D15" s="513"/>
      <c r="E15" s="513"/>
      <c r="F15" s="513"/>
      <c r="G15" s="513"/>
      <c r="H15" s="513"/>
      <c r="I15" s="513"/>
      <c r="J15" s="513"/>
      <c r="K15" s="513"/>
      <c r="L15" s="513"/>
      <c r="M15" s="218"/>
      <c r="N15" s="6"/>
      <c r="O15" s="6"/>
      <c r="P15" s="6"/>
    </row>
    <row r="16" spans="1:19" ht="16.2">
      <c r="A16" s="92"/>
      <c r="B16" s="92" t="s">
        <v>0</v>
      </c>
      <c r="C16" s="92"/>
      <c r="D16" s="193"/>
      <c r="E16" s="193"/>
      <c r="F16" s="36"/>
      <c r="G16" s="36"/>
      <c r="H16" s="36"/>
      <c r="I16" s="36"/>
      <c r="J16" s="36"/>
      <c r="K16" s="36"/>
      <c r="L16" s="36"/>
      <c r="M16" s="218"/>
      <c r="N16" s="6"/>
      <c r="O16" s="6"/>
      <c r="P16" s="6"/>
    </row>
    <row r="18" spans="2:16" ht="31.2">
      <c r="B18" s="64" t="s">
        <v>94</v>
      </c>
      <c r="C18" s="64" t="s">
        <v>95</v>
      </c>
      <c r="D18" s="64" t="s">
        <v>96</v>
      </c>
      <c r="E18" s="64" t="s">
        <v>97</v>
      </c>
      <c r="F18" s="392" t="s">
        <v>98</v>
      </c>
      <c r="G18" s="69" t="s">
        <v>82</v>
      </c>
    </row>
    <row r="19" spans="2:16">
      <c r="B19" s="386" t="s">
        <v>99</v>
      </c>
      <c r="C19" s="387" t="s">
        <v>100</v>
      </c>
      <c r="D19" s="70">
        <v>2000</v>
      </c>
      <c r="E19" s="388">
        <v>4.4999999999999998E-2</v>
      </c>
      <c r="F19" s="393">
        <v>13333</v>
      </c>
      <c r="G19" s="394">
        <f>D19*E19*F19</f>
        <v>1199970</v>
      </c>
      <c r="P19" s="50"/>
    </row>
    <row r="20" spans="2:16">
      <c r="B20" s="386" t="s">
        <v>101</v>
      </c>
      <c r="C20" s="387" t="s">
        <v>100</v>
      </c>
      <c r="D20" s="70">
        <v>900</v>
      </c>
      <c r="E20" s="388">
        <v>4.4400000000000002E-2</v>
      </c>
      <c r="F20" s="393">
        <v>9000</v>
      </c>
      <c r="G20" s="394">
        <f t="shared" ref="G20:G24" si="0">D20*E20*F20</f>
        <v>359640</v>
      </c>
      <c r="P20" s="50"/>
    </row>
    <row r="21" spans="2:16">
      <c r="B21" s="386" t="s">
        <v>99</v>
      </c>
      <c r="C21" s="387" t="s">
        <v>102</v>
      </c>
      <c r="D21" s="70">
        <v>3600</v>
      </c>
      <c r="E21" s="388">
        <v>0.05</v>
      </c>
      <c r="F21" s="393">
        <v>14000</v>
      </c>
      <c r="G21" s="394">
        <f t="shared" si="0"/>
        <v>2520000</v>
      </c>
      <c r="P21" s="50"/>
    </row>
    <row r="22" spans="2:16">
      <c r="B22" s="386" t="s">
        <v>101</v>
      </c>
      <c r="C22" s="387" t="s">
        <v>102</v>
      </c>
      <c r="D22" s="70">
        <v>2000</v>
      </c>
      <c r="E22" s="388">
        <v>0.05</v>
      </c>
      <c r="F22" s="393">
        <v>9000</v>
      </c>
      <c r="G22" s="394">
        <f t="shared" si="0"/>
        <v>900000</v>
      </c>
      <c r="P22" s="50"/>
    </row>
    <row r="23" spans="2:16">
      <c r="B23" s="386" t="s">
        <v>99</v>
      </c>
      <c r="C23" s="387" t="s">
        <v>103</v>
      </c>
      <c r="D23" s="70">
        <v>5400</v>
      </c>
      <c r="E23" s="388">
        <v>5.5599999999999997E-2</v>
      </c>
      <c r="F23" s="393">
        <v>15750</v>
      </c>
      <c r="G23" s="394">
        <f t="shared" si="0"/>
        <v>4728780</v>
      </c>
      <c r="P23" s="50"/>
    </row>
    <row r="24" spans="2:16">
      <c r="B24" s="386" t="s">
        <v>101</v>
      </c>
      <c r="C24" s="387" t="s">
        <v>103</v>
      </c>
      <c r="D24" s="70">
        <v>3500</v>
      </c>
      <c r="E24" s="388">
        <v>4.5699999999999998E-2</v>
      </c>
      <c r="F24" s="393">
        <v>6750</v>
      </c>
      <c r="G24" s="394">
        <f t="shared" si="0"/>
        <v>1079662.5</v>
      </c>
      <c r="P24" s="50"/>
    </row>
    <row r="25" spans="2:16">
      <c r="B25" s="389"/>
      <c r="C25" s="72" t="s">
        <v>154</v>
      </c>
      <c r="D25" s="70">
        <f>SUM(D19:D24)</f>
        <v>17400</v>
      </c>
      <c r="E25" s="390"/>
      <c r="F25" s="76"/>
      <c r="G25" s="70">
        <f>SUM(G19:G24)</f>
        <v>10788052.5</v>
      </c>
      <c r="P25" s="110"/>
    </row>
    <row r="26" spans="2:16">
      <c r="B26" s="4"/>
      <c r="C26" s="4"/>
      <c r="D26" s="4"/>
      <c r="E26" s="4"/>
      <c r="F26" s="4"/>
      <c r="G26" s="4"/>
    </row>
    <row r="27" spans="2:16" ht="31.2">
      <c r="B27" s="64" t="s">
        <v>94</v>
      </c>
      <c r="C27" s="64"/>
      <c r="D27" s="64" t="s">
        <v>96</v>
      </c>
      <c r="E27" s="64"/>
      <c r="F27" s="392"/>
      <c r="G27" s="69" t="s">
        <v>82</v>
      </c>
      <c r="H27" s="297" t="s">
        <v>194</v>
      </c>
      <c r="I27" s="379" t="s">
        <v>195</v>
      </c>
      <c r="J27" s="150" t="str">
        <f>B27</f>
        <v>Type of Use</v>
      </c>
    </row>
    <row r="28" spans="2:16">
      <c r="B28" s="386" t="s">
        <v>99</v>
      </c>
      <c r="C28" s="387"/>
      <c r="D28" s="70">
        <f>D19+D21+D23</f>
        <v>11000</v>
      </c>
      <c r="E28" s="388"/>
      <c r="F28" s="393"/>
      <c r="G28" s="70">
        <f>G19+G21+G23</f>
        <v>8448750</v>
      </c>
      <c r="H28" s="395">
        <f>G28/D28</f>
        <v>768.06818181818187</v>
      </c>
      <c r="I28" s="380">
        <f>H28/H$30</f>
        <v>1.2388136193846262</v>
      </c>
      <c r="J28" s="150" t="str">
        <f t="shared" ref="J28:J29" si="1">B28</f>
        <v>A</v>
      </c>
      <c r="K28" s="321"/>
      <c r="L28" s="37"/>
    </row>
    <row r="29" spans="2:16">
      <c r="B29" s="386" t="s">
        <v>101</v>
      </c>
      <c r="C29" s="387"/>
      <c r="D29" s="70">
        <f>D20+D22+D24</f>
        <v>6400</v>
      </c>
      <c r="E29" s="388"/>
      <c r="F29" s="393"/>
      <c r="G29" s="70">
        <f>G20+G22+G24</f>
        <v>2339302.5</v>
      </c>
      <c r="H29" s="395">
        <f>G29/D29</f>
        <v>365.51601562500002</v>
      </c>
      <c r="I29" s="380">
        <f t="shared" ref="I29:I30" si="2">H29/H$30</f>
        <v>0.58953909168267393</v>
      </c>
      <c r="J29" s="150" t="str">
        <f t="shared" si="1"/>
        <v>B</v>
      </c>
      <c r="K29" s="321"/>
      <c r="L29" s="37"/>
    </row>
    <row r="30" spans="2:16">
      <c r="B30" s="389"/>
      <c r="C30" s="72" t="s">
        <v>154</v>
      </c>
      <c r="D30" s="70">
        <f>SUM(D28:D29)</f>
        <v>17400</v>
      </c>
      <c r="E30" s="390"/>
      <c r="F30" s="76"/>
      <c r="G30" s="70">
        <f>SUM(G28:G29)</f>
        <v>10788052.5</v>
      </c>
      <c r="H30" s="395">
        <f>G30/D30</f>
        <v>620.00301724137933</v>
      </c>
      <c r="I30" s="380">
        <f t="shared" si="2"/>
        <v>1</v>
      </c>
      <c r="J30" s="150" t="str">
        <f t="shared" ref="J30" si="3">C30</f>
        <v>Total</v>
      </c>
      <c r="K30" s="321"/>
      <c r="L30" s="111"/>
    </row>
    <row r="31" spans="2:16">
      <c r="B31" s="4"/>
      <c r="C31" s="4"/>
      <c r="D31" s="4"/>
      <c r="E31" s="4"/>
      <c r="F31" s="4"/>
      <c r="G31" s="4"/>
      <c r="I31" s="109"/>
    </row>
    <row r="32" spans="2:16" ht="31.2">
      <c r="B32" s="64"/>
      <c r="C32" s="64" t="s">
        <v>95</v>
      </c>
      <c r="D32" s="64" t="s">
        <v>96</v>
      </c>
      <c r="E32" s="64"/>
      <c r="F32" s="392"/>
      <c r="G32" s="69" t="s">
        <v>82</v>
      </c>
      <c r="H32" s="297" t="s">
        <v>194</v>
      </c>
      <c r="I32" s="379" t="s">
        <v>195</v>
      </c>
      <c r="J32" s="150" t="str">
        <f>C32</f>
        <v>Territory</v>
      </c>
    </row>
    <row r="33" spans="1:19">
      <c r="B33" s="386"/>
      <c r="C33" s="387" t="s">
        <v>100</v>
      </c>
      <c r="D33" s="70">
        <f>SUMIF($C$19:$C$24,$C33,D$19:D$24)</f>
        <v>2900</v>
      </c>
      <c r="E33" s="388"/>
      <c r="F33" s="393"/>
      <c r="G33" s="70">
        <f>SUMIF($C$19:$C$24,$C33,G$19:G$24)</f>
        <v>1559610</v>
      </c>
      <c r="H33" s="395">
        <f>G33/D33</f>
        <v>537.79655172413788</v>
      </c>
      <c r="I33" s="380">
        <f>H33/H$36</f>
        <v>0.86740957183884659</v>
      </c>
      <c r="J33" s="150" t="str">
        <f t="shared" ref="J33:J36" si="4">C33</f>
        <v>Rural</v>
      </c>
      <c r="K33" s="321"/>
      <c r="L33" s="37"/>
    </row>
    <row r="34" spans="1:19">
      <c r="B34" s="386"/>
      <c r="C34" s="387" t="s">
        <v>102</v>
      </c>
      <c r="D34" s="70">
        <f t="shared" ref="D34:D35" si="5">SUMIF($C$19:$C$24,$C34,D$19:D$24)</f>
        <v>5600</v>
      </c>
      <c r="E34" s="388"/>
      <c r="F34" s="393"/>
      <c r="G34" s="70">
        <f t="shared" ref="G34:G35" si="6">SUMIF($C$19:$C$24,$C34,G$19:G$24)</f>
        <v>3420000</v>
      </c>
      <c r="H34" s="395">
        <f>G34/D34</f>
        <v>610.71428571428567</v>
      </c>
      <c r="I34" s="380">
        <f t="shared" ref="I34:I36" si="7">H34/H$36</f>
        <v>0.98501824786527226</v>
      </c>
      <c r="J34" s="150" t="str">
        <f t="shared" si="4"/>
        <v>Suburban</v>
      </c>
      <c r="K34" s="321"/>
      <c r="L34" s="37"/>
    </row>
    <row r="35" spans="1:19">
      <c r="B35" s="386"/>
      <c r="C35" s="387" t="s">
        <v>103</v>
      </c>
      <c r="D35" s="70">
        <f t="shared" si="5"/>
        <v>8900</v>
      </c>
      <c r="E35" s="388"/>
      <c r="F35" s="393"/>
      <c r="G35" s="70">
        <f t="shared" si="6"/>
        <v>5808442.5</v>
      </c>
      <c r="H35" s="395">
        <f>G35/D35</f>
        <v>652.63398876404494</v>
      </c>
      <c r="I35" s="380">
        <f t="shared" si="7"/>
        <v>1.0526303431035751</v>
      </c>
      <c r="J35" s="150" t="str">
        <f t="shared" si="4"/>
        <v>Urban</v>
      </c>
      <c r="K35" s="321"/>
      <c r="L35" s="37"/>
    </row>
    <row r="36" spans="1:19">
      <c r="B36" s="4"/>
      <c r="C36" s="72" t="s">
        <v>154</v>
      </c>
      <c r="D36" s="394">
        <f>SUM(D33:D35)</f>
        <v>17400</v>
      </c>
      <c r="E36" s="4"/>
      <c r="F36" s="4"/>
      <c r="G36" s="394">
        <f>SUM(G33:G35)</f>
        <v>10788052.5</v>
      </c>
      <c r="H36" s="395">
        <f>G36/D36</f>
        <v>620.00301724137933</v>
      </c>
      <c r="I36" s="380">
        <f t="shared" si="7"/>
        <v>1</v>
      </c>
      <c r="J36" s="150" t="str">
        <f t="shared" si="4"/>
        <v>Total</v>
      </c>
      <c r="K36" s="321"/>
    </row>
    <row r="38" spans="1:19">
      <c r="A38" s="245" t="s">
        <v>3</v>
      </c>
      <c r="B38" s="513" t="s">
        <v>326</v>
      </c>
      <c r="C38" s="513"/>
      <c r="D38" s="513"/>
      <c r="E38" s="513"/>
      <c r="F38" s="513"/>
      <c r="G38" s="513"/>
      <c r="H38" s="513"/>
      <c r="I38" s="513"/>
      <c r="J38" s="513"/>
      <c r="K38" s="513"/>
      <c r="L38" s="513"/>
      <c r="M38" s="218"/>
    </row>
    <row r="39" spans="1:19" ht="16.2" customHeight="1">
      <c r="A39" s="92"/>
      <c r="B39" s="92" t="s">
        <v>0</v>
      </c>
      <c r="C39" s="92"/>
      <c r="D39" s="193"/>
      <c r="E39" s="193"/>
      <c r="F39" s="36"/>
      <c r="G39" s="36"/>
      <c r="H39" s="36"/>
      <c r="I39" s="36"/>
      <c r="J39" s="36"/>
      <c r="K39" s="36"/>
      <c r="L39" s="36"/>
      <c r="M39" s="218"/>
    </row>
    <row r="40" spans="1:19">
      <c r="A40" s="6"/>
      <c r="B40" s="6"/>
      <c r="C40" s="6"/>
      <c r="D40" s="6"/>
      <c r="E40" s="6"/>
      <c r="F40" s="6"/>
      <c r="G40" s="6"/>
      <c r="H40" s="6"/>
      <c r="I40" s="6"/>
      <c r="J40" s="6"/>
      <c r="K40" s="6"/>
      <c r="L40" s="6"/>
      <c r="M40" s="6"/>
      <c r="N40" s="6"/>
      <c r="O40" s="6"/>
      <c r="P40" s="6"/>
      <c r="Q40" s="6"/>
      <c r="R40" s="6"/>
      <c r="S40" s="6"/>
    </row>
    <row r="41" spans="1:19">
      <c r="A41" s="6"/>
      <c r="B41" s="4" t="s">
        <v>434</v>
      </c>
      <c r="C41" s="6"/>
      <c r="D41" s="6"/>
      <c r="E41" s="6"/>
      <c r="F41" s="6"/>
      <c r="G41" s="6"/>
      <c r="H41" s="4"/>
      <c r="I41" s="6"/>
      <c r="J41" s="6"/>
      <c r="K41" s="6"/>
      <c r="L41" s="6"/>
      <c r="M41" s="6"/>
    </row>
    <row r="42" spans="1:19">
      <c r="A42" s="6"/>
      <c r="B42" s="4" t="s">
        <v>436</v>
      </c>
      <c r="C42" s="6"/>
      <c r="D42" s="6"/>
      <c r="E42" s="6"/>
      <c r="F42" s="6"/>
      <c r="G42" s="6"/>
      <c r="H42" s="6"/>
      <c r="I42" s="6"/>
      <c r="J42" s="6"/>
      <c r="K42" s="6"/>
      <c r="L42" s="6"/>
      <c r="M42" s="6"/>
    </row>
    <row r="43" spans="1:19">
      <c r="A43" s="6"/>
      <c r="B43" s="4" t="s">
        <v>433</v>
      </c>
      <c r="C43" s="6"/>
      <c r="D43" s="6"/>
      <c r="E43" s="6"/>
      <c r="F43" s="6"/>
      <c r="G43" s="6"/>
      <c r="H43" s="6"/>
      <c r="I43" s="6"/>
      <c r="J43" s="6"/>
      <c r="K43" s="6"/>
      <c r="L43" s="6"/>
      <c r="M43" s="6"/>
    </row>
    <row r="44" spans="1:19">
      <c r="A44" s="6"/>
      <c r="H44" s="6"/>
      <c r="M44" s="6"/>
    </row>
    <row r="45" spans="1:19" ht="31.2">
      <c r="A45" s="6"/>
      <c r="B45" s="297" t="s">
        <v>95</v>
      </c>
      <c r="C45" s="154" t="s">
        <v>99</v>
      </c>
      <c r="D45" s="154" t="s">
        <v>101</v>
      </c>
      <c r="E45" s="154" t="s">
        <v>429</v>
      </c>
      <c r="F45" s="383" t="s">
        <v>437</v>
      </c>
      <c r="H45" s="6"/>
      <c r="M45" s="6"/>
    </row>
    <row r="46" spans="1:19">
      <c r="A46" s="6"/>
      <c r="B46" s="297" t="s">
        <v>430</v>
      </c>
      <c r="C46" s="381">
        <f>D19/D28</f>
        <v>0.18181818181818182</v>
      </c>
      <c r="D46" s="381">
        <f>D20/D29</f>
        <v>0.140625</v>
      </c>
      <c r="E46" s="381">
        <f>D33/D36</f>
        <v>0.16666666666666666</v>
      </c>
      <c r="F46" s="381">
        <f>D46/C46-1</f>
        <v>-0.2265625</v>
      </c>
      <c r="G46" s="6"/>
      <c r="H46" s="6"/>
      <c r="M46" s="6"/>
    </row>
    <row r="47" spans="1:19">
      <c r="A47" s="6"/>
      <c r="B47" s="297" t="s">
        <v>431</v>
      </c>
      <c r="C47" s="381">
        <f>D21/D28</f>
        <v>0.32727272727272727</v>
      </c>
      <c r="D47" s="381">
        <f>D22/D29</f>
        <v>0.3125</v>
      </c>
      <c r="E47" s="381">
        <f>D34/D36</f>
        <v>0.32183908045977011</v>
      </c>
      <c r="F47" s="381">
        <f>D47/C47-1</f>
        <v>-4.513888888888884E-2</v>
      </c>
      <c r="G47" s="6"/>
      <c r="H47" s="6"/>
      <c r="M47" s="6"/>
    </row>
    <row r="48" spans="1:19">
      <c r="A48" s="6"/>
      <c r="B48" s="297" t="s">
        <v>432</v>
      </c>
      <c r="C48" s="381">
        <f>1-SUM(C46:C47)</f>
        <v>0.49090909090909096</v>
      </c>
      <c r="D48" s="381">
        <f>1-SUM(D46:D47)</f>
        <v>0.546875</v>
      </c>
      <c r="E48" s="381">
        <f>D35/D36</f>
        <v>0.5114942528735632</v>
      </c>
      <c r="F48" s="381">
        <f>D48/C48-1</f>
        <v>0.11400462962962954</v>
      </c>
      <c r="G48" s="6"/>
      <c r="H48" s="6"/>
      <c r="I48" s="6"/>
      <c r="J48" s="6"/>
      <c r="L48" s="6"/>
      <c r="M48" s="6"/>
    </row>
    <row r="49" spans="1:18">
      <c r="A49" s="6"/>
      <c r="C49" s="382"/>
      <c r="D49" s="382"/>
      <c r="E49" s="382"/>
      <c r="F49" s="6"/>
      <c r="G49" s="6"/>
      <c r="H49" s="6"/>
      <c r="I49" s="6"/>
      <c r="J49" s="6"/>
      <c r="L49" s="6"/>
      <c r="M49" s="6"/>
    </row>
    <row r="50" spans="1:18">
      <c r="A50" s="6"/>
      <c r="B50" s="4" t="s">
        <v>435</v>
      </c>
      <c r="C50" s="382"/>
      <c r="D50" s="382"/>
      <c r="E50" s="382"/>
      <c r="F50" s="6"/>
      <c r="G50" s="6"/>
      <c r="H50" s="6"/>
      <c r="I50" s="6"/>
      <c r="J50" s="6"/>
      <c r="L50" s="6"/>
      <c r="M50" s="6"/>
    </row>
    <row r="51" spans="1:18">
      <c r="A51" s="6"/>
      <c r="C51" s="382"/>
      <c r="D51" s="382"/>
      <c r="E51" s="382"/>
      <c r="F51" s="6"/>
      <c r="G51" s="6"/>
      <c r="H51" s="6"/>
      <c r="I51" s="6"/>
      <c r="J51" s="6"/>
      <c r="L51" s="6"/>
      <c r="M51" s="6"/>
    </row>
    <row r="52" spans="1:18" ht="15.6" customHeight="1">
      <c r="A52" s="245" t="s">
        <v>104</v>
      </c>
      <c r="B52" s="36"/>
      <c r="C52" s="36"/>
      <c r="D52" s="36"/>
      <c r="E52" s="217"/>
      <c r="F52" s="251"/>
      <c r="G52" s="36"/>
      <c r="H52" s="36"/>
      <c r="I52" s="36"/>
      <c r="J52" s="36"/>
      <c r="K52" s="36"/>
      <c r="L52" s="36"/>
      <c r="M52" s="218"/>
    </row>
    <row r="53" spans="1:18" ht="15.6" customHeight="1">
      <c r="A53" s="245"/>
      <c r="B53" s="36"/>
      <c r="C53" s="36"/>
      <c r="D53" s="36"/>
      <c r="E53" s="217"/>
      <c r="F53" s="251"/>
      <c r="G53" s="36"/>
      <c r="H53" s="36"/>
      <c r="I53" s="36"/>
      <c r="J53" s="36"/>
      <c r="K53" s="36"/>
      <c r="L53" s="36"/>
      <c r="M53" s="218"/>
    </row>
    <row r="54" spans="1:18">
      <c r="A54" s="245" t="s">
        <v>16</v>
      </c>
      <c r="B54" s="513" t="s">
        <v>327</v>
      </c>
      <c r="C54" s="513"/>
      <c r="D54" s="513"/>
      <c r="E54" s="513"/>
      <c r="F54" s="513"/>
      <c r="G54" s="513"/>
      <c r="H54" s="513"/>
      <c r="I54" s="513"/>
      <c r="J54" s="513"/>
      <c r="K54" s="513"/>
      <c r="L54" s="513"/>
      <c r="M54" s="218"/>
    </row>
    <row r="55" spans="1:18" ht="16.2">
      <c r="A55" s="92"/>
      <c r="B55" s="92" t="s">
        <v>0</v>
      </c>
      <c r="C55" s="92"/>
      <c r="D55" s="193"/>
      <c r="E55" s="193"/>
      <c r="F55" s="36"/>
      <c r="G55" s="36"/>
      <c r="H55" s="36"/>
      <c r="I55" s="36"/>
      <c r="J55" s="36"/>
      <c r="K55" s="36"/>
      <c r="L55" s="36"/>
      <c r="M55" s="218"/>
    </row>
    <row r="56" spans="1:18">
      <c r="B56" s="1" t="s">
        <v>439</v>
      </c>
    </row>
    <row r="57" spans="1:18">
      <c r="B57" s="391">
        <f>$H$30</f>
        <v>620.00301724137933</v>
      </c>
      <c r="C57" s="4"/>
      <c r="D57" s="4"/>
      <c r="E57" s="4"/>
      <c r="F57" s="4"/>
      <c r="G57" s="4"/>
      <c r="H57" s="4"/>
      <c r="I57" s="4"/>
      <c r="J57" s="4"/>
      <c r="K57" s="4"/>
      <c r="L57" s="4"/>
      <c r="M57" s="4"/>
    </row>
    <row r="58" spans="1:18">
      <c r="B58" s="4"/>
      <c r="C58" s="4"/>
      <c r="D58" s="42" t="s">
        <v>100</v>
      </c>
      <c r="E58" s="42" t="s">
        <v>102</v>
      </c>
      <c r="F58" s="42" t="s">
        <v>103</v>
      </c>
      <c r="G58" s="4"/>
      <c r="J58" s="4"/>
      <c r="K58"/>
      <c r="L58"/>
      <c r="M58"/>
      <c r="N58"/>
      <c r="O58"/>
      <c r="P58"/>
      <c r="Q58"/>
      <c r="R58"/>
    </row>
    <row r="59" spans="1:18">
      <c r="B59" s="4"/>
      <c r="C59" s="141" t="s">
        <v>197</v>
      </c>
      <c r="D59" s="112">
        <f>I33</f>
        <v>0.86740957183884659</v>
      </c>
      <c r="E59" s="112">
        <f>I34</f>
        <v>0.98501824786527226</v>
      </c>
      <c r="F59" s="112">
        <f>I35</f>
        <v>1.0526303431035751</v>
      </c>
      <c r="G59" s="4"/>
      <c r="J59" s="4"/>
      <c r="K59"/>
      <c r="L59"/>
      <c r="M59"/>
      <c r="N59"/>
      <c r="O59"/>
      <c r="P59"/>
      <c r="Q59"/>
      <c r="R59"/>
    </row>
    <row r="60" spans="1:18">
      <c r="D60" s="112"/>
      <c r="E60" s="112"/>
      <c r="F60" s="112"/>
      <c r="K60"/>
      <c r="L60"/>
      <c r="M60"/>
      <c r="N60"/>
      <c r="O60"/>
      <c r="P60"/>
      <c r="Q60"/>
      <c r="R60"/>
    </row>
    <row r="61" spans="1:18">
      <c r="C61" s="1" t="s">
        <v>438</v>
      </c>
      <c r="D61" s="42" t="s">
        <v>100</v>
      </c>
      <c r="E61" s="42" t="s">
        <v>102</v>
      </c>
      <c r="F61" s="42" t="s">
        <v>103</v>
      </c>
      <c r="G61" s="1" t="s">
        <v>154</v>
      </c>
      <c r="K61"/>
      <c r="L61"/>
      <c r="M61"/>
      <c r="N61"/>
      <c r="O61"/>
      <c r="P61"/>
      <c r="Q61"/>
      <c r="R61"/>
    </row>
    <row r="62" spans="1:18">
      <c r="C62" s="18" t="s">
        <v>99</v>
      </c>
      <c r="D62" s="50">
        <f>D8</f>
        <v>2000</v>
      </c>
      <c r="E62" s="50">
        <f>D10</f>
        <v>3600</v>
      </c>
      <c r="F62" s="50">
        <f>D12</f>
        <v>5400</v>
      </c>
      <c r="G62" s="50">
        <f>SUM(D62:F62)</f>
        <v>11000</v>
      </c>
      <c r="K62"/>
      <c r="L62"/>
      <c r="M62"/>
      <c r="N62"/>
      <c r="O62"/>
      <c r="P62"/>
      <c r="Q62"/>
      <c r="R62"/>
    </row>
    <row r="63" spans="1:18">
      <c r="C63" s="18" t="s">
        <v>101</v>
      </c>
      <c r="D63" s="50">
        <f>D9</f>
        <v>900</v>
      </c>
      <c r="E63" s="50">
        <f>D11</f>
        <v>2000</v>
      </c>
      <c r="F63" s="50">
        <f>D13</f>
        <v>3500</v>
      </c>
      <c r="G63" s="50">
        <f>SUM(D63:F63)</f>
        <v>6400</v>
      </c>
      <c r="K63"/>
      <c r="L63"/>
      <c r="M63"/>
      <c r="N63"/>
      <c r="O63"/>
      <c r="P63"/>
      <c r="Q63"/>
      <c r="R63"/>
    </row>
    <row r="64" spans="1:18">
      <c r="C64" s="1" t="s">
        <v>154</v>
      </c>
      <c r="D64" s="50">
        <f>SUM(D62:D63)</f>
        <v>2900</v>
      </c>
      <c r="E64" s="50">
        <f>SUM(E62:E63)</f>
        <v>5600</v>
      </c>
      <c r="F64" s="50">
        <f>SUM(F62:F63)</f>
        <v>8900</v>
      </c>
      <c r="G64" s="50">
        <f>SUM(G62:G63)</f>
        <v>17400</v>
      </c>
      <c r="K64"/>
      <c r="L64"/>
      <c r="M64"/>
      <c r="N64"/>
      <c r="O64"/>
      <c r="P64"/>
      <c r="Q64"/>
      <c r="R64"/>
    </row>
    <row r="65" spans="1:18">
      <c r="K65"/>
      <c r="L65"/>
      <c r="M65"/>
      <c r="N65"/>
      <c r="O65"/>
      <c r="P65"/>
      <c r="Q65"/>
      <c r="R65"/>
    </row>
    <row r="66" spans="1:18">
      <c r="A66" s="4" t="s">
        <v>440</v>
      </c>
      <c r="C66" s="109" t="s">
        <v>198</v>
      </c>
      <c r="K66"/>
      <c r="L66"/>
      <c r="M66"/>
      <c r="N66"/>
      <c r="O66"/>
      <c r="P66"/>
      <c r="Q66"/>
      <c r="R66"/>
    </row>
    <row r="67" spans="1:18">
      <c r="A67" s="18" t="s">
        <v>99</v>
      </c>
      <c r="B67" s="105">
        <f>G28</f>
        <v>8448750</v>
      </c>
      <c r="C67" s="384" t="s">
        <v>99</v>
      </c>
      <c r="D67" s="385">
        <f>B67/(SUMPRODUCT($D$59:$F$59,D62:F62)*$B$57)</f>
        <v>1.2427578289639787</v>
      </c>
      <c r="K67"/>
      <c r="L67"/>
      <c r="M67"/>
      <c r="N67"/>
      <c r="O67"/>
      <c r="P67"/>
      <c r="Q67"/>
      <c r="R67"/>
    </row>
    <row r="68" spans="1:18">
      <c r="A68" s="18" t="s">
        <v>101</v>
      </c>
      <c r="B68" s="105">
        <f>G29</f>
        <v>2339302.5</v>
      </c>
      <c r="C68" s="384" t="s">
        <v>101</v>
      </c>
      <c r="D68" s="385">
        <f>B68/(SUMPRODUCT($D$59:$F$59,D63:F63)*$B$57)</f>
        <v>0.58634066644771654</v>
      </c>
      <c r="K68"/>
      <c r="L68"/>
      <c r="M68"/>
      <c r="N68"/>
      <c r="O68"/>
      <c r="P68"/>
      <c r="Q68"/>
      <c r="R68"/>
    </row>
    <row r="69" spans="1:18">
      <c r="B69" s="105">
        <f>G30</f>
        <v>10788052.5</v>
      </c>
      <c r="K69"/>
      <c r="L69"/>
      <c r="M69"/>
      <c r="N69"/>
      <c r="O69"/>
      <c r="P69"/>
      <c r="Q69"/>
      <c r="R69"/>
    </row>
    <row r="70" spans="1:18">
      <c r="K70"/>
      <c r="L70"/>
      <c r="M70"/>
      <c r="N70"/>
      <c r="O70"/>
      <c r="P70"/>
      <c r="Q70"/>
      <c r="R70"/>
    </row>
    <row r="71" spans="1:18">
      <c r="K71"/>
      <c r="L71"/>
      <c r="M71"/>
      <c r="N71"/>
      <c r="O71"/>
      <c r="P71"/>
      <c r="Q71"/>
      <c r="R71"/>
    </row>
    <row r="72" spans="1:18">
      <c r="K72"/>
      <c r="L72"/>
      <c r="M72"/>
      <c r="N72"/>
      <c r="O72"/>
      <c r="P72"/>
      <c r="Q72"/>
      <c r="R72"/>
    </row>
    <row r="73" spans="1:18">
      <c r="K73"/>
      <c r="L73"/>
      <c r="M73"/>
      <c r="N73"/>
      <c r="O73"/>
      <c r="P73"/>
      <c r="Q73"/>
      <c r="R73"/>
    </row>
  </sheetData>
  <mergeCells count="4">
    <mergeCell ref="B54:L54"/>
    <mergeCell ref="A3:M3"/>
    <mergeCell ref="B15:L15"/>
    <mergeCell ref="B38:L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O99"/>
  <sheetViews>
    <sheetView zoomScale="110" zoomScaleNormal="110" workbookViewId="0"/>
  </sheetViews>
  <sheetFormatPr defaultColWidth="8.77734375" defaultRowHeight="15.6"/>
  <cols>
    <col min="1" max="1" width="8.77734375" style="1" customWidth="1"/>
    <col min="2" max="13" width="15.77734375" style="1" customWidth="1"/>
    <col min="14" max="15" width="8.77734375" style="1" customWidth="1"/>
    <col min="16" max="16" width="10.77734375" style="1" customWidth="1"/>
    <col min="17" max="18" width="10.21875" style="1" customWidth="1"/>
    <col min="19" max="16384" width="8.77734375" style="1"/>
  </cols>
  <sheetData>
    <row r="1" spans="1:15" ht="18" customHeight="1">
      <c r="A1" s="234" t="s">
        <v>13</v>
      </c>
      <c r="B1" s="101"/>
      <c r="C1" s="92" t="s">
        <v>6</v>
      </c>
      <c r="D1" s="36"/>
      <c r="E1" s="36"/>
      <c r="F1" s="36"/>
      <c r="G1" s="36"/>
      <c r="H1" s="36"/>
      <c r="I1" s="36"/>
      <c r="J1" s="36"/>
      <c r="K1" s="36"/>
      <c r="L1" s="36"/>
      <c r="M1" s="36"/>
    </row>
    <row r="2" spans="1:15">
      <c r="A2" s="36"/>
      <c r="B2" s="36"/>
      <c r="C2" s="36"/>
      <c r="D2" s="36"/>
      <c r="E2" s="36"/>
      <c r="F2" s="36"/>
      <c r="G2" s="36"/>
      <c r="H2" s="36"/>
      <c r="I2" s="36"/>
      <c r="J2" s="36"/>
      <c r="K2" s="36"/>
      <c r="L2" s="36"/>
      <c r="M2" s="36"/>
      <c r="N2"/>
      <c r="O2"/>
    </row>
    <row r="3" spans="1:15" ht="17.7" customHeight="1">
      <c r="A3" s="514" t="s">
        <v>329</v>
      </c>
      <c r="B3" s="514"/>
      <c r="C3" s="514"/>
      <c r="D3" s="514"/>
      <c r="E3" s="514"/>
      <c r="F3" s="514"/>
      <c r="G3" s="514"/>
      <c r="H3" s="514"/>
      <c r="I3" s="514"/>
      <c r="J3" s="514"/>
      <c r="K3" s="514"/>
      <c r="L3" s="514"/>
      <c r="M3" s="514"/>
      <c r="N3"/>
      <c r="O3"/>
    </row>
    <row r="4" spans="1:15" ht="17.7" customHeight="1">
      <c r="A4" s="222"/>
      <c r="B4" s="222"/>
      <c r="C4" s="222"/>
      <c r="D4" s="222"/>
      <c r="E4" s="222"/>
      <c r="F4" s="222"/>
      <c r="G4" s="222"/>
      <c r="H4" s="222"/>
      <c r="I4" s="222"/>
      <c r="J4" s="222"/>
      <c r="K4" s="222"/>
      <c r="L4" s="222"/>
      <c r="M4" s="222"/>
      <c r="N4"/>
      <c r="O4"/>
    </row>
    <row r="5" spans="1:15" ht="17.7" customHeight="1">
      <c r="A5" s="245" t="s">
        <v>2</v>
      </c>
      <c r="B5" s="513" t="s">
        <v>330</v>
      </c>
      <c r="C5" s="513"/>
      <c r="D5" s="513"/>
      <c r="E5" s="513"/>
      <c r="F5" s="513"/>
      <c r="G5" s="513"/>
      <c r="H5" s="513"/>
      <c r="I5" s="513"/>
      <c r="J5" s="513"/>
      <c r="K5" s="513"/>
      <c r="L5" s="513"/>
      <c r="M5" s="218"/>
      <c r="N5"/>
      <c r="O5"/>
    </row>
    <row r="6" spans="1:15" ht="16.2">
      <c r="A6" s="92"/>
      <c r="B6" s="92" t="s">
        <v>0</v>
      </c>
      <c r="C6" s="92"/>
      <c r="D6" s="193"/>
      <c r="E6" s="193"/>
      <c r="F6" s="36"/>
      <c r="G6" s="36"/>
      <c r="H6" s="36"/>
      <c r="I6" s="36"/>
      <c r="J6" s="36"/>
      <c r="K6" s="36"/>
      <c r="L6" s="36"/>
      <c r="M6" s="218"/>
      <c r="N6"/>
      <c r="O6"/>
    </row>
    <row r="7" spans="1:15" ht="16.2">
      <c r="A7" s="113"/>
      <c r="B7" s="113"/>
      <c r="C7" s="113"/>
      <c r="D7" s="114"/>
      <c r="E7" s="114"/>
      <c r="F7" s="6"/>
      <c r="G7" s="6"/>
      <c r="H7" s="6"/>
      <c r="I7" s="6"/>
      <c r="J7" s="6"/>
      <c r="K7" s="6"/>
      <c r="L7" s="6"/>
      <c r="M7" s="6"/>
      <c r="N7"/>
      <c r="O7"/>
    </row>
    <row r="8" spans="1:15" ht="16.2">
      <c r="A8" s="113"/>
      <c r="B8" s="4" t="s">
        <v>199</v>
      </c>
      <c r="C8" s="113"/>
      <c r="D8" s="114"/>
      <c r="E8" s="114"/>
      <c r="F8" s="6"/>
      <c r="G8" s="6"/>
      <c r="H8" s="6"/>
      <c r="I8" s="6"/>
      <c r="J8" s="6"/>
      <c r="K8" s="6"/>
      <c r="L8" s="6"/>
      <c r="M8" s="6"/>
      <c r="N8"/>
      <c r="O8"/>
    </row>
    <row r="9" spans="1:15" ht="16.2">
      <c r="A9" s="113"/>
      <c r="B9" s="4" t="s">
        <v>328</v>
      </c>
      <c r="C9" s="113"/>
      <c r="D9" s="114"/>
      <c r="E9" s="114"/>
      <c r="F9" s="6"/>
      <c r="G9" s="6"/>
      <c r="H9" s="6"/>
      <c r="I9" s="6"/>
      <c r="J9" s="6"/>
      <c r="K9" s="6"/>
      <c r="L9" s="6"/>
      <c r="M9" s="6"/>
      <c r="N9"/>
      <c r="O9"/>
    </row>
    <row r="10" spans="1:15" ht="16.2">
      <c r="A10" s="113"/>
      <c r="B10" s="113"/>
      <c r="C10" s="113"/>
      <c r="D10" s="114"/>
      <c r="E10" s="114"/>
      <c r="F10" s="6"/>
      <c r="G10" s="6"/>
      <c r="H10" s="6"/>
      <c r="I10" s="6"/>
      <c r="J10" s="6"/>
      <c r="K10" s="6"/>
      <c r="L10" s="6"/>
      <c r="M10" s="6"/>
      <c r="N10"/>
      <c r="O10"/>
    </row>
    <row r="11" spans="1:15" ht="16.2">
      <c r="A11" s="22" t="s">
        <v>105</v>
      </c>
      <c r="B11" s="38"/>
      <c r="C11" s="38"/>
      <c r="D11" s="38"/>
      <c r="E11" s="38"/>
      <c r="F11" s="38"/>
      <c r="G11" s="38"/>
      <c r="H11" s="53"/>
      <c r="I11" s="53"/>
      <c r="J11" s="54"/>
      <c r="K11" s="54"/>
      <c r="L11" s="54"/>
      <c r="M11" s="127"/>
      <c r="N11"/>
      <c r="O11"/>
    </row>
    <row r="12" spans="1:15" ht="16.2">
      <c r="A12" s="41"/>
      <c r="B12" s="38"/>
      <c r="C12" s="38"/>
      <c r="D12" s="38"/>
      <c r="E12" s="38"/>
      <c r="F12" s="38"/>
      <c r="G12" s="38"/>
      <c r="H12" s="53"/>
      <c r="I12" s="53"/>
      <c r="J12" s="54"/>
      <c r="K12" s="54"/>
      <c r="L12" s="54"/>
      <c r="M12" s="127"/>
      <c r="N12"/>
      <c r="O12"/>
    </row>
    <row r="13" spans="1:15" ht="17.55" customHeight="1">
      <c r="A13" s="41"/>
      <c r="B13" s="515" t="s">
        <v>331</v>
      </c>
      <c r="C13" s="518" t="s">
        <v>106</v>
      </c>
      <c r="D13" s="519"/>
      <c r="E13" s="520"/>
      <c r="F13" s="38"/>
      <c r="G13" s="38"/>
      <c r="H13" s="53"/>
      <c r="I13" s="53"/>
      <c r="J13" s="54"/>
      <c r="K13" s="54"/>
      <c r="L13" s="54"/>
      <c r="M13" s="127"/>
      <c r="N13"/>
      <c r="O13"/>
    </row>
    <row r="14" spans="1:15" ht="31.8" customHeight="1">
      <c r="A14" s="41"/>
      <c r="B14" s="516"/>
      <c r="C14" s="24" t="s">
        <v>107</v>
      </c>
      <c r="D14" s="24" t="s">
        <v>108</v>
      </c>
      <c r="E14" s="24" t="s">
        <v>109</v>
      </c>
      <c r="F14" s="38"/>
      <c r="G14" s="38"/>
      <c r="H14" s="53"/>
      <c r="I14" s="53"/>
      <c r="J14" s="54"/>
      <c r="K14" s="54"/>
      <c r="L14" s="54"/>
      <c r="M14" s="127"/>
      <c r="N14"/>
      <c r="O14"/>
    </row>
    <row r="15" spans="1:15" ht="16.2">
      <c r="A15" s="41"/>
      <c r="B15" s="252">
        <v>2019</v>
      </c>
      <c r="C15" s="252">
        <v>1.5</v>
      </c>
      <c r="D15" s="252">
        <v>0.3</v>
      </c>
      <c r="E15" s="252">
        <v>0.9</v>
      </c>
      <c r="F15" s="38"/>
      <c r="G15" s="38"/>
      <c r="H15" s="53"/>
      <c r="I15" s="53"/>
      <c r="J15" s="54"/>
      <c r="K15" s="54"/>
      <c r="L15" s="54"/>
      <c r="M15" s="127"/>
      <c r="N15"/>
      <c r="O15"/>
    </row>
    <row r="16" spans="1:15" ht="16.2">
      <c r="A16" s="41"/>
      <c r="B16" s="252">
        <v>2020</v>
      </c>
      <c r="C16" s="252">
        <v>1.4</v>
      </c>
      <c r="D16" s="252">
        <v>0</v>
      </c>
      <c r="E16" s="252">
        <v>1</v>
      </c>
      <c r="F16" s="38"/>
      <c r="G16" s="38"/>
      <c r="H16" s="53"/>
      <c r="I16" s="53"/>
      <c r="J16" s="54"/>
      <c r="K16" s="54"/>
      <c r="L16" s="54"/>
      <c r="M16" s="127"/>
      <c r="N16"/>
      <c r="O16"/>
    </row>
    <row r="17" spans="1:15" ht="16.2">
      <c r="A17" s="41"/>
      <c r="B17" s="252">
        <v>2021</v>
      </c>
      <c r="C17" s="252">
        <v>1.2</v>
      </c>
      <c r="D17" s="252">
        <v>0</v>
      </c>
      <c r="E17" s="252">
        <v>1.1000000000000001</v>
      </c>
      <c r="F17" s="38"/>
      <c r="G17" s="38"/>
      <c r="H17" s="53"/>
      <c r="I17" s="53"/>
      <c r="J17" s="54"/>
      <c r="K17" s="54"/>
      <c r="L17" s="54"/>
      <c r="M17" s="127"/>
      <c r="N17"/>
      <c r="O17"/>
    </row>
    <row r="18" spans="1:15" ht="16.2">
      <c r="A18" s="41"/>
      <c r="B18" s="252">
        <v>2022</v>
      </c>
      <c r="C18" s="252">
        <v>1.1000000000000001</v>
      </c>
      <c r="D18" s="252">
        <v>7</v>
      </c>
      <c r="E18" s="252">
        <v>1.3</v>
      </c>
      <c r="F18" s="38"/>
      <c r="G18" s="38"/>
      <c r="H18" s="53"/>
      <c r="I18" s="53"/>
      <c r="J18" s="54"/>
      <c r="K18" s="54"/>
      <c r="L18" s="54"/>
      <c r="M18" s="127"/>
      <c r="N18"/>
      <c r="O18"/>
    </row>
    <row r="19" spans="1:15" ht="16.2">
      <c r="A19" s="41"/>
      <c r="B19" s="252">
        <v>2023</v>
      </c>
      <c r="C19" s="252">
        <v>1.2</v>
      </c>
      <c r="D19" s="252">
        <v>0</v>
      </c>
      <c r="E19" s="252">
        <v>1.5</v>
      </c>
      <c r="F19" s="38"/>
      <c r="G19" s="38"/>
      <c r="H19" s="53"/>
      <c r="I19" s="53"/>
      <c r="J19" s="54"/>
      <c r="K19" s="54"/>
      <c r="L19" s="54"/>
      <c r="M19" s="127"/>
      <c r="N19"/>
      <c r="O19"/>
    </row>
    <row r="20" spans="1:15" ht="16.2">
      <c r="A20" s="41"/>
      <c r="B20" s="252">
        <v>2024</v>
      </c>
      <c r="C20" s="252">
        <v>0.9</v>
      </c>
      <c r="D20" s="252">
        <v>0</v>
      </c>
      <c r="E20" s="252">
        <v>1.5</v>
      </c>
      <c r="F20" s="38"/>
      <c r="G20" s="38"/>
      <c r="H20" s="53"/>
      <c r="I20" s="53"/>
      <c r="J20" s="54"/>
      <c r="K20" s="54"/>
      <c r="L20" s="54"/>
      <c r="M20" s="127"/>
      <c r="N20"/>
      <c r="O20"/>
    </row>
    <row r="21" spans="1:15" ht="16.2">
      <c r="A21" s="41"/>
      <c r="B21" s="38"/>
      <c r="C21" s="38"/>
      <c r="D21" s="38"/>
      <c r="E21" s="38"/>
      <c r="F21" s="38"/>
      <c r="G21" s="38"/>
      <c r="H21" s="53"/>
      <c r="I21" s="53"/>
      <c r="J21" s="54"/>
      <c r="K21" s="54"/>
      <c r="L21" s="54"/>
      <c r="M21" s="127"/>
      <c r="N21"/>
      <c r="O21"/>
    </row>
    <row r="22" spans="1:15" ht="16.2">
      <c r="A22" s="253" t="s">
        <v>332</v>
      </c>
      <c r="B22" s="38"/>
      <c r="C22" s="38"/>
      <c r="D22" s="38"/>
      <c r="E22" s="38"/>
      <c r="F22" s="38"/>
      <c r="G22" s="38"/>
      <c r="H22" s="53"/>
      <c r="I22" s="53"/>
      <c r="J22" s="54"/>
      <c r="K22" s="54"/>
      <c r="L22" s="54"/>
      <c r="M22" s="127"/>
      <c r="N22"/>
      <c r="O22"/>
    </row>
    <row r="23" spans="1:15" ht="16.2">
      <c r="A23" s="253" t="s">
        <v>333</v>
      </c>
      <c r="B23" s="38"/>
      <c r="C23" s="38"/>
      <c r="D23" s="38"/>
      <c r="E23" s="38"/>
      <c r="F23" s="38"/>
      <c r="G23" s="38"/>
      <c r="H23" s="53"/>
      <c r="I23" s="53"/>
      <c r="J23" s="54"/>
      <c r="K23" s="54"/>
      <c r="L23" s="54"/>
      <c r="M23" s="127"/>
      <c r="N23"/>
      <c r="O23"/>
    </row>
    <row r="24" spans="1:15" ht="16.2">
      <c r="A24" s="253" t="s">
        <v>334</v>
      </c>
      <c r="B24" s="38"/>
      <c r="C24" s="38"/>
      <c r="D24" s="38"/>
      <c r="E24" s="38"/>
      <c r="F24" s="38"/>
      <c r="G24" s="38"/>
      <c r="H24" s="53"/>
      <c r="I24" s="53"/>
      <c r="J24" s="54"/>
      <c r="K24" s="54"/>
      <c r="L24" s="54"/>
      <c r="M24" s="127"/>
      <c r="N24"/>
      <c r="O24"/>
    </row>
    <row r="25" spans="1:15" ht="16.2">
      <c r="A25" s="253" t="s">
        <v>335</v>
      </c>
      <c r="B25" s="38"/>
      <c r="C25" s="38"/>
      <c r="D25" s="38"/>
      <c r="E25" s="38"/>
      <c r="F25" s="38"/>
      <c r="G25" s="38"/>
      <c r="H25" s="53"/>
      <c r="I25" s="53"/>
      <c r="J25" s="54"/>
      <c r="K25" s="54"/>
      <c r="L25" s="54"/>
      <c r="M25" s="127"/>
      <c r="N25"/>
      <c r="O25"/>
    </row>
    <row r="26" spans="1:15" ht="16.2">
      <c r="A26" s="253" t="s">
        <v>336</v>
      </c>
      <c r="B26" s="38"/>
      <c r="C26" s="38"/>
      <c r="D26" s="38"/>
      <c r="E26" s="38"/>
      <c r="F26" s="38"/>
      <c r="G26" s="38"/>
      <c r="H26" s="53"/>
      <c r="I26" s="53"/>
      <c r="J26" s="54"/>
      <c r="K26" s="54"/>
      <c r="L26" s="54"/>
      <c r="M26" s="127"/>
      <c r="N26"/>
      <c r="O26"/>
    </row>
    <row r="27" spans="1:15" ht="16.2">
      <c r="A27" s="41"/>
      <c r="B27" s="38"/>
      <c r="C27" s="38"/>
      <c r="D27" s="38"/>
      <c r="E27" s="38"/>
      <c r="F27" s="38"/>
      <c r="G27" s="38"/>
      <c r="H27" s="53"/>
      <c r="I27" s="53"/>
      <c r="J27" s="54"/>
      <c r="K27" s="54"/>
      <c r="L27" s="54"/>
      <c r="M27" s="127"/>
      <c r="N27"/>
      <c r="O27"/>
    </row>
    <row r="28" spans="1:15">
      <c r="A28" s="170" t="s">
        <v>3</v>
      </c>
      <c r="B28" s="41" t="s">
        <v>337</v>
      </c>
      <c r="C28" s="5"/>
      <c r="D28" s="5"/>
      <c r="E28" s="5"/>
      <c r="F28" s="5"/>
      <c r="G28" s="5"/>
      <c r="H28" s="5"/>
      <c r="I28" s="5"/>
      <c r="J28" s="5"/>
      <c r="K28" s="5"/>
      <c r="L28" s="5"/>
      <c r="M28" s="13"/>
      <c r="N28"/>
      <c r="O28"/>
    </row>
    <row r="29" spans="1:15" ht="16.2">
      <c r="A29" s="10"/>
      <c r="B29" s="10" t="s">
        <v>0</v>
      </c>
      <c r="C29" s="10"/>
      <c r="D29" s="11"/>
      <c r="E29" s="11"/>
      <c r="F29" s="5"/>
      <c r="G29" s="5"/>
      <c r="H29" s="5"/>
      <c r="I29" s="5"/>
      <c r="J29" s="5"/>
      <c r="K29" s="5"/>
      <c r="L29" s="5"/>
      <c r="M29" s="13"/>
      <c r="N29"/>
      <c r="O29"/>
    </row>
    <row r="30" spans="1:15">
      <c r="N30"/>
      <c r="O30"/>
    </row>
    <row r="31" spans="1:15">
      <c r="B31" s="508" t="s">
        <v>18</v>
      </c>
      <c r="C31" s="254" t="s">
        <v>106</v>
      </c>
      <c r="D31" s="254"/>
      <c r="E31" s="254"/>
      <c r="N31"/>
      <c r="O31"/>
    </row>
    <row r="32" spans="1:15">
      <c r="B32" s="508"/>
      <c r="C32" s="230" t="s">
        <v>107</v>
      </c>
      <c r="D32" s="230" t="s">
        <v>108</v>
      </c>
      <c r="E32" s="230" t="s">
        <v>109</v>
      </c>
      <c r="N32"/>
      <c r="O32"/>
    </row>
    <row r="33" spans="2:15">
      <c r="B33" s="255">
        <v>2019</v>
      </c>
      <c r="C33" s="256">
        <v>1.5</v>
      </c>
      <c r="D33" s="256">
        <v>0.3</v>
      </c>
      <c r="E33" s="256">
        <v>0.9</v>
      </c>
      <c r="N33"/>
      <c r="O33"/>
    </row>
    <row r="34" spans="2:15">
      <c r="B34" s="255">
        <v>2020</v>
      </c>
      <c r="C34" s="256">
        <v>1.4</v>
      </c>
      <c r="D34" s="256">
        <v>0</v>
      </c>
      <c r="E34" s="256">
        <v>1</v>
      </c>
      <c r="N34"/>
      <c r="O34"/>
    </row>
    <row r="35" spans="2:15">
      <c r="B35" s="255">
        <v>2021</v>
      </c>
      <c r="C35" s="256">
        <v>1.2</v>
      </c>
      <c r="D35" s="256">
        <v>0</v>
      </c>
      <c r="E35" s="256">
        <v>1.1000000000000001</v>
      </c>
      <c r="N35"/>
      <c r="O35"/>
    </row>
    <row r="36" spans="2:15">
      <c r="B36" s="255">
        <v>2022</v>
      </c>
      <c r="C36" s="256">
        <v>1.1000000000000001</v>
      </c>
      <c r="D36" s="256">
        <v>7</v>
      </c>
      <c r="E36" s="256">
        <v>1.3</v>
      </c>
      <c r="N36"/>
      <c r="O36"/>
    </row>
    <row r="37" spans="2:15">
      <c r="B37" s="255">
        <v>2023</v>
      </c>
      <c r="C37" s="256">
        <v>1.2</v>
      </c>
      <c r="D37" s="256">
        <v>0</v>
      </c>
      <c r="E37" s="256">
        <v>1.5</v>
      </c>
      <c r="N37"/>
      <c r="O37"/>
    </row>
    <row r="38" spans="2:15">
      <c r="B38" s="255">
        <v>2024</v>
      </c>
      <c r="C38" s="256">
        <v>0.9</v>
      </c>
      <c r="D38" s="256">
        <v>0</v>
      </c>
      <c r="E38" s="256">
        <v>1.5</v>
      </c>
      <c r="N38"/>
      <c r="O38"/>
    </row>
    <row r="39" spans="2:15">
      <c r="B39" s="297" t="s">
        <v>154</v>
      </c>
      <c r="C39" s="298">
        <f>SUM(C33:C38)</f>
        <v>7.3</v>
      </c>
      <c r="D39" s="298">
        <f>SUM(D33:D38)</f>
        <v>7.3</v>
      </c>
      <c r="E39" s="298">
        <f>SUM(E33:E38)</f>
        <v>7.3</v>
      </c>
      <c r="N39"/>
      <c r="O39"/>
    </row>
    <row r="40" spans="2:15">
      <c r="B40" s="297" t="s">
        <v>200</v>
      </c>
      <c r="C40" s="298">
        <f>AVERAGE(C33:C38)</f>
        <v>1.2166666666666666</v>
      </c>
      <c r="D40" s="298">
        <f t="shared" ref="D40:E40" si="0">AVERAGE(D33:D38)</f>
        <v>1.2166666666666666</v>
      </c>
      <c r="E40" s="298">
        <f t="shared" si="0"/>
        <v>1.2166666666666666</v>
      </c>
      <c r="N40"/>
      <c r="O40"/>
    </row>
    <row r="41" spans="2:15">
      <c r="B41" s="297" t="s">
        <v>388</v>
      </c>
      <c r="C41" s="300">
        <f>_xlfn.STDEV.P(C33:C38)/C40</f>
        <v>0.16033835494136542</v>
      </c>
      <c r="D41" s="300">
        <f>_xlfn.STDEV.P(D33:D38)/D40</f>
        <v>2.1277019954806944</v>
      </c>
      <c r="E41" s="300">
        <f>_xlfn.STDEV.P(E33:E38)/E40</f>
        <v>0.19226943626874277</v>
      </c>
      <c r="N41"/>
      <c r="O41"/>
    </row>
    <row r="42" spans="2:15">
      <c r="B42" s="297" t="s">
        <v>201</v>
      </c>
      <c r="C42" s="298">
        <f>MIN(C33:C38)</f>
        <v>0.9</v>
      </c>
      <c r="D42" s="298">
        <f>MIN(D33:D38)</f>
        <v>0</v>
      </c>
      <c r="E42" s="298">
        <f>MIN(E33:E38)</f>
        <v>0.9</v>
      </c>
      <c r="N42"/>
      <c r="O42"/>
    </row>
    <row r="43" spans="2:15">
      <c r="B43" s="297" t="s">
        <v>202</v>
      </c>
      <c r="C43" s="298">
        <f>MAX(C33:C38)</f>
        <v>1.5</v>
      </c>
      <c r="D43" s="298">
        <f>MAX(D33:D38)</f>
        <v>7</v>
      </c>
      <c r="E43" s="298">
        <f>MAX(E33:E38)</f>
        <v>1.5</v>
      </c>
      <c r="N43"/>
      <c r="O43"/>
    </row>
    <row r="44" spans="2:15">
      <c r="B44" s="297" t="s">
        <v>203</v>
      </c>
      <c r="C44" s="299">
        <f>C42/C40</f>
        <v>0.73972602739726034</v>
      </c>
      <c r="D44" s="299">
        <f t="shared" ref="D44:E44" si="1">D42/D40</f>
        <v>0</v>
      </c>
      <c r="E44" s="299">
        <f t="shared" si="1"/>
        <v>0.73972602739726034</v>
      </c>
      <c r="N44"/>
      <c r="O44"/>
    </row>
    <row r="45" spans="2:15">
      <c r="B45" s="297" t="s">
        <v>204</v>
      </c>
      <c r="C45" s="299">
        <f>C43/C40</f>
        <v>1.2328767123287672</v>
      </c>
      <c r="D45" s="299">
        <f t="shared" ref="D45:E45" si="2">D43/D40</f>
        <v>5.7534246575342474</v>
      </c>
      <c r="E45" s="299">
        <f t="shared" si="2"/>
        <v>1.2328767123287672</v>
      </c>
      <c r="N45"/>
      <c r="O45"/>
    </row>
    <row r="46" spans="2:15">
      <c r="C46" s="107"/>
      <c r="D46" s="107"/>
      <c r="E46" s="107"/>
      <c r="N46"/>
      <c r="O46"/>
    </row>
    <row r="47" spans="2:15">
      <c r="B47" s="1" t="s">
        <v>441</v>
      </c>
      <c r="C47" s="107"/>
      <c r="D47" s="107"/>
      <c r="E47" s="107"/>
      <c r="N47"/>
      <c r="O47"/>
    </row>
    <row r="48" spans="2:15">
      <c r="B48" s="1" t="s">
        <v>444</v>
      </c>
      <c r="C48" s="107"/>
      <c r="D48" s="107"/>
      <c r="E48" s="107"/>
      <c r="N48"/>
      <c r="O48"/>
    </row>
    <row r="49" spans="1:15">
      <c r="B49" s="1" t="s">
        <v>442</v>
      </c>
      <c r="C49" s="107"/>
      <c r="D49" s="107"/>
      <c r="E49" s="107"/>
      <c r="N49"/>
      <c r="O49"/>
    </row>
    <row r="50" spans="1:15">
      <c r="B50" s="1" t="s">
        <v>443</v>
      </c>
      <c r="C50" s="107"/>
      <c r="D50" s="107"/>
      <c r="E50" s="107"/>
      <c r="N50"/>
      <c r="O50"/>
    </row>
    <row r="51" spans="1:15">
      <c r="C51" s="107"/>
      <c r="D51" s="107"/>
      <c r="E51" s="107"/>
      <c r="N51"/>
      <c r="O51"/>
    </row>
    <row r="52" spans="1:15" ht="16.2">
      <c r="A52" s="82" t="s">
        <v>347</v>
      </c>
      <c r="B52" s="36"/>
      <c r="C52" s="36"/>
      <c r="D52" s="36"/>
      <c r="E52" s="36"/>
      <c r="F52" s="36"/>
      <c r="G52" s="36"/>
      <c r="H52" s="92"/>
      <c r="I52" s="92"/>
      <c r="J52" s="193"/>
      <c r="K52" s="193"/>
      <c r="L52" s="193"/>
      <c r="M52" s="218"/>
      <c r="N52"/>
      <c r="O52"/>
    </row>
    <row r="53" spans="1:15" ht="16.2">
      <c r="A53" s="82" t="s">
        <v>346</v>
      </c>
      <c r="B53" s="36"/>
      <c r="C53" s="36"/>
      <c r="D53" s="36"/>
      <c r="E53" s="36"/>
      <c r="F53" s="36"/>
      <c r="G53" s="36"/>
      <c r="H53" s="92"/>
      <c r="I53" s="92"/>
      <c r="J53" s="193"/>
      <c r="K53" s="193"/>
      <c r="L53" s="193"/>
      <c r="M53" s="218"/>
      <c r="N53"/>
      <c r="O53"/>
    </row>
    <row r="54" spans="1:15" ht="16.2">
      <c r="A54" s="257" t="s">
        <v>343</v>
      </c>
      <c r="B54" s="36"/>
      <c r="C54" s="36"/>
      <c r="D54" s="36"/>
      <c r="E54" s="36"/>
      <c r="F54" s="36"/>
      <c r="G54" s="36"/>
      <c r="H54" s="92"/>
      <c r="I54" s="92"/>
      <c r="J54" s="193"/>
      <c r="K54" s="258" t="s">
        <v>338</v>
      </c>
      <c r="L54" s="258">
        <v>1.75</v>
      </c>
      <c r="M54" s="215" t="s">
        <v>292</v>
      </c>
      <c r="N54"/>
      <c r="O54"/>
    </row>
    <row r="55" spans="1:15" ht="16.2">
      <c r="A55" s="257" t="s">
        <v>344</v>
      </c>
      <c r="B55" s="36"/>
      <c r="C55" s="36"/>
      <c r="D55" s="36"/>
      <c r="E55" s="36"/>
      <c r="F55" s="36"/>
      <c r="G55" s="36"/>
      <c r="H55" s="92"/>
      <c r="I55" s="92"/>
      <c r="J55" s="193"/>
      <c r="K55" s="193"/>
      <c r="L55" s="259"/>
      <c r="M55" s="218"/>
      <c r="N55"/>
      <c r="O55"/>
    </row>
    <row r="56" spans="1:15" ht="16.2">
      <c r="A56" s="245"/>
      <c r="B56" s="36"/>
      <c r="C56" s="36"/>
      <c r="D56" s="36"/>
      <c r="E56" s="36"/>
      <c r="F56" s="36"/>
      <c r="G56" s="36"/>
      <c r="H56" s="92"/>
      <c r="I56" s="92"/>
      <c r="J56" s="193"/>
      <c r="K56" s="258" t="s">
        <v>339</v>
      </c>
      <c r="L56" s="260">
        <v>0.35</v>
      </c>
      <c r="M56" s="215" t="s">
        <v>292</v>
      </c>
      <c r="N56"/>
      <c r="O56"/>
    </row>
    <row r="57" spans="1:15">
      <c r="A57" s="217" t="s">
        <v>16</v>
      </c>
      <c r="B57" s="245" t="s">
        <v>345</v>
      </c>
      <c r="C57" s="36"/>
      <c r="D57" s="36"/>
      <c r="E57" s="36"/>
      <c r="F57" s="36"/>
      <c r="G57" s="36"/>
      <c r="H57" s="36"/>
      <c r="I57" s="36"/>
      <c r="J57" s="36"/>
      <c r="K57" s="258" t="s">
        <v>340</v>
      </c>
      <c r="L57" s="261">
        <v>1.2</v>
      </c>
      <c r="M57" s="215" t="s">
        <v>341</v>
      </c>
      <c r="N57"/>
      <c r="O57"/>
    </row>
    <row r="58" spans="1:15" ht="16.2">
      <c r="A58" s="92"/>
      <c r="B58" s="92" t="s">
        <v>0</v>
      </c>
      <c r="C58" s="92"/>
      <c r="D58" s="193"/>
      <c r="E58" s="193"/>
      <c r="F58" s="36"/>
      <c r="G58" s="36"/>
      <c r="H58" s="36"/>
      <c r="I58" s="36"/>
      <c r="J58" s="36"/>
      <c r="K58" s="258" t="s">
        <v>342</v>
      </c>
      <c r="L58" s="260">
        <v>3.75</v>
      </c>
      <c r="M58" s="215" t="s">
        <v>292</v>
      </c>
      <c r="N58"/>
      <c r="O58"/>
    </row>
    <row r="59" spans="1:15">
      <c r="A59" s="55"/>
      <c r="B59" s="55"/>
      <c r="C59" s="55"/>
      <c r="D59" s="55"/>
      <c r="E59" s="55"/>
      <c r="F59" s="55"/>
      <c r="G59" s="55"/>
      <c r="H59" s="55"/>
      <c r="I59" s="55"/>
      <c r="J59" s="55"/>
      <c r="K59" s="55"/>
      <c r="L59" s="55"/>
      <c r="M59" s="55"/>
      <c r="N59"/>
      <c r="O59"/>
    </row>
    <row r="60" spans="1:15" customFormat="1">
      <c r="B60" s="396">
        <v>1.2</v>
      </c>
      <c r="C60" s="1" t="s">
        <v>205</v>
      </c>
      <c r="D60" s="117"/>
      <c r="E60" s="117"/>
      <c r="F60" s="117"/>
      <c r="G60" s="55"/>
      <c r="H60" s="55"/>
      <c r="I60" s="55"/>
      <c r="J60" s="55"/>
      <c r="K60" s="55"/>
      <c r="L60" s="55"/>
    </row>
    <row r="61" spans="1:15" customFormat="1">
      <c r="B61" s="1">
        <v>0.35</v>
      </c>
      <c r="C61" s="1" t="s">
        <v>206</v>
      </c>
      <c r="D61" s="117"/>
      <c r="E61" s="117"/>
      <c r="F61" s="117"/>
      <c r="G61" s="55"/>
      <c r="H61" s="55"/>
      <c r="I61" s="55"/>
      <c r="J61" s="55"/>
      <c r="K61" s="55"/>
      <c r="L61" s="55"/>
    </row>
    <row r="62" spans="1:15" customFormat="1">
      <c r="B62" s="1">
        <v>3.75</v>
      </c>
      <c r="C62" s="1" t="s">
        <v>207</v>
      </c>
      <c r="D62" s="117"/>
      <c r="E62" s="117"/>
      <c r="F62" s="117"/>
      <c r="G62" s="55"/>
      <c r="H62" s="55"/>
      <c r="I62" s="55"/>
      <c r="J62" s="55"/>
      <c r="K62" s="55"/>
      <c r="L62" s="55"/>
    </row>
    <row r="63" spans="1:15" customFormat="1" ht="14.4">
      <c r="B63" s="117"/>
      <c r="C63" s="117"/>
      <c r="D63" s="117"/>
      <c r="E63" s="117"/>
      <c r="F63" s="117"/>
      <c r="G63" s="117"/>
      <c r="H63" s="117"/>
      <c r="I63" s="117"/>
      <c r="J63" s="117"/>
    </row>
    <row r="64" spans="1:15" customFormat="1">
      <c r="B64" s="117"/>
      <c r="C64" s="1"/>
      <c r="D64" s="117"/>
      <c r="E64" s="117"/>
      <c r="F64" s="117"/>
      <c r="G64" s="117"/>
      <c r="H64" s="117"/>
      <c r="I64" s="117"/>
      <c r="J64" s="117"/>
    </row>
    <row r="65" spans="2:10" customFormat="1">
      <c r="B65" s="117"/>
      <c r="C65" s="517" t="s">
        <v>18</v>
      </c>
      <c r="D65" s="398" t="s">
        <v>106</v>
      </c>
      <c r="E65" s="398"/>
      <c r="F65" s="398"/>
      <c r="G65" s="404" t="s">
        <v>208</v>
      </c>
      <c r="H65" s="404" t="s">
        <v>208</v>
      </c>
      <c r="I65" s="404" t="s">
        <v>208</v>
      </c>
      <c r="J65" s="117"/>
    </row>
    <row r="66" spans="2:10" customFormat="1">
      <c r="B66" s="117"/>
      <c r="C66" s="517"/>
      <c r="D66" s="397" t="s">
        <v>107</v>
      </c>
      <c r="E66" s="397" t="s">
        <v>108</v>
      </c>
      <c r="F66" s="397" t="s">
        <v>109</v>
      </c>
      <c r="G66" s="72" t="s">
        <v>99</v>
      </c>
      <c r="H66" s="72" t="s">
        <v>101</v>
      </c>
      <c r="I66" s="72" t="s">
        <v>196</v>
      </c>
      <c r="J66" s="117"/>
    </row>
    <row r="67" spans="2:10" customFormat="1">
      <c r="B67" s="117"/>
      <c r="C67" s="399">
        <v>2019</v>
      </c>
      <c r="D67" s="400">
        <v>1.5</v>
      </c>
      <c r="E67" s="400">
        <v>0.3</v>
      </c>
      <c r="F67" s="400">
        <v>0.9</v>
      </c>
      <c r="G67" s="401">
        <f>MIN($B$62,$B$61+D67*$B$60)</f>
        <v>2.15</v>
      </c>
      <c r="H67" s="402">
        <f t="shared" ref="H67:I72" si="3">MIN($B$62,$B$61+E67*$B$60)</f>
        <v>0.71</v>
      </c>
      <c r="I67" s="402">
        <f t="shared" si="3"/>
        <v>1.4300000000000002</v>
      </c>
      <c r="J67" s="117"/>
    </row>
    <row r="68" spans="2:10" customFormat="1">
      <c r="B68" s="117"/>
      <c r="C68" s="399">
        <v>2020</v>
      </c>
      <c r="D68" s="400">
        <v>1.4</v>
      </c>
      <c r="E68" s="400">
        <v>0</v>
      </c>
      <c r="F68" s="400">
        <v>1</v>
      </c>
      <c r="G68" s="401">
        <f t="shared" ref="G68:G72" si="4">MIN($B$62,$B$61+D68*$B$60)</f>
        <v>2.0299999999999998</v>
      </c>
      <c r="H68" s="402">
        <f t="shared" si="3"/>
        <v>0.35</v>
      </c>
      <c r="I68" s="402">
        <f t="shared" si="3"/>
        <v>1.5499999999999998</v>
      </c>
      <c r="J68" s="117"/>
    </row>
    <row r="69" spans="2:10" customFormat="1">
      <c r="B69" s="117"/>
      <c r="C69" s="399">
        <v>2021</v>
      </c>
      <c r="D69" s="400">
        <v>1.2</v>
      </c>
      <c r="E69" s="400">
        <v>0</v>
      </c>
      <c r="F69" s="400">
        <v>1.1000000000000001</v>
      </c>
      <c r="G69" s="401">
        <f t="shared" si="4"/>
        <v>1.79</v>
      </c>
      <c r="H69" s="402">
        <f t="shared" si="3"/>
        <v>0.35</v>
      </c>
      <c r="I69" s="402">
        <f t="shared" si="3"/>
        <v>1.67</v>
      </c>
      <c r="J69" s="117"/>
    </row>
    <row r="70" spans="2:10" customFormat="1">
      <c r="B70" s="117"/>
      <c r="C70" s="399">
        <v>2022</v>
      </c>
      <c r="D70" s="400">
        <v>1.1000000000000001</v>
      </c>
      <c r="E70" s="400">
        <v>7</v>
      </c>
      <c r="F70" s="400">
        <v>1.3</v>
      </c>
      <c r="G70" s="401">
        <f t="shared" si="4"/>
        <v>1.67</v>
      </c>
      <c r="H70" s="402">
        <f t="shared" si="3"/>
        <v>3.75</v>
      </c>
      <c r="I70" s="402">
        <f t="shared" si="3"/>
        <v>1.9100000000000001</v>
      </c>
      <c r="J70" s="117"/>
    </row>
    <row r="71" spans="2:10" customFormat="1">
      <c r="B71" s="117"/>
      <c r="C71" s="399">
        <v>2023</v>
      </c>
      <c r="D71" s="400">
        <v>1.2</v>
      </c>
      <c r="E71" s="400">
        <v>0</v>
      </c>
      <c r="F71" s="400">
        <v>1.5</v>
      </c>
      <c r="G71" s="401">
        <f t="shared" si="4"/>
        <v>1.79</v>
      </c>
      <c r="H71" s="402">
        <f t="shared" si="3"/>
        <v>0.35</v>
      </c>
      <c r="I71" s="402">
        <f t="shared" si="3"/>
        <v>2.15</v>
      </c>
      <c r="J71" s="117"/>
    </row>
    <row r="72" spans="2:10" customFormat="1">
      <c r="B72" s="117"/>
      <c r="C72" s="399">
        <v>2024</v>
      </c>
      <c r="D72" s="400">
        <v>0.9</v>
      </c>
      <c r="E72" s="400">
        <v>0</v>
      </c>
      <c r="F72" s="400">
        <v>1.5</v>
      </c>
      <c r="G72" s="401">
        <f t="shared" si="4"/>
        <v>1.4300000000000002</v>
      </c>
      <c r="H72" s="402">
        <f t="shared" si="3"/>
        <v>0.35</v>
      </c>
      <c r="I72" s="402">
        <f t="shared" si="3"/>
        <v>2.15</v>
      </c>
      <c r="J72" s="404" t="s">
        <v>208</v>
      </c>
    </row>
    <row r="73" spans="2:10" customFormat="1" ht="14.4">
      <c r="B73" s="117"/>
      <c r="C73" s="117"/>
      <c r="D73" s="106"/>
      <c r="E73" s="106"/>
      <c r="F73" s="106"/>
      <c r="G73" s="403">
        <f>SUM(G67:G72)</f>
        <v>10.86</v>
      </c>
      <c r="H73" s="403">
        <f t="shared" ref="H73:I73" si="5">SUM(H67:H72)</f>
        <v>5.8599999999999994</v>
      </c>
      <c r="I73" s="403">
        <f t="shared" si="5"/>
        <v>10.860000000000001</v>
      </c>
      <c r="J73" s="405" t="s">
        <v>429</v>
      </c>
    </row>
    <row r="74" spans="2:10" customFormat="1" ht="14.4">
      <c r="B74" s="117"/>
      <c r="C74" s="117"/>
      <c r="D74" s="106"/>
      <c r="E74" s="106"/>
      <c r="F74" s="106"/>
      <c r="G74" s="402">
        <f>G73/6</f>
        <v>1.8099999999999998</v>
      </c>
      <c r="H74" s="402">
        <f t="shared" ref="H74:I74" si="6">H73/6</f>
        <v>0.97666666666666657</v>
      </c>
      <c r="I74" s="402">
        <f t="shared" si="6"/>
        <v>1.8100000000000003</v>
      </c>
      <c r="J74" s="405" t="s">
        <v>445</v>
      </c>
    </row>
    <row r="75" spans="2:10" customFormat="1" ht="14.4">
      <c r="B75" s="117"/>
      <c r="C75" s="117"/>
      <c r="D75" s="117"/>
      <c r="E75" s="412" t="s">
        <v>202</v>
      </c>
      <c r="F75" s="412"/>
      <c r="G75" s="413">
        <f>MAX(G67:G72)</f>
        <v>2.15</v>
      </c>
      <c r="H75" s="413">
        <f>MAX(H67:H72)</f>
        <v>3.75</v>
      </c>
      <c r="I75" s="413">
        <f>MAX(I67:I72)</f>
        <v>2.15</v>
      </c>
      <c r="J75" s="117"/>
    </row>
    <row r="76" spans="2:10" customFormat="1" ht="14.4">
      <c r="B76" s="117"/>
      <c r="C76" s="117"/>
      <c r="D76" s="117"/>
      <c r="E76" s="412" t="s">
        <v>201</v>
      </c>
      <c r="F76" s="412"/>
      <c r="G76" s="413">
        <f>MIN(G67:G72)</f>
        <v>1.4300000000000002</v>
      </c>
      <c r="H76" s="413">
        <f>MIN(H67:H72)</f>
        <v>0.35</v>
      </c>
      <c r="I76" s="413">
        <f>MIN(I67:I72)</f>
        <v>1.4300000000000002</v>
      </c>
      <c r="J76" s="117"/>
    </row>
    <row r="77" spans="2:10" customFormat="1" ht="14.4">
      <c r="B77" s="117"/>
      <c r="C77" s="117"/>
      <c r="D77" s="117"/>
      <c r="E77" s="412" t="s">
        <v>211</v>
      </c>
      <c r="F77" s="412"/>
      <c r="G77" s="413">
        <f>G75-G76</f>
        <v>0.71999999999999975</v>
      </c>
      <c r="H77" s="413">
        <f>H75-H76</f>
        <v>3.4</v>
      </c>
      <c r="I77" s="413">
        <f>I75-I76</f>
        <v>0.71999999999999975</v>
      </c>
      <c r="J77" s="117"/>
    </row>
    <row r="78" spans="2:10" customFormat="1" ht="14.4">
      <c r="B78" s="117"/>
      <c r="C78" s="117"/>
      <c r="D78" s="117"/>
      <c r="E78" s="412" t="s">
        <v>204</v>
      </c>
      <c r="F78" s="412"/>
      <c r="G78" s="414">
        <f>G75/G74</f>
        <v>1.1878453038674033</v>
      </c>
      <c r="H78" s="414">
        <f>H75/H74</f>
        <v>3.8395904436860073</v>
      </c>
      <c r="I78" s="414">
        <f>I75/I74</f>
        <v>1.1878453038674031</v>
      </c>
      <c r="J78" s="117"/>
    </row>
    <row r="79" spans="2:10" customFormat="1" ht="14.4">
      <c r="B79" s="117"/>
      <c r="C79" s="117"/>
      <c r="D79" s="117"/>
      <c r="E79" s="412" t="s">
        <v>203</v>
      </c>
      <c r="F79" s="412"/>
      <c r="G79" s="414">
        <f>G76/G74</f>
        <v>0.79005524861878473</v>
      </c>
      <c r="H79" s="414">
        <f t="shared" ref="H79:I79" si="7">H76/H74</f>
        <v>0.35836177474402731</v>
      </c>
      <c r="I79" s="414">
        <f t="shared" si="7"/>
        <v>0.79005524861878451</v>
      </c>
      <c r="J79" s="117"/>
    </row>
    <row r="80" spans="2:10" customFormat="1" ht="14.4">
      <c r="B80" s="117"/>
      <c r="C80" s="117"/>
      <c r="D80" s="117"/>
      <c r="E80" s="412"/>
      <c r="F80" s="412"/>
      <c r="G80" s="414"/>
      <c r="H80" s="414"/>
      <c r="I80" s="414"/>
      <c r="J80" s="117"/>
    </row>
    <row r="81" spans="1:15" customFormat="1" ht="14.4">
      <c r="B81" s="117"/>
      <c r="C81" s="117"/>
      <c r="D81" s="117"/>
      <c r="E81" s="415" t="s">
        <v>454</v>
      </c>
      <c r="F81" s="416"/>
      <c r="G81" s="406">
        <f>G74</f>
        <v>1.8099999999999998</v>
      </c>
      <c r="H81" s="406">
        <f t="shared" ref="H81:I81" si="8">H74</f>
        <v>0.97666666666666657</v>
      </c>
      <c r="I81" s="406">
        <f t="shared" si="8"/>
        <v>1.8100000000000003</v>
      </c>
      <c r="J81" s="117"/>
    </row>
    <row r="82" spans="1:15" customFormat="1" ht="14.4">
      <c r="B82" s="117"/>
      <c r="C82" s="117"/>
      <c r="D82" s="117"/>
      <c r="E82" s="415" t="s">
        <v>209</v>
      </c>
      <c r="F82" s="416"/>
      <c r="G82" s="406">
        <v>1.75</v>
      </c>
      <c r="H82" s="406">
        <f>G82</f>
        <v>1.75</v>
      </c>
      <c r="I82" s="406">
        <f>G82</f>
        <v>1.75</v>
      </c>
      <c r="J82" s="117"/>
    </row>
    <row r="83" spans="1:15" customFormat="1">
      <c r="B83" s="117"/>
      <c r="C83" s="1"/>
      <c r="D83" s="117"/>
      <c r="E83" s="407" t="s">
        <v>453</v>
      </c>
      <c r="F83" s="407"/>
      <c r="G83" s="408">
        <f>G81-G82</f>
        <v>5.9999999999999831E-2</v>
      </c>
      <c r="H83" s="408">
        <f t="shared" ref="H83:I83" si="9">H81-H82</f>
        <v>-0.77333333333333343</v>
      </c>
      <c r="I83" s="408">
        <f t="shared" si="9"/>
        <v>6.0000000000000275E-2</v>
      </c>
      <c r="J83" s="117"/>
    </row>
    <row r="84" spans="1:15">
      <c r="A84" s="55"/>
      <c r="B84" s="55"/>
      <c r="D84" s="55"/>
      <c r="E84" s="409" t="s">
        <v>446</v>
      </c>
      <c r="F84" s="410"/>
      <c r="G84" s="411">
        <f>G83/G82</f>
        <v>3.428571428571419E-2</v>
      </c>
      <c r="H84" s="411">
        <f t="shared" ref="H84:I84" si="10">H83/H82</f>
        <v>-0.44190476190476197</v>
      </c>
      <c r="I84" s="411">
        <f t="shared" si="10"/>
        <v>3.428571428571444E-2</v>
      </c>
      <c r="J84" s="55"/>
      <c r="K84" s="55"/>
      <c r="L84" s="55"/>
      <c r="M84" s="55"/>
      <c r="N84"/>
      <c r="O84"/>
    </row>
    <row r="85" spans="1:15">
      <c r="A85" s="55"/>
      <c r="B85" s="55"/>
      <c r="D85" s="55"/>
      <c r="E85" s="55"/>
      <c r="F85" s="55"/>
      <c r="G85" s="116"/>
      <c r="H85" s="116"/>
      <c r="I85" s="116"/>
      <c r="J85" s="55"/>
      <c r="K85" s="55"/>
      <c r="L85" s="55"/>
      <c r="M85" s="55"/>
      <c r="N85"/>
      <c r="O85"/>
    </row>
    <row r="86" spans="1:15">
      <c r="A86" s="55"/>
      <c r="B86" s="55"/>
      <c r="C86" s="117" t="s">
        <v>99</v>
      </c>
      <c r="D86" s="55" t="s">
        <v>449</v>
      </c>
      <c r="E86" s="55"/>
      <c r="F86" s="55"/>
      <c r="G86" s="55"/>
      <c r="H86" s="55"/>
      <c r="I86" s="55"/>
      <c r="J86" s="55"/>
      <c r="K86" s="55"/>
      <c r="L86" s="55"/>
      <c r="M86" s="55"/>
      <c r="N86"/>
      <c r="O86"/>
    </row>
    <row r="87" spans="1:15">
      <c r="A87" s="55"/>
      <c r="B87" s="55"/>
      <c r="C87" s="55" t="s">
        <v>101</v>
      </c>
      <c r="D87" s="55" t="s">
        <v>447</v>
      </c>
      <c r="E87" s="55"/>
      <c r="F87" s="55"/>
      <c r="G87" s="55"/>
      <c r="H87" s="55"/>
      <c r="I87" s="55"/>
      <c r="J87" s="55"/>
      <c r="K87" s="55"/>
      <c r="L87" s="55"/>
      <c r="M87" s="55"/>
      <c r="N87"/>
      <c r="O87"/>
    </row>
    <row r="88" spans="1:15">
      <c r="A88" s="55"/>
      <c r="B88" s="55"/>
      <c r="C88" s="55"/>
      <c r="D88" s="55" t="s">
        <v>210</v>
      </c>
      <c r="E88" s="55"/>
      <c r="F88" s="55"/>
      <c r="G88" s="55"/>
      <c r="H88" s="55"/>
      <c r="I88" s="55"/>
      <c r="J88" s="55"/>
      <c r="K88" s="55"/>
      <c r="L88" s="55"/>
      <c r="M88" s="55"/>
      <c r="N88"/>
      <c r="O88"/>
    </row>
    <row r="89" spans="1:15">
      <c r="A89" s="55"/>
      <c r="B89" s="55"/>
      <c r="C89" s="55" t="s">
        <v>196</v>
      </c>
      <c r="D89" s="55" t="s">
        <v>448</v>
      </c>
      <c r="E89" s="55"/>
      <c r="F89" s="55"/>
      <c r="G89" s="55"/>
      <c r="H89" s="55"/>
      <c r="I89" s="55"/>
      <c r="J89" s="55"/>
      <c r="K89" s="55"/>
      <c r="L89" s="55"/>
      <c r="M89" s="55"/>
      <c r="N89"/>
      <c r="O89"/>
    </row>
    <row r="90" spans="1:15">
      <c r="A90" s="55"/>
      <c r="B90" s="55"/>
      <c r="C90" s="55"/>
      <c r="D90" s="55"/>
      <c r="E90" s="55"/>
      <c r="F90" s="55"/>
      <c r="G90" s="55"/>
      <c r="H90" s="55"/>
      <c r="I90" s="55"/>
      <c r="J90" s="55"/>
      <c r="K90" s="55"/>
      <c r="L90" s="55"/>
      <c r="M90" s="55"/>
      <c r="N90"/>
      <c r="O90"/>
    </row>
    <row r="91" spans="1:15" ht="16.2">
      <c r="A91" s="9" t="s">
        <v>212</v>
      </c>
      <c r="B91" s="5"/>
      <c r="C91" s="5"/>
      <c r="D91" s="5"/>
      <c r="E91" s="5"/>
      <c r="F91" s="5"/>
      <c r="G91" s="5"/>
      <c r="H91" s="10"/>
      <c r="I91" s="10"/>
      <c r="J91" s="11"/>
      <c r="K91" s="11"/>
      <c r="L91" s="11"/>
      <c r="M91" s="13"/>
      <c r="N91"/>
      <c r="O91"/>
    </row>
    <row r="92" spans="1:15" ht="16.2">
      <c r="A92" s="9" t="s">
        <v>213</v>
      </c>
      <c r="B92" s="5"/>
      <c r="C92" s="5"/>
      <c r="D92" s="5"/>
      <c r="E92" s="5"/>
      <c r="F92" s="5"/>
      <c r="G92" s="5"/>
      <c r="H92" s="10"/>
      <c r="I92" s="10"/>
      <c r="J92" s="11"/>
      <c r="K92" s="11"/>
      <c r="L92" s="11"/>
      <c r="M92" s="13"/>
      <c r="N92"/>
      <c r="O92"/>
    </row>
    <row r="93" spans="1:15">
      <c r="A93" s="9"/>
      <c r="B93" s="9"/>
      <c r="C93" s="5"/>
      <c r="D93" s="5"/>
      <c r="E93" s="5"/>
      <c r="F93" s="5"/>
      <c r="G93" s="5"/>
      <c r="H93" s="8"/>
      <c r="I93" s="8"/>
      <c r="J93" s="5"/>
      <c r="K93" s="5"/>
      <c r="L93" s="5"/>
      <c r="M93" s="13"/>
      <c r="N93"/>
      <c r="O93"/>
    </row>
    <row r="94" spans="1:15">
      <c r="A94" s="20" t="s">
        <v>17</v>
      </c>
      <c r="B94" s="5" t="s">
        <v>214</v>
      </c>
      <c r="C94" s="5"/>
      <c r="D94" s="5"/>
      <c r="E94" s="5"/>
      <c r="F94" s="5"/>
      <c r="G94" s="5"/>
      <c r="H94" s="5"/>
      <c r="I94" s="5"/>
      <c r="J94" s="5"/>
      <c r="K94" s="5"/>
      <c r="L94" s="5"/>
      <c r="M94" s="13"/>
      <c r="N94"/>
      <c r="O94"/>
    </row>
    <row r="95" spans="1:15" ht="16.2">
      <c r="A95" s="10"/>
      <c r="B95" s="10" t="s">
        <v>0</v>
      </c>
      <c r="C95" s="10"/>
      <c r="D95" s="11"/>
      <c r="E95" s="11"/>
      <c r="F95" s="5"/>
      <c r="G95" s="5"/>
      <c r="H95" s="5"/>
      <c r="I95" s="5"/>
      <c r="J95" s="5"/>
      <c r="K95" s="5"/>
      <c r="L95" s="5"/>
      <c r="M95" s="13"/>
      <c r="N95"/>
      <c r="O95"/>
    </row>
    <row r="97" spans="2:2">
      <c r="B97" s="1" t="s">
        <v>450</v>
      </c>
    </row>
    <row r="98" spans="2:2">
      <c r="B98" s="1" t="s">
        <v>451</v>
      </c>
    </row>
    <row r="99" spans="2:2">
      <c r="B99" s="1" t="s">
        <v>452</v>
      </c>
    </row>
  </sheetData>
  <mergeCells count="6">
    <mergeCell ref="B5:L5"/>
    <mergeCell ref="B13:B14"/>
    <mergeCell ref="B31:B32"/>
    <mergeCell ref="C65:C66"/>
    <mergeCell ref="A3:M3"/>
    <mergeCell ref="C13:E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P173"/>
  <sheetViews>
    <sheetView workbookViewId="0"/>
  </sheetViews>
  <sheetFormatPr defaultColWidth="8.77734375" defaultRowHeight="15.6"/>
  <cols>
    <col min="1" max="13" width="13.77734375" style="16" customWidth="1"/>
    <col min="14" max="16384" width="8.77734375" style="16"/>
  </cols>
  <sheetData>
    <row r="1" spans="1:13" ht="18" customHeight="1">
      <c r="A1" s="221" t="s">
        <v>14</v>
      </c>
      <c r="B1" s="225"/>
      <c r="C1" s="92" t="s">
        <v>6</v>
      </c>
      <c r="D1" s="218"/>
      <c r="E1" s="218"/>
      <c r="F1" s="218"/>
      <c r="G1" s="218"/>
      <c r="H1" s="218"/>
      <c r="I1" s="218"/>
      <c r="J1" s="218"/>
      <c r="K1" s="218"/>
      <c r="L1" s="218"/>
      <c r="M1" s="218"/>
    </row>
    <row r="2" spans="1:13" customFormat="1" ht="16.2">
      <c r="A2" s="82"/>
      <c r="B2" s="82"/>
      <c r="C2" s="36"/>
      <c r="D2" s="36"/>
      <c r="E2" s="36"/>
      <c r="F2" s="36"/>
      <c r="G2" s="36"/>
      <c r="H2" s="36"/>
      <c r="I2" s="92"/>
      <c r="J2" s="92"/>
      <c r="K2" s="193"/>
      <c r="L2" s="193"/>
      <c r="M2" s="193"/>
    </row>
    <row r="3" spans="1:13" customFormat="1" ht="15.6" customHeight="1">
      <c r="A3" s="490" t="s">
        <v>358</v>
      </c>
      <c r="B3" s="490"/>
      <c r="C3" s="490"/>
      <c r="D3" s="490"/>
      <c r="E3" s="490"/>
      <c r="F3" s="490"/>
      <c r="G3" s="490"/>
      <c r="H3" s="490"/>
      <c r="I3" s="490"/>
      <c r="J3" s="490"/>
      <c r="K3" s="490"/>
      <c r="L3" s="490"/>
      <c r="M3" s="182"/>
    </row>
    <row r="4" spans="1:13" customFormat="1" ht="16.2">
      <c r="A4" s="216" t="s">
        <v>359</v>
      </c>
      <c r="B4" s="182"/>
      <c r="C4" s="182"/>
      <c r="D4" s="182"/>
      <c r="E4" s="182"/>
      <c r="F4" s="182"/>
      <c r="G4" s="182"/>
      <c r="H4" s="182"/>
      <c r="I4" s="182"/>
      <c r="J4" s="182"/>
      <c r="K4" s="424"/>
      <c r="L4" s="425" t="s">
        <v>467</v>
      </c>
      <c r="M4" s="426">
        <v>500000</v>
      </c>
    </row>
    <row r="5" spans="1:13" customFormat="1" ht="16.2">
      <c r="A5" s="216" t="s">
        <v>464</v>
      </c>
      <c r="B5" s="182"/>
      <c r="C5" s="182"/>
      <c r="D5" s="182"/>
      <c r="E5" s="182"/>
      <c r="F5" s="182"/>
      <c r="G5" s="182"/>
      <c r="H5" s="182"/>
      <c r="I5" s="182"/>
      <c r="J5" s="182"/>
      <c r="K5" s="424"/>
      <c r="L5" s="425" t="s">
        <v>468</v>
      </c>
      <c r="M5" s="426">
        <v>200000</v>
      </c>
    </row>
    <row r="6" spans="1:13" customFormat="1" ht="16.2">
      <c r="A6" s="216"/>
      <c r="B6" s="182"/>
      <c r="C6" s="182"/>
      <c r="D6" s="182"/>
      <c r="E6" s="182"/>
      <c r="F6" s="182"/>
      <c r="G6" s="182"/>
      <c r="H6" s="182"/>
      <c r="I6" s="182"/>
      <c r="J6" s="182"/>
      <c r="K6" s="424"/>
      <c r="L6" s="425" t="s">
        <v>469</v>
      </c>
      <c r="M6" s="426">
        <v>300000</v>
      </c>
    </row>
    <row r="7" spans="1:13" customFormat="1" ht="34.049999999999997" customHeight="1">
      <c r="A7" s="216"/>
      <c r="B7" s="491" t="s">
        <v>285</v>
      </c>
      <c r="C7" s="522" t="s">
        <v>110</v>
      </c>
      <c r="D7" s="522"/>
      <c r="E7" s="522"/>
      <c r="F7" s="522"/>
      <c r="G7" s="522"/>
      <c r="H7" s="522" t="s">
        <v>348</v>
      </c>
      <c r="I7" s="522" t="s">
        <v>349</v>
      </c>
      <c r="J7" s="182"/>
      <c r="K7" s="193"/>
      <c r="L7" s="193"/>
      <c r="M7" s="193"/>
    </row>
    <row r="8" spans="1:13" customFormat="1" ht="26.55" customHeight="1">
      <c r="A8" s="216"/>
      <c r="B8" s="523"/>
      <c r="C8" s="211" t="s">
        <v>350</v>
      </c>
      <c r="D8" s="176" t="s">
        <v>351</v>
      </c>
      <c r="E8" s="176" t="s">
        <v>352</v>
      </c>
      <c r="F8" s="223">
        <v>48</v>
      </c>
      <c r="G8" s="176" t="s">
        <v>353</v>
      </c>
      <c r="H8" s="522"/>
      <c r="I8" s="522"/>
      <c r="J8" s="182"/>
      <c r="K8" s="193"/>
      <c r="L8" s="193"/>
      <c r="M8" s="193"/>
    </row>
    <row r="9" spans="1:13" customFormat="1">
      <c r="A9" s="216"/>
      <c r="B9" s="173">
        <v>2020</v>
      </c>
      <c r="C9" s="84">
        <v>6894</v>
      </c>
      <c r="D9" s="84">
        <v>9983</v>
      </c>
      <c r="E9" s="269">
        <v>12155</v>
      </c>
      <c r="F9" s="269">
        <v>15047</v>
      </c>
      <c r="G9" s="270">
        <v>17866</v>
      </c>
      <c r="H9" s="228">
        <v>18759</v>
      </c>
      <c r="I9" s="228">
        <v>31401</v>
      </c>
      <c r="J9" s="182"/>
      <c r="K9" s="193"/>
      <c r="L9" s="193"/>
      <c r="M9" s="193"/>
    </row>
    <row r="10" spans="1:13" customFormat="1">
      <c r="A10" s="216"/>
      <c r="B10" s="173">
        <v>2021</v>
      </c>
      <c r="C10" s="84">
        <v>6240</v>
      </c>
      <c r="D10" s="84">
        <v>9121</v>
      </c>
      <c r="E10" s="269">
        <v>12074</v>
      </c>
      <c r="F10" s="269">
        <v>16435</v>
      </c>
      <c r="G10" s="224"/>
      <c r="H10" s="228">
        <v>20490</v>
      </c>
      <c r="I10" s="228">
        <v>33634</v>
      </c>
      <c r="J10" s="182"/>
      <c r="K10" s="193"/>
      <c r="L10" s="193"/>
      <c r="M10" s="193"/>
    </row>
    <row r="11" spans="1:13" customFormat="1">
      <c r="A11" s="216"/>
      <c r="B11" s="173">
        <v>2022</v>
      </c>
      <c r="C11" s="84">
        <v>7544</v>
      </c>
      <c r="D11" s="84">
        <v>10268</v>
      </c>
      <c r="E11" s="269">
        <v>13607</v>
      </c>
      <c r="F11" s="271"/>
      <c r="G11" s="224"/>
      <c r="H11" s="228">
        <v>22046</v>
      </c>
      <c r="I11" s="228">
        <v>39005</v>
      </c>
      <c r="J11" s="182"/>
      <c r="K11" s="193"/>
      <c r="L11" s="193"/>
      <c r="M11" s="193"/>
    </row>
    <row r="12" spans="1:13" customFormat="1">
      <c r="A12" s="216"/>
      <c r="B12" s="173">
        <v>2023</v>
      </c>
      <c r="C12" s="84">
        <v>7787</v>
      </c>
      <c r="D12" s="84">
        <v>10810</v>
      </c>
      <c r="E12" s="271"/>
      <c r="F12" s="271"/>
      <c r="G12" s="224"/>
      <c r="H12" s="228">
        <v>22573</v>
      </c>
      <c r="I12" s="228">
        <v>37051</v>
      </c>
      <c r="J12" s="182"/>
      <c r="K12" s="193"/>
      <c r="L12" s="193"/>
      <c r="M12" s="193"/>
    </row>
    <row r="13" spans="1:13" customFormat="1">
      <c r="A13" s="216"/>
      <c r="B13" s="173">
        <v>2024</v>
      </c>
      <c r="C13" s="84">
        <v>7903</v>
      </c>
      <c r="D13" s="272"/>
      <c r="E13" s="271"/>
      <c r="F13" s="271"/>
      <c r="G13" s="224"/>
      <c r="H13" s="228">
        <v>23347</v>
      </c>
      <c r="I13" s="228">
        <v>38507</v>
      </c>
      <c r="J13" s="182"/>
      <c r="K13" s="193"/>
      <c r="L13" s="193"/>
      <c r="M13" s="193"/>
    </row>
    <row r="14" spans="1:13" customFormat="1">
      <c r="A14" s="216"/>
      <c r="B14" s="182"/>
      <c r="C14" s="182"/>
      <c r="D14" s="182"/>
      <c r="E14" s="182"/>
      <c r="F14" s="182"/>
      <c r="G14" s="182"/>
      <c r="H14" s="182"/>
      <c r="I14" s="182"/>
      <c r="J14" s="182"/>
      <c r="K14" s="193"/>
      <c r="L14" s="193"/>
      <c r="M14" s="193"/>
    </row>
    <row r="15" spans="1:13" customFormat="1" ht="16.2" customHeight="1">
      <c r="A15" s="216"/>
      <c r="B15" s="522" t="s">
        <v>285</v>
      </c>
      <c r="C15" s="522" t="s">
        <v>112</v>
      </c>
      <c r="D15" s="522"/>
      <c r="E15" s="522"/>
      <c r="F15" s="522"/>
      <c r="G15" s="522"/>
      <c r="H15" s="182"/>
      <c r="I15" s="182"/>
      <c r="J15" s="182"/>
      <c r="K15" s="193"/>
      <c r="L15" s="193"/>
      <c r="M15" s="193"/>
    </row>
    <row r="16" spans="1:13" customFormat="1">
      <c r="A16" s="216"/>
      <c r="B16" s="525"/>
      <c r="C16" s="173">
        <v>12</v>
      </c>
      <c r="D16" s="173">
        <v>24</v>
      </c>
      <c r="E16" s="173">
        <v>36</v>
      </c>
      <c r="F16" s="173">
        <v>48</v>
      </c>
      <c r="G16" s="173">
        <v>60</v>
      </c>
      <c r="H16" s="182"/>
      <c r="I16" s="182"/>
      <c r="J16" s="182"/>
      <c r="K16" s="193"/>
      <c r="L16" s="193"/>
      <c r="M16" s="193"/>
    </row>
    <row r="17" spans="1:13" customFormat="1">
      <c r="A17" s="216"/>
      <c r="B17" s="173">
        <v>2020</v>
      </c>
      <c r="C17" s="84">
        <v>6878</v>
      </c>
      <c r="D17" s="84">
        <v>9886</v>
      </c>
      <c r="E17" s="269">
        <v>11991</v>
      </c>
      <c r="F17" s="269">
        <v>14724</v>
      </c>
      <c r="G17" s="270">
        <v>17361</v>
      </c>
      <c r="H17" s="182"/>
      <c r="I17" s="182"/>
      <c r="J17" s="182"/>
      <c r="K17" s="193"/>
      <c r="L17" s="193"/>
      <c r="M17" s="193"/>
    </row>
    <row r="18" spans="1:13" customFormat="1">
      <c r="A18" s="216"/>
      <c r="B18" s="173">
        <v>2021</v>
      </c>
      <c r="C18" s="84">
        <v>6240</v>
      </c>
      <c r="D18" s="84">
        <v>9121</v>
      </c>
      <c r="E18" s="269">
        <v>12074</v>
      </c>
      <c r="F18" s="269">
        <v>15963</v>
      </c>
      <c r="G18" s="224"/>
      <c r="H18" s="182"/>
      <c r="I18" s="182"/>
      <c r="J18" s="182"/>
      <c r="K18" s="193"/>
      <c r="L18" s="193"/>
      <c r="M18" s="193"/>
    </row>
    <row r="19" spans="1:13" customFormat="1">
      <c r="A19" s="216"/>
      <c r="B19" s="173">
        <v>2022</v>
      </c>
      <c r="C19" s="84">
        <v>7451</v>
      </c>
      <c r="D19" s="84">
        <v>10053</v>
      </c>
      <c r="E19" s="269">
        <v>13173</v>
      </c>
      <c r="F19" s="271"/>
      <c r="G19" s="224"/>
      <c r="H19" s="182"/>
      <c r="I19" s="182"/>
      <c r="J19" s="182"/>
      <c r="K19" s="193"/>
      <c r="L19" s="193"/>
      <c r="M19" s="193"/>
    </row>
    <row r="20" spans="1:13" customFormat="1">
      <c r="A20" s="216"/>
      <c r="B20" s="173">
        <v>2023</v>
      </c>
      <c r="C20" s="84">
        <v>7663</v>
      </c>
      <c r="D20" s="84">
        <v>10649</v>
      </c>
      <c r="E20" s="271"/>
      <c r="F20" s="271"/>
      <c r="G20" s="224"/>
      <c r="H20" s="182"/>
      <c r="I20" s="182"/>
      <c r="J20" s="182"/>
      <c r="K20" s="193"/>
      <c r="L20" s="193"/>
      <c r="M20" s="193"/>
    </row>
    <row r="21" spans="1:13" customFormat="1">
      <c r="A21" s="216"/>
      <c r="B21" s="173">
        <v>2024</v>
      </c>
      <c r="C21" s="84">
        <v>7892</v>
      </c>
      <c r="D21" s="272"/>
      <c r="E21" s="271"/>
      <c r="F21" s="271"/>
      <c r="G21" s="224"/>
      <c r="H21" s="182"/>
      <c r="I21" s="182"/>
      <c r="J21" s="182"/>
      <c r="K21" s="193"/>
      <c r="L21" s="193"/>
      <c r="M21" s="193"/>
    </row>
    <row r="22" spans="1:13" customFormat="1">
      <c r="A22" s="216"/>
      <c r="B22" s="182"/>
      <c r="C22" s="182"/>
      <c r="D22" s="182"/>
      <c r="E22" s="182"/>
      <c r="F22" s="182"/>
      <c r="G22" s="182"/>
      <c r="H22" s="182"/>
      <c r="I22" s="182"/>
      <c r="J22" s="182"/>
      <c r="K22" s="193"/>
      <c r="L22" s="193"/>
      <c r="M22" s="193"/>
    </row>
    <row r="23" spans="1:13" customFormat="1" ht="18.45" customHeight="1">
      <c r="A23" s="216"/>
      <c r="B23" s="522" t="s">
        <v>285</v>
      </c>
      <c r="C23" s="522" t="s">
        <v>113</v>
      </c>
      <c r="D23" s="522"/>
      <c r="E23" s="522"/>
      <c r="F23" s="522"/>
      <c r="G23" s="522"/>
      <c r="H23" s="182"/>
      <c r="I23" s="182"/>
      <c r="J23" s="182"/>
      <c r="K23" s="193"/>
      <c r="L23" s="193"/>
      <c r="M23" s="193"/>
    </row>
    <row r="24" spans="1:13" customFormat="1">
      <c r="A24" s="216"/>
      <c r="B24" s="525"/>
      <c r="C24" s="173">
        <v>12</v>
      </c>
      <c r="D24" s="173">
        <v>24</v>
      </c>
      <c r="E24" s="173">
        <v>36</v>
      </c>
      <c r="F24" s="173">
        <v>48</v>
      </c>
      <c r="G24" s="173">
        <v>60</v>
      </c>
      <c r="H24" s="182"/>
      <c r="I24" s="182"/>
      <c r="J24" s="182"/>
      <c r="K24" s="193"/>
      <c r="L24" s="193"/>
      <c r="M24" s="193"/>
    </row>
    <row r="25" spans="1:13" customFormat="1">
      <c r="A25" s="216"/>
      <c r="B25" s="173">
        <v>2020</v>
      </c>
      <c r="C25" s="84">
        <v>16</v>
      </c>
      <c r="D25" s="84">
        <v>97</v>
      </c>
      <c r="E25" s="269">
        <v>164</v>
      </c>
      <c r="F25" s="269">
        <v>323</v>
      </c>
      <c r="G25" s="270">
        <v>505</v>
      </c>
      <c r="H25" s="182"/>
      <c r="I25" s="182"/>
      <c r="J25" s="182"/>
      <c r="K25" s="193"/>
      <c r="L25" s="193"/>
      <c r="M25" s="193"/>
    </row>
    <row r="26" spans="1:13" customFormat="1">
      <c r="A26" s="216"/>
      <c r="B26" s="173">
        <v>2021</v>
      </c>
      <c r="C26" s="84">
        <v>0</v>
      </c>
      <c r="D26" s="84">
        <v>0</v>
      </c>
      <c r="E26" s="269">
        <v>0</v>
      </c>
      <c r="F26" s="269">
        <v>472</v>
      </c>
      <c r="G26" s="224"/>
      <c r="H26" s="182"/>
      <c r="I26" s="182"/>
      <c r="J26" s="182"/>
      <c r="K26" s="193"/>
      <c r="L26" s="193"/>
      <c r="M26" s="193"/>
    </row>
    <row r="27" spans="1:13" customFormat="1">
      <c r="A27" s="216"/>
      <c r="B27" s="173">
        <v>2022</v>
      </c>
      <c r="C27" s="84">
        <v>93</v>
      </c>
      <c r="D27" s="84">
        <v>215</v>
      </c>
      <c r="E27" s="269">
        <v>434</v>
      </c>
      <c r="F27" s="271"/>
      <c r="G27" s="224"/>
      <c r="H27" s="182"/>
      <c r="I27" s="182"/>
      <c r="J27" s="182"/>
      <c r="K27" s="193"/>
      <c r="L27" s="193"/>
      <c r="M27" s="193"/>
    </row>
    <row r="28" spans="1:13" customFormat="1">
      <c r="A28" s="216"/>
      <c r="B28" s="173">
        <v>2023</v>
      </c>
      <c r="C28" s="84">
        <v>124</v>
      </c>
      <c r="D28" s="84">
        <v>161</v>
      </c>
      <c r="E28" s="271"/>
      <c r="F28" s="271"/>
      <c r="G28" s="224"/>
      <c r="H28" s="182"/>
      <c r="I28" s="182"/>
      <c r="J28" s="182"/>
      <c r="K28" s="193"/>
      <c r="L28" s="193"/>
      <c r="M28" s="193"/>
    </row>
    <row r="29" spans="1:13" customFormat="1">
      <c r="A29" s="216"/>
      <c r="B29" s="173">
        <v>2024</v>
      </c>
      <c r="C29" s="84">
        <v>11</v>
      </c>
      <c r="D29" s="272"/>
      <c r="E29" s="271"/>
      <c r="F29" s="271"/>
      <c r="G29" s="224"/>
      <c r="H29" s="182"/>
      <c r="I29" s="182"/>
      <c r="J29" s="182"/>
      <c r="K29" s="193"/>
      <c r="L29" s="193"/>
      <c r="M29" s="193"/>
    </row>
    <row r="30" spans="1:13" customFormat="1">
      <c r="A30" s="273"/>
      <c r="B30" s="274"/>
      <c r="C30" s="275"/>
      <c r="D30" s="36"/>
      <c r="E30" s="36"/>
      <c r="F30" s="36"/>
      <c r="G30" s="36"/>
      <c r="H30" s="186"/>
      <c r="I30" s="186"/>
      <c r="J30" s="36"/>
      <c r="K30" s="36"/>
      <c r="L30" s="36"/>
      <c r="M30" s="218"/>
    </row>
    <row r="31" spans="1:13" customFormat="1" ht="31.5" customHeight="1">
      <c r="A31" s="514" t="s">
        <v>355</v>
      </c>
      <c r="B31" s="514"/>
      <c r="C31" s="514"/>
      <c r="D31" s="514"/>
      <c r="E31" s="514"/>
      <c r="F31" s="514"/>
      <c r="G31" s="514"/>
      <c r="H31" s="514"/>
      <c r="I31" s="514"/>
      <c r="J31" s="514"/>
      <c r="K31" s="514"/>
      <c r="L31" s="514"/>
      <c r="M31" s="514"/>
    </row>
    <row r="32" spans="1:13" customFormat="1" ht="16.2">
      <c r="A32" s="245"/>
      <c r="B32" s="36"/>
      <c r="C32" s="36"/>
      <c r="D32" s="36"/>
      <c r="E32" s="36"/>
      <c r="F32" s="36"/>
      <c r="G32" s="36"/>
      <c r="H32" s="92"/>
      <c r="I32" s="92"/>
      <c r="J32" s="193"/>
      <c r="K32" s="214"/>
      <c r="L32" s="276" t="s">
        <v>354</v>
      </c>
      <c r="M32" s="93">
        <v>1.05</v>
      </c>
    </row>
    <row r="33" spans="1:14" customFormat="1">
      <c r="A33" s="181" t="s">
        <v>2</v>
      </c>
      <c r="B33" s="245" t="s">
        <v>360</v>
      </c>
      <c r="C33" s="36"/>
      <c r="D33" s="36"/>
      <c r="E33" s="36"/>
      <c r="F33" s="36"/>
      <c r="G33" s="36"/>
      <c r="H33" s="36"/>
      <c r="I33" s="36"/>
      <c r="J33" s="36"/>
      <c r="K33" s="36"/>
      <c r="L33" s="36"/>
      <c r="M33" s="218"/>
    </row>
    <row r="34" spans="1:14" customFormat="1" ht="16.2">
      <c r="A34" s="92"/>
      <c r="B34" s="92" t="s">
        <v>0</v>
      </c>
      <c r="C34" s="92"/>
      <c r="D34" s="193"/>
      <c r="E34" s="193"/>
      <c r="F34" s="36"/>
      <c r="G34" s="36"/>
      <c r="H34" s="36"/>
      <c r="I34" s="36"/>
      <c r="J34" s="36"/>
      <c r="K34" s="36"/>
      <c r="L34" s="36"/>
      <c r="M34" s="218"/>
    </row>
    <row r="35" spans="1:14" customFormat="1">
      <c r="A35" s="1"/>
      <c r="B35" s="1"/>
      <c r="C35" s="1"/>
      <c r="D35" s="1"/>
      <c r="E35" s="1"/>
      <c r="F35" s="1"/>
      <c r="G35" s="1"/>
      <c r="H35" s="1"/>
      <c r="I35" s="1"/>
      <c r="J35" s="1"/>
      <c r="K35" s="1"/>
      <c r="L35" s="1"/>
      <c r="M35" s="1"/>
    </row>
    <row r="36" spans="1:14" customFormat="1">
      <c r="A36" s="1"/>
      <c r="B36" s="524" t="s">
        <v>18</v>
      </c>
      <c r="C36" s="419" t="s">
        <v>112</v>
      </c>
      <c r="D36" s="419"/>
      <c r="E36" s="419"/>
      <c r="F36" s="419"/>
      <c r="G36" s="419"/>
      <c r="H36" s="1"/>
      <c r="I36" s="16"/>
      <c r="J36" s="16"/>
      <c r="K36" s="16"/>
      <c r="L36" s="16"/>
      <c r="M36" s="16"/>
      <c r="N36" s="16"/>
    </row>
    <row r="37" spans="1:14" customFormat="1">
      <c r="A37" s="1"/>
      <c r="B37" s="524"/>
      <c r="C37" s="399">
        <v>12</v>
      </c>
      <c r="D37" s="399">
        <v>24</v>
      </c>
      <c r="E37" s="399">
        <v>36</v>
      </c>
      <c r="F37" s="399">
        <v>48</v>
      </c>
      <c r="G37" s="399">
        <v>60</v>
      </c>
      <c r="H37" s="1"/>
      <c r="I37" s="16"/>
      <c r="J37" s="16"/>
      <c r="K37" s="16"/>
      <c r="L37" s="16"/>
      <c r="M37" s="16"/>
      <c r="N37" s="16"/>
    </row>
    <row r="38" spans="1:14" customFormat="1">
      <c r="A38" s="1"/>
      <c r="B38" s="399">
        <v>2020</v>
      </c>
      <c r="C38" s="417">
        <v>6878</v>
      </c>
      <c r="D38" s="417">
        <v>9886</v>
      </c>
      <c r="E38" s="417">
        <v>11991</v>
      </c>
      <c r="F38" s="417">
        <v>14724</v>
      </c>
      <c r="G38" s="417">
        <v>17361</v>
      </c>
      <c r="H38" s="1"/>
      <c r="I38" s="16"/>
      <c r="J38" s="16"/>
      <c r="K38" s="16"/>
      <c r="L38" s="16"/>
      <c r="M38" s="16"/>
      <c r="N38" s="16"/>
    </row>
    <row r="39" spans="1:14" customFormat="1">
      <c r="A39" s="1"/>
      <c r="B39" s="399">
        <v>2021</v>
      </c>
      <c r="C39" s="417">
        <v>6240</v>
      </c>
      <c r="D39" s="417">
        <v>9121</v>
      </c>
      <c r="E39" s="417">
        <v>12074</v>
      </c>
      <c r="F39" s="417">
        <v>15963</v>
      </c>
      <c r="G39" s="69"/>
      <c r="H39" s="1"/>
      <c r="I39" s="16"/>
      <c r="J39" s="16"/>
      <c r="K39" s="16"/>
      <c r="L39" s="16"/>
      <c r="M39" s="16"/>
      <c r="N39" s="16"/>
    </row>
    <row r="40" spans="1:14" customFormat="1">
      <c r="A40" s="1"/>
      <c r="B40" s="399">
        <v>2022</v>
      </c>
      <c r="C40" s="417">
        <v>7451</v>
      </c>
      <c r="D40" s="417">
        <v>10053</v>
      </c>
      <c r="E40" s="417">
        <v>13173</v>
      </c>
      <c r="F40" s="69"/>
      <c r="G40" s="69"/>
      <c r="H40" s="1"/>
      <c r="I40" s="16"/>
      <c r="J40" s="16"/>
      <c r="K40" s="16"/>
      <c r="L40" s="16"/>
      <c r="M40" s="16"/>
      <c r="N40" s="16"/>
    </row>
    <row r="41" spans="1:14" customFormat="1">
      <c r="A41" s="1"/>
      <c r="B41" s="399">
        <v>2023</v>
      </c>
      <c r="C41" s="417">
        <v>7663</v>
      </c>
      <c r="D41" s="417">
        <v>10649</v>
      </c>
      <c r="E41" s="69"/>
      <c r="F41" s="69"/>
      <c r="G41" s="69"/>
      <c r="H41" s="1"/>
      <c r="I41" s="16"/>
      <c r="J41" s="16"/>
      <c r="K41" s="16"/>
      <c r="L41" s="16"/>
      <c r="M41" s="16"/>
      <c r="N41" s="16"/>
    </row>
    <row r="42" spans="1:14" customFormat="1">
      <c r="A42" s="1"/>
      <c r="B42" s="399">
        <v>2024</v>
      </c>
      <c r="C42" s="417">
        <v>7892</v>
      </c>
      <c r="D42" s="69"/>
      <c r="E42" s="69"/>
      <c r="F42" s="69"/>
      <c r="G42" s="69"/>
      <c r="H42" s="1"/>
      <c r="I42" s="16"/>
      <c r="J42" s="16"/>
      <c r="K42" s="16"/>
      <c r="L42" s="16"/>
      <c r="M42" s="16"/>
      <c r="N42" s="16"/>
    </row>
    <row r="43" spans="1:14" customFormat="1">
      <c r="A43" s="1"/>
      <c r="B43" s="421"/>
      <c r="C43" s="422"/>
      <c r="D43" s="4"/>
      <c r="E43" s="4"/>
      <c r="F43" s="4"/>
      <c r="G43" s="4"/>
      <c r="H43" s="1"/>
      <c r="I43" s="16"/>
      <c r="J43" s="16"/>
      <c r="K43" s="16"/>
      <c r="L43" s="16"/>
      <c r="M43" s="16"/>
      <c r="N43" s="16"/>
    </row>
    <row r="44" spans="1:14" customFormat="1">
      <c r="A44" s="1"/>
      <c r="B44" s="154" t="s">
        <v>460</v>
      </c>
      <c r="C44" s="154" t="s">
        <v>455</v>
      </c>
      <c r="D44" s="154" t="s">
        <v>456</v>
      </c>
      <c r="E44" s="154" t="s">
        <v>457</v>
      </c>
      <c r="F44" s="154" t="s">
        <v>458</v>
      </c>
      <c r="G44" s="154" t="s">
        <v>459</v>
      </c>
      <c r="H44" s="1"/>
      <c r="I44" s="1"/>
      <c r="J44" s="1"/>
      <c r="K44" s="1"/>
      <c r="L44" s="1"/>
      <c r="M44" s="1"/>
    </row>
    <row r="45" spans="1:14" customFormat="1">
      <c r="A45" s="1"/>
      <c r="B45" s="154" t="s">
        <v>40</v>
      </c>
      <c r="C45" s="423">
        <f>SUM(D38:D41)/SUM(C38:C41)</f>
        <v>1.4065245111929725</v>
      </c>
      <c r="D45" s="423">
        <f>SUM(E38:E40)/SUM(D38:D40)</f>
        <v>1.2814177563661391</v>
      </c>
      <c r="E45" s="423">
        <f>SUM(F38:F39)/SUM(E38:E39)</f>
        <v>1.2751714107625183</v>
      </c>
      <c r="F45" s="423">
        <f>SUM(G38)/SUM(F38)</f>
        <v>1.1790953545232274</v>
      </c>
      <c r="G45" s="423">
        <v>1.05</v>
      </c>
      <c r="H45" s="16"/>
      <c r="I45" s="1"/>
      <c r="J45" s="1"/>
      <c r="K45" s="1"/>
      <c r="L45" s="1"/>
      <c r="M45" s="1"/>
    </row>
    <row r="46" spans="1:14" customFormat="1">
      <c r="A46" s="1"/>
      <c r="B46" s="154" t="s">
        <v>153</v>
      </c>
      <c r="C46" s="423">
        <f t="shared" ref="C46:E46" si="0">D46*C45</f>
        <v>2.8454098936910048</v>
      </c>
      <c r="D46" s="423">
        <f t="shared" si="0"/>
        <v>2.0230076838672453</v>
      </c>
      <c r="E46" s="423">
        <f t="shared" si="0"/>
        <v>1.5787261209834615</v>
      </c>
      <c r="F46" s="423">
        <f>G46*F45</f>
        <v>1.2380501222493889</v>
      </c>
      <c r="G46" s="423">
        <f>G45</f>
        <v>1.05</v>
      </c>
      <c r="H46" s="16"/>
      <c r="I46" s="1"/>
      <c r="J46" s="1"/>
      <c r="K46" s="1"/>
      <c r="L46" s="1"/>
      <c r="M46" s="1"/>
    </row>
    <row r="47" spans="1:14" customFormat="1">
      <c r="A47" s="1"/>
      <c r="B47" s="1"/>
      <c r="C47" s="1"/>
      <c r="D47" s="1"/>
      <c r="E47" s="1"/>
      <c r="F47" s="1"/>
      <c r="G47" s="1"/>
      <c r="H47" s="1"/>
      <c r="I47" s="1"/>
      <c r="J47" s="1"/>
      <c r="K47" s="1"/>
      <c r="L47" s="1"/>
      <c r="M47" s="1"/>
    </row>
    <row r="48" spans="1:14" customFormat="1" ht="15.6" customHeight="1">
      <c r="A48" s="1"/>
      <c r="B48" s="418" t="s">
        <v>18</v>
      </c>
      <c r="C48" s="154" t="s">
        <v>461</v>
      </c>
      <c r="D48" s="154" t="s">
        <v>462</v>
      </c>
      <c r="E48" s="154" t="s">
        <v>463</v>
      </c>
      <c r="F48" s="154" t="s">
        <v>215</v>
      </c>
      <c r="G48" s="150" t="s">
        <v>216</v>
      </c>
      <c r="H48" s="1"/>
      <c r="I48" s="1"/>
      <c r="J48" s="1"/>
      <c r="K48" s="1"/>
      <c r="L48" s="1"/>
      <c r="M48" s="1"/>
    </row>
    <row r="49" spans="1:13" customFormat="1">
      <c r="A49" s="1"/>
      <c r="B49" s="399">
        <v>2020</v>
      </c>
      <c r="C49" s="301">
        <f>G38</f>
        <v>17361</v>
      </c>
      <c r="D49" s="302">
        <f>G46</f>
        <v>1.05</v>
      </c>
      <c r="E49" s="303">
        <f>C49*D49</f>
        <v>18229.05</v>
      </c>
      <c r="F49" s="232">
        <v>18759</v>
      </c>
      <c r="G49" s="420">
        <f>F49-E49</f>
        <v>529.95000000000073</v>
      </c>
      <c r="H49" s="1"/>
      <c r="I49" s="1"/>
      <c r="J49" s="1"/>
      <c r="K49" s="1"/>
      <c r="L49" s="1"/>
      <c r="M49" s="1"/>
    </row>
    <row r="50" spans="1:13" customFormat="1">
      <c r="A50" s="1"/>
      <c r="B50" s="399">
        <v>2021</v>
      </c>
      <c r="C50" s="301">
        <f>F39</f>
        <v>15963</v>
      </c>
      <c r="D50" s="302">
        <f>F46</f>
        <v>1.2380501222493889</v>
      </c>
      <c r="E50" s="303">
        <f t="shared" ref="E50:E53" si="1">C50*D50</f>
        <v>19762.994101466997</v>
      </c>
      <c r="F50" s="232">
        <v>20490</v>
      </c>
      <c r="G50" s="420">
        <f t="shared" ref="G50:G53" si="2">F50-E50</f>
        <v>727.00589853300335</v>
      </c>
      <c r="H50" s="1"/>
      <c r="I50" s="1"/>
      <c r="J50" s="1"/>
      <c r="K50" s="1"/>
      <c r="L50" s="1"/>
      <c r="M50" s="1"/>
    </row>
    <row r="51" spans="1:13" customFormat="1">
      <c r="A51" s="1"/>
      <c r="B51" s="399">
        <v>2022</v>
      </c>
      <c r="C51" s="301">
        <f>E40</f>
        <v>13173</v>
      </c>
      <c r="D51" s="302">
        <f>E46</f>
        <v>1.5787261209834615</v>
      </c>
      <c r="E51" s="303">
        <f t="shared" si="1"/>
        <v>20796.55919171514</v>
      </c>
      <c r="F51" s="232">
        <v>22046</v>
      </c>
      <c r="G51" s="420">
        <f t="shared" si="2"/>
        <v>1249.4408082848604</v>
      </c>
      <c r="H51" s="1"/>
      <c r="I51" s="1"/>
      <c r="J51" s="1"/>
      <c r="K51" s="1"/>
      <c r="L51" s="1"/>
      <c r="M51" s="1"/>
    </row>
    <row r="52" spans="1:13" customFormat="1">
      <c r="A52" s="1"/>
      <c r="B52" s="399">
        <v>2023</v>
      </c>
      <c r="C52" s="301">
        <f>D41</f>
        <v>10649</v>
      </c>
      <c r="D52" s="302">
        <f>D46</f>
        <v>2.0230076838672453</v>
      </c>
      <c r="E52" s="303">
        <f t="shared" si="1"/>
        <v>21543.008825502297</v>
      </c>
      <c r="F52" s="232">
        <v>22573</v>
      </c>
      <c r="G52" s="420">
        <f t="shared" si="2"/>
        <v>1029.9911744977035</v>
      </c>
      <c r="H52" s="1"/>
      <c r="I52" s="1"/>
      <c r="J52" s="1"/>
      <c r="K52" s="1"/>
      <c r="L52" s="1"/>
      <c r="M52" s="1"/>
    </row>
    <row r="53" spans="1:13" customFormat="1">
      <c r="A53" s="1"/>
      <c r="B53" s="399">
        <v>2024</v>
      </c>
      <c r="C53" s="301">
        <f>C42</f>
        <v>7892</v>
      </c>
      <c r="D53" s="302">
        <f>C46</f>
        <v>2.8454098936910048</v>
      </c>
      <c r="E53" s="303">
        <f t="shared" si="1"/>
        <v>22455.97488100941</v>
      </c>
      <c r="F53" s="232">
        <v>23347</v>
      </c>
      <c r="G53" s="420">
        <f t="shared" si="2"/>
        <v>891.02511899059027</v>
      </c>
      <c r="H53" s="1"/>
      <c r="I53" s="1"/>
      <c r="J53" s="1"/>
      <c r="K53" s="1"/>
      <c r="L53" s="1"/>
      <c r="M53" s="1"/>
    </row>
    <row r="54" spans="1:13" customFormat="1">
      <c r="A54" s="16"/>
      <c r="B54" s="16"/>
      <c r="C54" s="16"/>
      <c r="D54" s="16"/>
      <c r="E54" s="16"/>
      <c r="F54" s="16"/>
      <c r="G54" s="16"/>
      <c r="H54" s="16"/>
      <c r="I54" s="16"/>
      <c r="J54" s="16"/>
      <c r="K54" s="16"/>
      <c r="L54" s="16"/>
      <c r="M54" s="16"/>
    </row>
    <row r="55" spans="1:13" customFormat="1">
      <c r="A55" s="36" t="s">
        <v>465</v>
      </c>
      <c r="B55" s="36"/>
      <c r="C55" s="36"/>
      <c r="D55" s="36"/>
      <c r="E55" s="36"/>
      <c r="F55" s="36"/>
      <c r="G55" s="36"/>
      <c r="H55" s="36"/>
      <c r="I55" s="3"/>
      <c r="J55" s="3"/>
      <c r="K55" s="3"/>
      <c r="L55" s="3"/>
      <c r="M55" s="3"/>
    </row>
    <row r="56" spans="1:13" customFormat="1">
      <c r="A56" s="36"/>
      <c r="B56" s="36"/>
      <c r="C56" s="36"/>
      <c r="D56" s="36"/>
      <c r="E56" s="36"/>
      <c r="F56" s="36"/>
      <c r="G56" s="36"/>
      <c r="H56" s="36"/>
      <c r="I56" s="3"/>
      <c r="J56" s="3"/>
      <c r="K56" s="3"/>
      <c r="L56" s="3"/>
      <c r="M56" s="3"/>
    </row>
    <row r="57" spans="1:13" customFormat="1">
      <c r="A57" s="36"/>
      <c r="B57" s="263" t="s">
        <v>466</v>
      </c>
      <c r="C57" s="264"/>
      <c r="D57" s="264"/>
      <c r="E57" s="264"/>
      <c r="F57" s="265"/>
      <c r="G57" s="36"/>
      <c r="H57" s="36"/>
      <c r="I57" s="3"/>
      <c r="J57" s="3"/>
      <c r="K57" s="3"/>
      <c r="L57" s="3"/>
      <c r="M57" s="3"/>
    </row>
    <row r="58" spans="1:13" customFormat="1">
      <c r="A58" s="36"/>
      <c r="B58" s="171" t="s">
        <v>36</v>
      </c>
      <c r="C58" s="173" t="s">
        <v>37</v>
      </c>
      <c r="D58" s="173" t="s">
        <v>38</v>
      </c>
      <c r="E58" s="173" t="s">
        <v>49</v>
      </c>
      <c r="F58" s="173" t="s">
        <v>116</v>
      </c>
      <c r="G58" s="36"/>
      <c r="H58" s="36"/>
      <c r="I58" s="3"/>
      <c r="J58" s="3"/>
      <c r="K58" s="3"/>
      <c r="L58" s="3"/>
      <c r="M58" s="3"/>
    </row>
    <row r="59" spans="1:13" customFormat="1">
      <c r="A59" s="36"/>
      <c r="B59" s="83">
        <v>1.8</v>
      </c>
      <c r="C59" s="83">
        <v>1.6</v>
      </c>
      <c r="D59" s="83">
        <v>1.5</v>
      </c>
      <c r="E59" s="83">
        <v>1.3</v>
      </c>
      <c r="F59" s="83">
        <v>1.1000000000000001</v>
      </c>
      <c r="G59" s="36"/>
      <c r="H59" s="36"/>
      <c r="I59" s="3"/>
      <c r="J59" s="3"/>
      <c r="K59" s="3"/>
      <c r="L59" s="3"/>
      <c r="M59" s="3"/>
    </row>
    <row r="60" spans="1:13" customFormat="1">
      <c r="A60" s="36"/>
      <c r="B60" s="96"/>
      <c r="C60" s="96"/>
      <c r="D60" s="96"/>
      <c r="E60" s="96"/>
      <c r="F60" s="96"/>
      <c r="G60" s="36"/>
      <c r="H60" s="36"/>
      <c r="I60" s="3"/>
      <c r="J60" s="3"/>
      <c r="K60" s="3"/>
      <c r="L60" s="3"/>
      <c r="M60" s="3"/>
    </row>
    <row r="61" spans="1:13" customFormat="1">
      <c r="A61" s="36"/>
      <c r="B61" s="268" t="s">
        <v>356</v>
      </c>
      <c r="C61" s="36"/>
      <c r="D61" s="266"/>
      <c r="E61" s="266"/>
      <c r="F61" s="266"/>
      <c r="G61" s="36"/>
      <c r="H61" s="36"/>
      <c r="I61" s="3"/>
      <c r="J61" s="427"/>
      <c r="K61" s="425" t="s">
        <v>471</v>
      </c>
      <c r="L61" s="341">
        <v>0.03</v>
      </c>
      <c r="M61" s="3"/>
    </row>
    <row r="62" spans="1:13" customFormat="1">
      <c r="A62" s="267"/>
      <c r="B62" s="268" t="s">
        <v>357</v>
      </c>
      <c r="C62" s="96"/>
      <c r="D62" s="96"/>
      <c r="E62" s="96"/>
      <c r="F62" s="96"/>
      <c r="G62" s="36"/>
      <c r="H62" s="36"/>
      <c r="I62" s="3"/>
      <c r="J62" s="427"/>
      <c r="K62" s="425" t="s">
        <v>25</v>
      </c>
      <c r="L62" s="341">
        <v>0.6</v>
      </c>
      <c r="M62" s="3"/>
    </row>
    <row r="63" spans="1:13" customFormat="1">
      <c r="A63" s="267"/>
      <c r="B63" s="245"/>
      <c r="C63" s="96"/>
      <c r="D63" s="96"/>
      <c r="E63" s="96"/>
      <c r="F63" s="96"/>
      <c r="G63" s="36"/>
      <c r="H63" s="36"/>
      <c r="I63" s="3"/>
      <c r="J63" s="3"/>
      <c r="K63" s="3"/>
      <c r="L63" s="3"/>
      <c r="M63" s="3"/>
    </row>
    <row r="64" spans="1:13" customFormat="1">
      <c r="A64" s="181" t="s">
        <v>3</v>
      </c>
      <c r="B64" s="5" t="s">
        <v>470</v>
      </c>
      <c r="C64" s="36"/>
      <c r="D64" s="36"/>
      <c r="E64" s="36"/>
      <c r="F64" s="36"/>
      <c r="G64" s="36"/>
      <c r="H64" s="36"/>
      <c r="I64" s="5"/>
      <c r="J64" s="5"/>
      <c r="K64" s="5"/>
      <c r="L64" s="5"/>
      <c r="M64" s="13"/>
    </row>
    <row r="65" spans="1:16" customFormat="1" ht="16.2">
      <c r="A65" s="92"/>
      <c r="B65" s="92" t="s">
        <v>0</v>
      </c>
      <c r="C65" s="92"/>
      <c r="D65" s="193"/>
      <c r="E65" s="193"/>
      <c r="F65" s="36"/>
      <c r="G65" s="36"/>
      <c r="H65" s="36"/>
      <c r="I65" s="5"/>
      <c r="J65" s="5"/>
      <c r="K65" s="5"/>
      <c r="L65" s="5"/>
      <c r="M65" s="13"/>
    </row>
    <row r="66" spans="1:16" customFormat="1" ht="14.55" customHeight="1">
      <c r="A66" s="115"/>
      <c r="B66" s="55"/>
      <c r="C66" s="55"/>
      <c r="D66" s="55"/>
      <c r="E66" s="55"/>
      <c r="F66" s="55"/>
      <c r="G66" s="55"/>
      <c r="H66" s="55"/>
      <c r="I66" s="55"/>
      <c r="J66" s="55"/>
      <c r="K66" s="55"/>
      <c r="L66" s="16"/>
      <c r="M66" s="55"/>
    </row>
    <row r="67" spans="1:16" customFormat="1" ht="14.55" customHeight="1">
      <c r="A67" s="16"/>
      <c r="B67" s="115"/>
      <c r="C67" s="439" t="s">
        <v>115</v>
      </c>
      <c r="D67" s="440"/>
      <c r="E67" s="440"/>
      <c r="F67" s="440"/>
      <c r="G67" s="441"/>
      <c r="H67" s="442"/>
      <c r="I67" s="55"/>
      <c r="J67" s="55"/>
      <c r="K67" s="55"/>
      <c r="L67" s="16"/>
      <c r="M67" s="55"/>
    </row>
    <row r="68" spans="1:16" customFormat="1" ht="14.55" customHeight="1">
      <c r="A68" s="16"/>
      <c r="B68" s="428" t="s">
        <v>472</v>
      </c>
      <c r="C68" s="443" t="s">
        <v>36</v>
      </c>
      <c r="D68" s="399" t="s">
        <v>37</v>
      </c>
      <c r="E68" s="399" t="s">
        <v>38</v>
      </c>
      <c r="F68" s="399" t="s">
        <v>49</v>
      </c>
      <c r="G68" s="399" t="s">
        <v>116</v>
      </c>
      <c r="H68" s="442"/>
      <c r="I68" s="55"/>
      <c r="J68" s="55"/>
      <c r="K68" s="55"/>
      <c r="L68" s="306"/>
      <c r="M68" s="55"/>
    </row>
    <row r="69" spans="1:16" customFormat="1" ht="14.55" customHeight="1">
      <c r="A69" s="16"/>
      <c r="B69" s="428" t="s">
        <v>40</v>
      </c>
      <c r="C69" s="444">
        <v>1.8</v>
      </c>
      <c r="D69" s="444">
        <v>1.6</v>
      </c>
      <c r="E69" s="444">
        <v>1.5</v>
      </c>
      <c r="F69" s="444">
        <v>1.3</v>
      </c>
      <c r="G69" s="444">
        <v>1.1000000000000001</v>
      </c>
      <c r="H69" s="442"/>
      <c r="I69" s="55"/>
      <c r="J69" s="55"/>
      <c r="K69" s="55"/>
      <c r="L69" s="306"/>
      <c r="M69" s="55"/>
    </row>
    <row r="70" spans="1:16" customFormat="1" ht="14.55" customHeight="1">
      <c r="A70" s="16"/>
      <c r="B70" s="428" t="s">
        <v>153</v>
      </c>
      <c r="C70" s="445">
        <f t="shared" ref="C70" si="3">D70*C69</f>
        <v>6.1776000000000018</v>
      </c>
      <c r="D70" s="445">
        <f t="shared" ref="D70" si="4">E70*D69</f>
        <v>3.4320000000000008</v>
      </c>
      <c r="E70" s="445">
        <f t="shared" ref="E70" si="5">F70*E69</f>
        <v>2.1450000000000005</v>
      </c>
      <c r="F70" s="445">
        <f>G70*F69</f>
        <v>1.4300000000000002</v>
      </c>
      <c r="G70" s="445">
        <f>G69</f>
        <v>1.1000000000000001</v>
      </c>
      <c r="H70" s="442"/>
      <c r="I70" s="55"/>
      <c r="J70" s="55"/>
      <c r="K70" s="55"/>
      <c r="L70" s="16"/>
      <c r="M70" s="55"/>
    </row>
    <row r="71" spans="1:16" customFormat="1" ht="14.55" customHeight="1">
      <c r="A71" s="16"/>
      <c r="B71" s="115"/>
      <c r="C71" s="112"/>
      <c r="D71" s="112"/>
      <c r="E71" s="112"/>
      <c r="F71" s="112"/>
      <c r="G71" s="112"/>
      <c r="H71" s="442"/>
      <c r="I71" s="55"/>
      <c r="J71" s="55"/>
      <c r="K71" s="55"/>
      <c r="L71" s="16"/>
      <c r="M71" s="55"/>
    </row>
    <row r="72" spans="1:16" customFormat="1" ht="14.55" customHeight="1">
      <c r="A72" s="16"/>
      <c r="B72" s="524" t="s">
        <v>18</v>
      </c>
      <c r="C72" s="419" t="s">
        <v>113</v>
      </c>
      <c r="D72" s="419"/>
      <c r="E72" s="419"/>
      <c r="F72" s="419"/>
      <c r="G72" s="419"/>
      <c r="H72" s="524" t="s">
        <v>111</v>
      </c>
      <c r="I72" s="55"/>
      <c r="J72" s="55"/>
      <c r="K72" s="55"/>
      <c r="L72" s="55"/>
      <c r="M72" s="55"/>
    </row>
    <row r="73" spans="1:16" customFormat="1" ht="14.55" customHeight="1">
      <c r="A73" s="16"/>
      <c r="B73" s="524"/>
      <c r="C73" s="399">
        <v>12</v>
      </c>
      <c r="D73" s="399">
        <v>24</v>
      </c>
      <c r="E73" s="399">
        <v>36</v>
      </c>
      <c r="F73" s="399">
        <v>48</v>
      </c>
      <c r="G73" s="399">
        <v>60</v>
      </c>
      <c r="H73" s="524"/>
      <c r="I73" s="442"/>
      <c r="J73" s="442"/>
      <c r="K73" s="16"/>
      <c r="L73" s="16"/>
      <c r="M73" s="16"/>
      <c r="N73" s="16"/>
      <c r="O73" s="16"/>
      <c r="P73" s="16"/>
    </row>
    <row r="74" spans="1:16" customFormat="1" ht="14.55" customHeight="1">
      <c r="A74" s="16"/>
      <c r="B74" s="399">
        <v>2020</v>
      </c>
      <c r="C74" s="446">
        <v>16</v>
      </c>
      <c r="D74" s="446">
        <v>97</v>
      </c>
      <c r="E74" s="446">
        <v>164</v>
      </c>
      <c r="F74" s="446">
        <v>323</v>
      </c>
      <c r="G74" s="446">
        <v>505</v>
      </c>
      <c r="H74" s="447">
        <v>31401</v>
      </c>
      <c r="I74" s="442"/>
      <c r="J74" s="442"/>
      <c r="K74" s="16"/>
      <c r="L74" s="16"/>
      <c r="M74" s="16"/>
      <c r="N74" s="16"/>
      <c r="O74" s="16"/>
      <c r="P74" s="16"/>
    </row>
    <row r="75" spans="1:16" customFormat="1" ht="14.55" customHeight="1">
      <c r="A75" s="16"/>
      <c r="B75" s="399">
        <v>2021</v>
      </c>
      <c r="C75" s="399" t="s">
        <v>114</v>
      </c>
      <c r="D75" s="399" t="s">
        <v>114</v>
      </c>
      <c r="E75" s="399" t="s">
        <v>114</v>
      </c>
      <c r="F75" s="446">
        <v>472</v>
      </c>
      <c r="G75" s="69"/>
      <c r="H75" s="447">
        <v>33634</v>
      </c>
      <c r="I75" s="442"/>
      <c r="J75" s="442"/>
      <c r="K75" s="16"/>
      <c r="L75" s="16"/>
      <c r="M75" s="16"/>
      <c r="N75" s="16"/>
      <c r="O75" s="16"/>
      <c r="P75" s="16"/>
    </row>
    <row r="76" spans="1:16" customFormat="1" ht="14.55" customHeight="1">
      <c r="A76" s="16"/>
      <c r="B76" s="399">
        <v>2022</v>
      </c>
      <c r="C76" s="446">
        <v>93</v>
      </c>
      <c r="D76" s="446">
        <v>215</v>
      </c>
      <c r="E76" s="446">
        <v>434</v>
      </c>
      <c r="F76" s="69"/>
      <c r="G76" s="69"/>
      <c r="H76" s="447">
        <v>39005</v>
      </c>
      <c r="I76" s="442"/>
      <c r="J76" s="442"/>
      <c r="K76" s="16"/>
      <c r="L76" s="16"/>
      <c r="M76" s="16"/>
      <c r="N76" s="16"/>
      <c r="O76" s="16"/>
      <c r="P76" s="16"/>
    </row>
    <row r="77" spans="1:16" customFormat="1" ht="14.55" customHeight="1">
      <c r="A77" s="16"/>
      <c r="B77" s="399">
        <v>2023</v>
      </c>
      <c r="C77" s="446">
        <v>124</v>
      </c>
      <c r="D77" s="446">
        <v>161</v>
      </c>
      <c r="E77" s="69"/>
      <c r="F77" s="69"/>
      <c r="G77" s="69"/>
      <c r="H77" s="447">
        <v>37051</v>
      </c>
      <c r="I77" s="442"/>
      <c r="J77" s="442"/>
      <c r="K77" s="16"/>
      <c r="L77" s="16"/>
      <c r="M77" s="16"/>
      <c r="N77" s="16"/>
      <c r="O77" s="16"/>
      <c r="P77" s="16"/>
    </row>
    <row r="78" spans="1:16" customFormat="1" ht="14.55" customHeight="1">
      <c r="A78" s="16"/>
      <c r="B78" s="399">
        <v>2024</v>
      </c>
      <c r="C78" s="446">
        <v>11</v>
      </c>
      <c r="D78" s="69"/>
      <c r="E78" s="69"/>
      <c r="F78" s="69"/>
      <c r="G78" s="69"/>
      <c r="H78" s="447">
        <v>38507</v>
      </c>
      <c r="I78" s="442"/>
      <c r="J78" s="442"/>
      <c r="K78" s="16"/>
      <c r="L78" s="16"/>
      <c r="M78" s="16"/>
      <c r="N78" s="16"/>
      <c r="O78" s="16"/>
      <c r="P78" s="16"/>
    </row>
    <row r="79" spans="1:16" customFormat="1" ht="14.55" customHeight="1">
      <c r="A79" s="16"/>
      <c r="B79" s="421"/>
      <c r="C79" s="448"/>
      <c r="D79" s="4"/>
      <c r="E79" s="4"/>
      <c r="F79" s="4"/>
      <c r="G79" s="4"/>
      <c r="H79" s="449"/>
      <c r="I79" s="432"/>
      <c r="J79" s="34"/>
      <c r="K79" s="105"/>
      <c r="L79" s="433"/>
      <c r="M79" s="434"/>
      <c r="N79" s="435"/>
      <c r="O79" s="436"/>
      <c r="P79" s="437"/>
    </row>
    <row r="80" spans="1:16" customFormat="1" ht="31.2" customHeight="1">
      <c r="A80" s="16"/>
      <c r="B80" s="72" t="s">
        <v>18</v>
      </c>
      <c r="C80" s="64" t="s">
        <v>476</v>
      </c>
      <c r="D80" s="64" t="s">
        <v>478</v>
      </c>
      <c r="E80" s="64" t="s">
        <v>477</v>
      </c>
      <c r="F80" s="72" t="s">
        <v>153</v>
      </c>
      <c r="G80" s="64" t="s">
        <v>473</v>
      </c>
      <c r="H80" s="64" t="s">
        <v>475</v>
      </c>
      <c r="I80" s="64" t="s">
        <v>474</v>
      </c>
      <c r="J80" s="452" t="s">
        <v>479</v>
      </c>
      <c r="K80" s="105"/>
      <c r="L80" s="433"/>
      <c r="M80" s="434"/>
      <c r="N80" s="435"/>
      <c r="O80" s="436"/>
      <c r="P80" s="437"/>
    </row>
    <row r="81" spans="1:16" customFormat="1" ht="14.55" customHeight="1">
      <c r="A81" s="16"/>
      <c r="B81" s="399">
        <v>2020</v>
      </c>
      <c r="C81" s="304">
        <f>$L$61*H74</f>
        <v>942.03</v>
      </c>
      <c r="D81" s="450">
        <f>G74</f>
        <v>505</v>
      </c>
      <c r="E81" s="450">
        <f>C81*$L$62</f>
        <v>565.21799999999996</v>
      </c>
      <c r="F81" s="451">
        <f>G70</f>
        <v>1.1000000000000001</v>
      </c>
      <c r="G81" s="305">
        <f>(1-1/F81)</f>
        <v>9.0909090909090939E-2</v>
      </c>
      <c r="H81" s="450">
        <f>G81*E81</f>
        <v>51.383454545454562</v>
      </c>
      <c r="I81" s="450">
        <f>H81+D81</f>
        <v>556.38345454545458</v>
      </c>
      <c r="J81" s="438">
        <f>I81/C81</f>
        <v>0.59062180030938993</v>
      </c>
      <c r="K81" s="105"/>
      <c r="L81" s="433"/>
      <c r="M81" s="434"/>
      <c r="N81" s="435"/>
      <c r="O81" s="436"/>
      <c r="P81" s="437"/>
    </row>
    <row r="82" spans="1:16" customFormat="1" ht="14.55" customHeight="1">
      <c r="A82" s="16"/>
      <c r="B82" s="399">
        <v>2021</v>
      </c>
      <c r="C82" s="304">
        <f>$L$61*H75</f>
        <v>1009.02</v>
      </c>
      <c r="D82" s="450">
        <f>F75</f>
        <v>472</v>
      </c>
      <c r="E82" s="450">
        <f t="shared" ref="E82:E85" si="6">C82*$L$62</f>
        <v>605.41199999999992</v>
      </c>
      <c r="F82" s="451">
        <f>F70</f>
        <v>1.4300000000000002</v>
      </c>
      <c r="G82" s="305">
        <f t="shared" ref="G82:G85" si="7">(1-1/F82)</f>
        <v>0.30069930069930073</v>
      </c>
      <c r="H82" s="450">
        <f t="shared" ref="H82:H85" si="8">G82*E82</f>
        <v>182.04696503496504</v>
      </c>
      <c r="I82" s="450">
        <f t="shared" ref="I82:I85" si="9">H82+D82</f>
        <v>654.04696503496507</v>
      </c>
      <c r="J82" s="438">
        <f t="shared" ref="J82:J85" si="10">I82/C82</f>
        <v>0.64820019923783978</v>
      </c>
      <c r="K82" s="105"/>
      <c r="L82" s="433"/>
      <c r="M82" s="434"/>
      <c r="N82" s="435"/>
      <c r="O82" s="436"/>
      <c r="P82" s="437"/>
    </row>
    <row r="83" spans="1:16" customFormat="1" ht="14.55" customHeight="1">
      <c r="A83" s="16"/>
      <c r="B83" s="399">
        <v>2022</v>
      </c>
      <c r="C83" s="304">
        <f>$L$61*H76</f>
        <v>1170.1499999999999</v>
      </c>
      <c r="D83" s="450">
        <f>E76</f>
        <v>434</v>
      </c>
      <c r="E83" s="450">
        <f t="shared" si="6"/>
        <v>702.08999999999992</v>
      </c>
      <c r="F83" s="451">
        <f>E70</f>
        <v>2.1450000000000005</v>
      </c>
      <c r="G83" s="305">
        <f t="shared" si="7"/>
        <v>0.53379953379953382</v>
      </c>
      <c r="H83" s="450">
        <f t="shared" si="8"/>
        <v>374.77531468531464</v>
      </c>
      <c r="I83" s="450">
        <f t="shared" si="9"/>
        <v>808.7753146853147</v>
      </c>
      <c r="J83" s="438">
        <f t="shared" si="10"/>
        <v>0.69117234088391644</v>
      </c>
      <c r="K83" s="105"/>
      <c r="L83" s="433"/>
      <c r="M83" s="434"/>
      <c r="N83" s="435"/>
      <c r="O83" s="436"/>
      <c r="P83" s="437"/>
    </row>
    <row r="84" spans="1:16" customFormat="1" ht="14.55" customHeight="1">
      <c r="A84" s="16"/>
      <c r="B84" s="399">
        <v>2023</v>
      </c>
      <c r="C84" s="304">
        <f>$L$61*H77</f>
        <v>1111.53</v>
      </c>
      <c r="D84" s="450">
        <f>D77</f>
        <v>161</v>
      </c>
      <c r="E84" s="450">
        <f t="shared" si="6"/>
        <v>666.91800000000001</v>
      </c>
      <c r="F84" s="451">
        <f>D70</f>
        <v>3.4320000000000008</v>
      </c>
      <c r="G84" s="305">
        <f t="shared" si="7"/>
        <v>0.70862470862470872</v>
      </c>
      <c r="H84" s="450">
        <f t="shared" si="8"/>
        <v>472.5945734265735</v>
      </c>
      <c r="I84" s="450">
        <f t="shared" si="9"/>
        <v>633.59457342657356</v>
      </c>
      <c r="J84" s="438">
        <f t="shared" si="10"/>
        <v>0.57002021846155626</v>
      </c>
      <c r="K84" s="105"/>
      <c r="L84" s="433"/>
      <c r="M84" s="434"/>
      <c r="N84" s="435"/>
      <c r="O84" s="436"/>
      <c r="P84" s="437"/>
    </row>
    <row r="85" spans="1:16" customFormat="1" ht="14.55" customHeight="1">
      <c r="A85" s="16"/>
      <c r="B85" s="399">
        <v>2024</v>
      </c>
      <c r="C85" s="304">
        <f>$L$61*H78</f>
        <v>1155.21</v>
      </c>
      <c r="D85" s="450">
        <f>C78</f>
        <v>11</v>
      </c>
      <c r="E85" s="450">
        <f t="shared" si="6"/>
        <v>693.12599999999998</v>
      </c>
      <c r="F85" s="451">
        <f>C70</f>
        <v>6.1776000000000018</v>
      </c>
      <c r="G85" s="305">
        <f t="shared" si="7"/>
        <v>0.83812483812483818</v>
      </c>
      <c r="H85" s="450">
        <f t="shared" si="8"/>
        <v>580.9261165501166</v>
      </c>
      <c r="I85" s="450">
        <f t="shared" si="9"/>
        <v>591.9261165501166</v>
      </c>
      <c r="J85" s="438">
        <f t="shared" si="10"/>
        <v>0.51239698111176024</v>
      </c>
      <c r="K85" s="105"/>
      <c r="L85" s="433"/>
      <c r="M85" s="434"/>
      <c r="N85" s="435"/>
      <c r="O85" s="436"/>
      <c r="P85" s="437"/>
    </row>
    <row r="86" spans="1:16" customFormat="1" ht="14.55" customHeight="1">
      <c r="A86" s="16"/>
      <c r="B86" s="429"/>
      <c r="C86" s="430"/>
      <c r="D86" s="35"/>
      <c r="E86" s="35"/>
      <c r="F86" s="35"/>
      <c r="G86" s="35"/>
      <c r="H86" s="431"/>
      <c r="I86" s="432"/>
      <c r="J86" s="105"/>
      <c r="K86" s="105"/>
      <c r="L86" s="433"/>
      <c r="M86" s="434"/>
      <c r="N86" s="435"/>
      <c r="O86" s="436"/>
      <c r="P86" s="437"/>
    </row>
    <row r="87" spans="1:16" customFormat="1">
      <c r="A87" s="181" t="s">
        <v>16</v>
      </c>
      <c r="B87" s="36" t="s">
        <v>361</v>
      </c>
      <c r="C87" s="36"/>
      <c r="D87" s="36"/>
      <c r="E87" s="5"/>
      <c r="F87" s="5"/>
      <c r="G87" s="5"/>
      <c r="H87" s="5"/>
      <c r="I87" s="5"/>
      <c r="J87" s="5"/>
      <c r="K87" s="5"/>
      <c r="L87" s="5"/>
      <c r="M87" s="13"/>
    </row>
    <row r="88" spans="1:16" customFormat="1" ht="16.2">
      <c r="A88" s="92"/>
      <c r="B88" s="92" t="s">
        <v>0</v>
      </c>
      <c r="C88" s="92"/>
      <c r="D88" s="193"/>
      <c r="E88" s="11"/>
      <c r="F88" s="5"/>
      <c r="G88" s="5"/>
      <c r="H88" s="5"/>
      <c r="I88" s="5"/>
      <c r="J88" s="5"/>
      <c r="K88" s="5"/>
      <c r="L88" s="5"/>
      <c r="M88" s="13"/>
    </row>
    <row r="89" spans="1:16" customFormat="1">
      <c r="A89" s="521" t="s">
        <v>480</v>
      </c>
      <c r="B89" s="521"/>
      <c r="C89" s="521"/>
      <c r="D89" s="521"/>
      <c r="E89" s="521"/>
      <c r="F89" s="521"/>
      <c r="G89" s="521"/>
      <c r="H89" s="521"/>
      <c r="I89" s="521"/>
      <c r="J89" s="521"/>
      <c r="K89" s="521"/>
      <c r="L89" s="521"/>
      <c r="M89" s="521"/>
    </row>
    <row r="90" spans="1:16" customFormat="1">
      <c r="A90" s="521" t="s">
        <v>481</v>
      </c>
      <c r="B90" s="521"/>
      <c r="C90" s="521"/>
      <c r="D90" s="521"/>
      <c r="E90" s="521"/>
      <c r="F90" s="521"/>
      <c r="G90" s="521"/>
      <c r="H90" s="521"/>
      <c r="I90" s="521"/>
      <c r="J90" s="521"/>
      <c r="K90" s="521"/>
      <c r="L90" s="521"/>
      <c r="M90" s="521"/>
    </row>
    <row r="91" spans="1:16" customFormat="1">
      <c r="A91" s="521" t="s">
        <v>482</v>
      </c>
      <c r="B91" s="521"/>
      <c r="C91" s="521"/>
      <c r="D91" s="521"/>
      <c r="E91" s="521"/>
      <c r="F91" s="521"/>
      <c r="G91" s="521"/>
      <c r="H91" s="521"/>
      <c r="I91" s="521"/>
      <c r="J91" s="521"/>
      <c r="K91" s="521"/>
      <c r="L91" s="521"/>
      <c r="M91" s="521"/>
    </row>
    <row r="92" spans="1:16" customFormat="1">
      <c r="A92" s="521" t="s">
        <v>483</v>
      </c>
      <c r="B92" s="521"/>
      <c r="C92" s="521"/>
      <c r="D92" s="521"/>
      <c r="E92" s="521"/>
      <c r="F92" s="521"/>
      <c r="G92" s="521"/>
      <c r="H92" s="521"/>
      <c r="I92" s="521"/>
      <c r="J92" s="521"/>
      <c r="K92" s="521"/>
      <c r="L92" s="521"/>
      <c r="M92" s="521"/>
    </row>
    <row r="93" spans="1:16" customFormat="1">
      <c r="A93" s="6"/>
      <c r="B93" s="6"/>
      <c r="C93" s="6"/>
      <c r="D93" s="6"/>
      <c r="E93" s="6"/>
      <c r="F93" s="6"/>
      <c r="G93" s="6"/>
      <c r="H93" s="6"/>
      <c r="I93" s="6"/>
      <c r="J93" s="6"/>
      <c r="K93" s="6"/>
      <c r="L93" s="6"/>
      <c r="M93" s="6"/>
    </row>
    <row r="94" spans="1:16" customFormat="1">
      <c r="A94" s="6"/>
      <c r="B94" s="6"/>
      <c r="C94" s="6"/>
      <c r="D94" s="6"/>
      <c r="E94" s="6"/>
      <c r="F94" s="6"/>
      <c r="G94" s="6"/>
      <c r="H94" s="6"/>
      <c r="I94" s="6"/>
      <c r="J94" s="6"/>
      <c r="K94" s="6"/>
      <c r="L94" s="6"/>
      <c r="M94" s="6"/>
    </row>
    <row r="95" spans="1:16" customFormat="1">
      <c r="A95" s="6"/>
      <c r="B95" s="6"/>
      <c r="C95" s="6"/>
      <c r="D95" s="6"/>
      <c r="E95" s="6"/>
      <c r="F95" s="6"/>
      <c r="G95" s="6"/>
      <c r="H95" s="6"/>
      <c r="I95" s="6"/>
      <c r="J95" s="6"/>
      <c r="K95" s="6"/>
      <c r="L95" s="6"/>
      <c r="M95" s="6"/>
    </row>
    <row r="96" spans="1:16" customFormat="1">
      <c r="A96" s="6"/>
      <c r="B96" s="6"/>
      <c r="C96" s="6"/>
      <c r="D96" s="6"/>
      <c r="E96" s="6"/>
      <c r="F96" s="6"/>
      <c r="G96" s="6"/>
      <c r="H96" s="6"/>
      <c r="I96" s="6"/>
      <c r="J96" s="6"/>
      <c r="K96" s="6"/>
      <c r="L96" s="6"/>
      <c r="M96" s="6"/>
    </row>
    <row r="97" spans="1:13" customFormat="1">
      <c r="A97" s="6"/>
      <c r="B97" s="6"/>
      <c r="C97" s="6"/>
      <c r="D97" s="6"/>
      <c r="E97" s="6"/>
      <c r="F97" s="6"/>
      <c r="G97" s="6"/>
      <c r="H97" s="6"/>
      <c r="I97" s="6"/>
      <c r="J97" s="6"/>
      <c r="K97" s="6"/>
      <c r="L97" s="6"/>
      <c r="M97" s="6"/>
    </row>
    <row r="98" spans="1:13" customFormat="1">
      <c r="A98" s="6"/>
      <c r="B98" s="6"/>
      <c r="C98" s="6"/>
      <c r="D98" s="6"/>
      <c r="E98" s="6"/>
      <c r="F98" s="6"/>
      <c r="G98" s="6"/>
      <c r="H98" s="6"/>
      <c r="I98" s="6"/>
      <c r="J98" s="6"/>
      <c r="K98" s="6"/>
      <c r="L98" s="6"/>
      <c r="M98" s="6"/>
    </row>
    <row r="99" spans="1:13" customFormat="1">
      <c r="A99" s="6"/>
      <c r="B99" s="6"/>
      <c r="C99" s="6"/>
      <c r="D99" s="6"/>
      <c r="E99" s="6"/>
      <c r="F99" s="6"/>
      <c r="G99" s="6"/>
      <c r="H99" s="6"/>
      <c r="I99" s="6"/>
      <c r="J99" s="6"/>
      <c r="K99" s="6"/>
      <c r="L99" s="6"/>
      <c r="M99" s="6"/>
    </row>
    <row r="100" spans="1:13" customFormat="1">
      <c r="A100" s="6"/>
      <c r="B100" s="6"/>
      <c r="C100" s="6"/>
      <c r="D100" s="6"/>
      <c r="E100" s="6"/>
      <c r="F100" s="6"/>
      <c r="G100" s="6"/>
      <c r="H100" s="6"/>
      <c r="I100" s="6"/>
      <c r="J100" s="6"/>
      <c r="K100" s="6"/>
      <c r="L100" s="6"/>
      <c r="M100" s="6"/>
    </row>
    <row r="101" spans="1:13" customFormat="1">
      <c r="A101" s="6"/>
      <c r="B101" s="6"/>
      <c r="C101" s="6"/>
      <c r="D101" s="6"/>
      <c r="E101" s="6"/>
      <c r="F101" s="6"/>
      <c r="G101" s="6"/>
      <c r="H101" s="6"/>
      <c r="I101" s="6"/>
      <c r="J101" s="6"/>
      <c r="K101" s="6"/>
      <c r="L101" s="6"/>
      <c r="M101" s="6"/>
    </row>
    <row r="102" spans="1:13" customFormat="1">
      <c r="A102" s="6"/>
      <c r="B102" s="6"/>
      <c r="C102" s="6"/>
      <c r="D102" s="6"/>
      <c r="E102" s="6"/>
      <c r="F102" s="6"/>
      <c r="G102" s="6"/>
      <c r="H102" s="6"/>
      <c r="I102" s="6"/>
      <c r="J102" s="6"/>
      <c r="K102" s="6"/>
      <c r="L102" s="6"/>
      <c r="M102" s="6"/>
    </row>
    <row r="103" spans="1:13" customFormat="1">
      <c r="A103" s="6"/>
      <c r="B103" s="6"/>
      <c r="C103" s="6"/>
      <c r="D103" s="6"/>
      <c r="E103" s="6"/>
      <c r="F103" s="6"/>
      <c r="G103" s="6"/>
      <c r="H103" s="6"/>
      <c r="I103" s="6"/>
      <c r="J103" s="6"/>
      <c r="K103" s="6"/>
      <c r="L103" s="6"/>
      <c r="M103" s="6"/>
    </row>
    <row r="104" spans="1:13" customFormat="1">
      <c r="A104" s="6"/>
      <c r="B104" s="6"/>
      <c r="C104" s="6"/>
      <c r="D104" s="6"/>
      <c r="E104" s="6"/>
      <c r="F104" s="6"/>
      <c r="G104" s="6"/>
      <c r="H104" s="6"/>
      <c r="I104" s="6"/>
      <c r="J104" s="6"/>
      <c r="K104" s="6"/>
      <c r="L104" s="6"/>
      <c r="M104" s="6"/>
    </row>
    <row r="105" spans="1:13" customFormat="1">
      <c r="A105" s="6"/>
      <c r="B105" s="6"/>
      <c r="C105" s="6"/>
      <c r="D105" s="6"/>
      <c r="E105" s="6"/>
      <c r="F105" s="6"/>
      <c r="G105" s="6"/>
      <c r="H105" s="6"/>
      <c r="I105" s="6"/>
      <c r="J105" s="6"/>
      <c r="K105" s="6"/>
      <c r="L105" s="6"/>
      <c r="M105" s="6"/>
    </row>
    <row r="106" spans="1:13" customFormat="1">
      <c r="A106" s="6"/>
    </row>
    <row r="107" spans="1:13" customFormat="1">
      <c r="A107" s="6"/>
    </row>
    <row r="108" spans="1:13" customFormat="1">
      <c r="A108" s="6"/>
    </row>
    <row r="109" spans="1:13" customFormat="1" ht="14.4"/>
    <row r="110" spans="1:13" customFormat="1" ht="14.4"/>
    <row r="111" spans="1:13" customFormat="1" ht="14.4"/>
    <row r="112" spans="1:13" customFormat="1" ht="14.4"/>
    <row r="113" customFormat="1" ht="14.4"/>
    <row r="114" customFormat="1" ht="14.4"/>
    <row r="115" customFormat="1" ht="14.4"/>
    <row r="116" customFormat="1" ht="14.4"/>
    <row r="117" customFormat="1" ht="14.4"/>
    <row r="118" customFormat="1" ht="14.4"/>
    <row r="119" customFormat="1" ht="14.4"/>
    <row r="120" customFormat="1" ht="14.4"/>
    <row r="121" customFormat="1" ht="14.4"/>
    <row r="122" customFormat="1" ht="14.4"/>
    <row r="123" customFormat="1" ht="14.4"/>
    <row r="124" customFormat="1" ht="14.4"/>
    <row r="125" customFormat="1" ht="14.4"/>
    <row r="126" customFormat="1" ht="14.4"/>
    <row r="127" customFormat="1" ht="14.4"/>
    <row r="128" customFormat="1" ht="14.4"/>
    <row r="129" customFormat="1" ht="14.4"/>
    <row r="130" customFormat="1" ht="14.4"/>
    <row r="131" customFormat="1" ht="14.4"/>
    <row r="132" customFormat="1" ht="14.4"/>
    <row r="133" customFormat="1" ht="14.4"/>
    <row r="134" customFormat="1" ht="14.4"/>
    <row r="135" customFormat="1" ht="14.4"/>
    <row r="136" customFormat="1" ht="14.4"/>
    <row r="137" customFormat="1" ht="14.4"/>
    <row r="138" customFormat="1" ht="14.4"/>
    <row r="139" customFormat="1" ht="14.4"/>
    <row r="140" customFormat="1" ht="14.4"/>
    <row r="141" customFormat="1" ht="14.4"/>
    <row r="142" customFormat="1" ht="14.4"/>
    <row r="143" customFormat="1" ht="14.4"/>
    <row r="144" customFormat="1" ht="14.4"/>
    <row r="145" customFormat="1" ht="14.4"/>
    <row r="146" customFormat="1" ht="14.4"/>
    <row r="147" customFormat="1" ht="14.4"/>
    <row r="148" customFormat="1" ht="14.4"/>
    <row r="149" customFormat="1" ht="14.4"/>
    <row r="150" customFormat="1" ht="14.4"/>
    <row r="151" customFormat="1" ht="14.4"/>
    <row r="152" customFormat="1" ht="14.4"/>
    <row r="153" customFormat="1" ht="14.4"/>
    <row r="154" customFormat="1" ht="14.4"/>
    <row r="155" customFormat="1" ht="14.4"/>
    <row r="156" customFormat="1" ht="14.4"/>
    <row r="157" customFormat="1" ht="14.4"/>
    <row r="158" customFormat="1" ht="14.4"/>
    <row r="159" customFormat="1" ht="14.4"/>
    <row r="160" customFormat="1" ht="14.4"/>
    <row r="161" customFormat="1" ht="14.4"/>
    <row r="162" customFormat="1" ht="14.4"/>
    <row r="163" customFormat="1" ht="14.4"/>
    <row r="164" customFormat="1" ht="14.4"/>
    <row r="165" customFormat="1" ht="14.4"/>
    <row r="166" customFormat="1" ht="14.4"/>
    <row r="167" customFormat="1" ht="14.4"/>
    <row r="168" customFormat="1" ht="14.4"/>
    <row r="169" customFormat="1" ht="14.4"/>
    <row r="170" customFormat="1" ht="14.4"/>
    <row r="171" customFormat="1" ht="14.4"/>
    <row r="172" customFormat="1" ht="14.4"/>
    <row r="173" customFormat="1" ht="14.4"/>
  </sheetData>
  <mergeCells count="17">
    <mergeCell ref="C23:G23"/>
    <mergeCell ref="A89:M89"/>
    <mergeCell ref="A90:M90"/>
    <mergeCell ref="A91:M91"/>
    <mergeCell ref="A92:M92"/>
    <mergeCell ref="A3:L3"/>
    <mergeCell ref="C7:G7"/>
    <mergeCell ref="B7:B8"/>
    <mergeCell ref="H7:H8"/>
    <mergeCell ref="I7:I8"/>
    <mergeCell ref="A31:M31"/>
    <mergeCell ref="B36:B37"/>
    <mergeCell ref="B72:B73"/>
    <mergeCell ref="H72:H73"/>
    <mergeCell ref="B15:B16"/>
    <mergeCell ref="B23:B24"/>
    <mergeCell ref="C15:G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C4F2F6-6F1C-47A9-9B0D-889F8685398B}"/>
</file>

<file path=customXml/itemProps2.xml><?xml version="1.0" encoding="utf-8"?>
<ds:datastoreItem xmlns:ds="http://schemas.openxmlformats.org/officeDocument/2006/customXml" ds:itemID="{7C372809-6BE2-4BCF-AEE8-05C04E96B9A2}"/>
</file>

<file path=customXml/itemProps3.xml><?xml version="1.0" encoding="utf-8"?>
<ds:datastoreItem xmlns:ds="http://schemas.openxmlformats.org/officeDocument/2006/customXml" ds:itemID="{F4F25A2D-A40F-4934-9315-3492042BBFE9}"/>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Q01</vt:lpstr>
      <vt:lpstr>Q02</vt:lpstr>
      <vt:lpstr>Q03</vt:lpstr>
      <vt:lpstr>Q04</vt:lpstr>
      <vt:lpstr>Q05</vt:lpstr>
      <vt:lpstr>Q06</vt:lpstr>
      <vt:lpstr>Q07</vt:lpstr>
      <vt:lpstr>Q08</vt:lpstr>
      <vt:lpstr>Q09</vt:lpstr>
      <vt:lpstr>Q10</vt:lpstr>
      <vt:lpstr>Q11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Mark Dulceak</cp:lastModifiedBy>
  <dcterms:created xsi:type="dcterms:W3CDTF">2022-12-05T16:07:54Z</dcterms:created>
  <dcterms:modified xsi:type="dcterms:W3CDTF">2026-01-07T20:33:32Z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0x010100A13D16CE4023BB4BB4110DFC2802C897</vt:lpwstr>
  </property>
</Properties>
</file>