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May 2025 Solutions/RETFRC/"/>
    </mc:Choice>
  </mc:AlternateContent>
  <xr:revisionPtr revIDLastSave="0" documentId="10_ncr:8000_{A5C542F6-AD8B-43DA-8038-204100F4DECC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Question 2" sheetId="5" r:id="rId1"/>
    <sheet name="Question 4" sheetId="7" r:id="rId2"/>
    <sheet name="Question 6" sheetId="6" r:id="rId3"/>
  </sheets>
  <definedNames>
    <definedName name="_Hlk6488088" localSheetId="1">'Question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7" l="1"/>
  <c r="M19" i="7"/>
  <c r="N19" i="7"/>
  <c r="L24" i="7"/>
  <c r="M24" i="7"/>
  <c r="N24" i="7"/>
  <c r="L29" i="7"/>
  <c r="M29" i="7"/>
  <c r="N29" i="7"/>
  <c r="L32" i="7"/>
  <c r="L37" i="7" s="1"/>
  <c r="L42" i="7" s="1"/>
  <c r="M42" i="7" s="1"/>
  <c r="L33" i="7"/>
  <c r="L34" i="7"/>
  <c r="L35" i="7"/>
  <c r="L38" i="7"/>
  <c r="L44" i="7" s="1"/>
  <c r="M44" i="7" s="1"/>
  <c r="M75" i="7"/>
  <c r="N75" i="7"/>
  <c r="O75" i="7"/>
  <c r="P75" i="7"/>
  <c r="Q75" i="7" s="1"/>
  <c r="R75" i="7" s="1"/>
  <c r="L76" i="7"/>
  <c r="M76" i="7"/>
  <c r="N76" i="7"/>
  <c r="O76" i="7"/>
  <c r="P76" i="7"/>
  <c r="Q76" i="7"/>
  <c r="R76" i="7"/>
  <c r="L77" i="7"/>
  <c r="M77" i="7" s="1"/>
  <c r="N77" i="7"/>
  <c r="P77" i="7"/>
  <c r="L78" i="7"/>
  <c r="M78" i="7" s="1"/>
  <c r="N78" i="7"/>
  <c r="P78" i="7"/>
  <c r="N79" i="7"/>
  <c r="P79" i="7"/>
  <c r="N80" i="7"/>
  <c r="P80" i="7"/>
  <c r="N81" i="7"/>
  <c r="P81" i="7"/>
  <c r="N82" i="7"/>
  <c r="P82" i="7"/>
  <c r="N83" i="7"/>
  <c r="P83" i="7"/>
  <c r="N84" i="7"/>
  <c r="P84" i="7"/>
  <c r="N85" i="7"/>
  <c r="P85" i="7"/>
  <c r="L101" i="7"/>
  <c r="L103" i="7"/>
  <c r="L104" i="7"/>
  <c r="L105" i="7"/>
  <c r="L79" i="7" l="1"/>
  <c r="O78" i="7"/>
  <c r="Q78" i="7" s="1"/>
  <c r="R78" i="7" s="1"/>
  <c r="O77" i="7"/>
  <c r="Q77" i="7" s="1"/>
  <c r="R77" i="7" s="1"/>
  <c r="Q10" i="6"/>
  <c r="R10" i="6"/>
  <c r="R12" i="6" s="1"/>
  <c r="AE10" i="6"/>
  <c r="AF10" i="6"/>
  <c r="L12" i="6"/>
  <c r="M12" i="6"/>
  <c r="N12" i="6"/>
  <c r="O12" i="6"/>
  <c r="P12" i="6"/>
  <c r="M13" i="6" s="1"/>
  <c r="Q12" i="6"/>
  <c r="S12" i="6"/>
  <c r="U12" i="6" s="1"/>
  <c r="M14" i="6" s="1"/>
  <c r="T12" i="6"/>
  <c r="V12" i="6"/>
  <c r="W12" i="6"/>
  <c r="Z12" i="6"/>
  <c r="AJ12" i="6" s="1"/>
  <c r="AA12" i="6"/>
  <c r="AB12" i="6"/>
  <c r="AC12" i="6"/>
  <c r="AG12" i="6"/>
  <c r="AI12" i="6" s="1"/>
  <c r="AH12" i="6"/>
  <c r="AK12" i="6" s="1"/>
  <c r="M17" i="6"/>
  <c r="M23" i="6" s="1"/>
  <c r="AO18" i="6"/>
  <c r="L31" i="6"/>
  <c r="M31" i="6"/>
  <c r="AA31" i="6" s="1"/>
  <c r="N31" i="6"/>
  <c r="AB31" i="6" s="1"/>
  <c r="O31" i="6"/>
  <c r="Z31" i="6"/>
  <c r="AC31" i="6" s="1"/>
  <c r="M47" i="6"/>
  <c r="AO38" i="6" s="1"/>
  <c r="L51" i="6"/>
  <c r="M51" i="6"/>
  <c r="N51" i="6"/>
  <c r="AB51" i="6" s="1"/>
  <c r="AA62" i="6" s="1"/>
  <c r="AO46" i="6" s="1"/>
  <c r="Z51" i="6"/>
  <c r="AA51" i="6"/>
  <c r="AO60" i="6"/>
  <c r="M62" i="6"/>
  <c r="AO45" i="6" s="1"/>
  <c r="AO48" i="6" s="1"/>
  <c r="Q64" i="6"/>
  <c r="R64" i="6" s="1"/>
  <c r="AE64" i="6"/>
  <c r="AF64" i="6"/>
  <c r="L66" i="6"/>
  <c r="V66" i="6" s="1"/>
  <c r="M66" i="6"/>
  <c r="N66" i="6"/>
  <c r="M71" i="6" s="1"/>
  <c r="O66" i="6"/>
  <c r="P66" i="6"/>
  <c r="Q66" i="6"/>
  <c r="R66" i="6"/>
  <c r="M67" i="6" s="1"/>
  <c r="S66" i="6"/>
  <c r="T66" i="6"/>
  <c r="U66" i="6"/>
  <c r="M68" i="6" s="1"/>
  <c r="AA66" i="6"/>
  <c r="AG66" i="6" s="1"/>
  <c r="AI66" i="6" s="1"/>
  <c r="AA68" i="6" s="1"/>
  <c r="AB66" i="6"/>
  <c r="AA71" i="6" s="1"/>
  <c r="AC66" i="6"/>
  <c r="AE66" i="6"/>
  <c r="AF66" i="6"/>
  <c r="AH66" i="6"/>
  <c r="Q81" i="6"/>
  <c r="R81" i="6"/>
  <c r="L83" i="6"/>
  <c r="M83" i="6"/>
  <c r="N83" i="6"/>
  <c r="O83" i="6"/>
  <c r="P83" i="6"/>
  <c r="M84" i="6" s="1"/>
  <c r="Q83" i="6"/>
  <c r="R83" i="6"/>
  <c r="S83" i="6"/>
  <c r="T83" i="6"/>
  <c r="U83" i="6"/>
  <c r="M85" i="6" s="1"/>
  <c r="V83" i="6"/>
  <c r="W83" i="6"/>
  <c r="M94" i="6" s="1"/>
  <c r="M88" i="6"/>
  <c r="AA94" i="6"/>
  <c r="AO25" i="6" s="1"/>
  <c r="AA95" i="6"/>
  <c r="AA96" i="6"/>
  <c r="AA97" i="6"/>
  <c r="AA98" i="6"/>
  <c r="M79" i="7" l="1"/>
  <c r="O79" i="7"/>
  <c r="Q79" i="7" s="1"/>
  <c r="R79" i="7" s="1"/>
  <c r="L80" i="7"/>
  <c r="AA34" i="6"/>
  <c r="AO39" i="6" s="1"/>
  <c r="M20" i="6"/>
  <c r="M16" i="6"/>
  <c r="M74" i="6"/>
  <c r="M70" i="6"/>
  <c r="M72" i="6" s="1"/>
  <c r="AO41" i="6"/>
  <c r="AA77" i="6"/>
  <c r="M87" i="6"/>
  <c r="M91" i="6"/>
  <c r="W66" i="6"/>
  <c r="M77" i="6" s="1"/>
  <c r="AA14" i="6"/>
  <c r="AD66" i="6"/>
  <c r="AA67" i="6" s="1"/>
  <c r="AF17" i="6"/>
  <c r="AE12" i="6"/>
  <c r="AA17" i="6"/>
  <c r="AA23" i="6" s="1"/>
  <c r="AF12" i="6"/>
  <c r="Z66" i="6"/>
  <c r="AJ66" i="6" s="1"/>
  <c r="AK66" i="6" s="1"/>
  <c r="AD12" i="6"/>
  <c r="AA13" i="6" s="1"/>
  <c r="AA99" i="6"/>
  <c r="AO24" i="6" s="1"/>
  <c r="AO27" i="6" s="1"/>
  <c r="R72" i="5"/>
  <c r="P72" i="5"/>
  <c r="M80" i="7" l="1"/>
  <c r="O80" i="7"/>
  <c r="Q80" i="7" s="1"/>
  <c r="R80" i="7" s="1"/>
  <c r="L81" i="7"/>
  <c r="AA70" i="6"/>
  <c r="AA72" i="6" s="1"/>
  <c r="AA76" i="6" s="1"/>
  <c r="AA74" i="6"/>
  <c r="M89" i="6"/>
  <c r="M98" i="6"/>
  <c r="AO17" i="6" s="1"/>
  <c r="AO20" i="6" s="1"/>
  <c r="AA20" i="6"/>
  <c r="AA16" i="6"/>
  <c r="AA18" i="6" s="1"/>
  <c r="AA22" i="6" s="1"/>
  <c r="M76" i="6"/>
  <c r="M79" i="6" s="1"/>
  <c r="AO52" i="6" s="1"/>
  <c r="M18" i="6"/>
  <c r="AF16" i="6"/>
  <c r="S131" i="5"/>
  <c r="R157" i="5"/>
  <c r="T131" i="5"/>
  <c r="R154" i="5"/>
  <c r="R129" i="5"/>
  <c r="S138" i="5"/>
  <c r="X43" i="5"/>
  <c r="M81" i="7" l="1"/>
  <c r="O81" i="7"/>
  <c r="Q81" i="7" s="1"/>
  <c r="R81" i="7" s="1"/>
  <c r="L82" i="7"/>
  <c r="AF18" i="6"/>
  <c r="M22" i="6"/>
  <c r="M25" i="6" s="1"/>
  <c r="AO31" i="6" s="1"/>
  <c r="AA25" i="6"/>
  <c r="AO32" i="6" s="1"/>
  <c r="AA79" i="6"/>
  <c r="M93" i="6"/>
  <c r="M96" i="6" s="1"/>
  <c r="M99" i="6"/>
  <c r="G213" i="5"/>
  <c r="M82" i="7" l="1"/>
  <c r="O82" i="7"/>
  <c r="Q82" i="7" s="1"/>
  <c r="R82" i="7" s="1"/>
  <c r="L83" i="7"/>
  <c r="M100" i="6"/>
  <c r="M101" i="6" s="1"/>
  <c r="AO10" i="6" s="1"/>
  <c r="AO59" i="6"/>
  <c r="AO62" i="6" s="1"/>
  <c r="AO53" i="6"/>
  <c r="AO55" i="6" s="1"/>
  <c r="AA100" i="6"/>
  <c r="AA101" i="6" s="1"/>
  <c r="AO11" i="6" s="1"/>
  <c r="AO34" i="6"/>
  <c r="R152" i="5"/>
  <c r="M83" i="7" l="1"/>
  <c r="O83" i="7"/>
  <c r="Q83" i="7" s="1"/>
  <c r="R83" i="7" s="1"/>
  <c r="L84" i="7"/>
  <c r="AO66" i="6"/>
  <c r="AO13" i="6"/>
  <c r="E132" i="5"/>
  <c r="M84" i="7" l="1"/>
  <c r="O84" i="7"/>
  <c r="Q84" i="7" s="1"/>
  <c r="R84" i="7" s="1"/>
  <c r="L85" i="7"/>
  <c r="W101" i="5"/>
  <c r="M85" i="7" l="1"/>
  <c r="O85" i="7"/>
  <c r="Q85" i="7" s="1"/>
  <c r="R85" i="7" s="1"/>
  <c r="S142" i="5"/>
  <c r="G219" i="5"/>
  <c r="S89" i="5"/>
  <c r="H151" i="5"/>
  <c r="L88" i="7" l="1"/>
  <c r="L87" i="7"/>
  <c r="L89" i="7" s="1"/>
  <c r="L108" i="7" s="1"/>
  <c r="V47" i="5"/>
  <c r="V43" i="5"/>
  <c r="S139" i="5"/>
  <c r="R148" i="5"/>
  <c r="L109" i="7" l="1"/>
  <c r="L110" i="7" s="1"/>
  <c r="L111" i="7" s="1"/>
  <c r="M109" i="7"/>
  <c r="N109" i="7"/>
  <c r="P116" i="5"/>
  <c r="P111" i="5"/>
  <c r="R116" i="5"/>
  <c r="R111" i="5"/>
  <c r="O116" i="5"/>
  <c r="O111" i="5"/>
  <c r="Q131" i="5"/>
  <c r="Q132" i="5"/>
  <c r="R106" i="5"/>
  <c r="S111" i="5" l="1"/>
  <c r="S112" i="5" s="1"/>
  <c r="S116" i="5"/>
  <c r="S117" i="5" s="1"/>
  <c r="S132" i="5" s="1"/>
  <c r="Q133" i="5" l="1"/>
  <c r="Q134" i="5" s="1"/>
  <c r="V42" i="5" l="1"/>
  <c r="N62" i="5"/>
  <c r="N54" i="5"/>
  <c r="R121" i="5"/>
  <c r="F183" i="5"/>
  <c r="F184" i="5"/>
  <c r="P121" i="5" s="1"/>
  <c r="F182" i="5"/>
  <c r="O79" i="5"/>
  <c r="E120" i="5"/>
  <c r="E136" i="5" s="1"/>
  <c r="S82" i="5" s="1"/>
  <c r="N58" i="5"/>
  <c r="X72" i="5"/>
  <c r="X75" i="5"/>
  <c r="X74" i="5"/>
  <c r="X73" i="5"/>
  <c r="N64" i="5"/>
  <c r="N63" i="5"/>
  <c r="N57" i="5"/>
  <c r="N55" i="5"/>
  <c r="U101" i="5"/>
  <c r="AA101" i="5"/>
  <c r="R73" i="5"/>
  <c r="R74" i="5"/>
  <c r="R75" i="5"/>
  <c r="S75" i="5"/>
  <c r="S74" i="5"/>
  <c r="S73" i="5"/>
  <c r="S72" i="5"/>
  <c r="N73" i="5"/>
  <c r="O73" i="5" s="1"/>
  <c r="P73" i="5" s="1"/>
  <c r="N74" i="5"/>
  <c r="O74" i="5" s="1"/>
  <c r="P74" i="5" s="1"/>
  <c r="N75" i="5"/>
  <c r="O75" i="5" s="1"/>
  <c r="P75" i="5" s="1"/>
  <c r="N72" i="5"/>
  <c r="Z49" i="5"/>
  <c r="Z48" i="5"/>
  <c r="Z47" i="5"/>
  <c r="T49" i="5"/>
  <c r="T48" i="5"/>
  <c r="T47" i="5"/>
  <c r="U48" i="5" s="1"/>
  <c r="S47" i="5"/>
  <c r="Z43" i="5"/>
  <c r="Z42" i="5"/>
  <c r="T43" i="5"/>
  <c r="T42" i="5"/>
  <c r="U43" i="5" s="1"/>
  <c r="S42" i="5"/>
  <c r="S43" i="5"/>
  <c r="N47" i="5"/>
  <c r="N48" i="5" s="1"/>
  <c r="N42" i="5"/>
  <c r="P49" i="5"/>
  <c r="M48" i="5"/>
  <c r="E180" i="5"/>
  <c r="E181" i="5"/>
  <c r="N106" i="5" s="1"/>
  <c r="O106" i="5" s="1"/>
  <c r="E182" i="5"/>
  <c r="E183" i="5"/>
  <c r="E184" i="5"/>
  <c r="N121" i="5" s="1"/>
  <c r="O121" i="5" s="1"/>
  <c r="E179" i="5"/>
  <c r="N101" i="5" s="1"/>
  <c r="T101" i="5" s="1"/>
  <c r="G159" i="5"/>
  <c r="F159" i="5"/>
  <c r="D159" i="5"/>
  <c r="S143" i="5" s="1"/>
  <c r="N66" i="5"/>
  <c r="P106" i="5"/>
  <c r="P101" i="5"/>
  <c r="O101" i="5"/>
  <c r="F192" i="5"/>
  <c r="S48" i="5" l="1"/>
  <c r="V48" i="5"/>
  <c r="F194" i="5"/>
  <c r="S140" i="5" s="1"/>
  <c r="R158" i="5" s="1"/>
  <c r="S121" i="5"/>
  <c r="S122" i="5" s="1"/>
  <c r="S133" i="5" s="1"/>
  <c r="M49" i="5"/>
  <c r="V49" i="5" s="1"/>
  <c r="Y73" i="5"/>
  <c r="Y75" i="5"/>
  <c r="Y74" i="5"/>
  <c r="W72" i="5"/>
  <c r="Y72" i="5" s="1"/>
  <c r="E140" i="5" s="1"/>
  <c r="T72" i="5"/>
  <c r="O130" i="5" s="1"/>
  <c r="T73" i="5"/>
  <c r="O131" i="5" s="1"/>
  <c r="R131" i="5" s="1"/>
  <c r="T74" i="5"/>
  <c r="O132" i="5" s="1"/>
  <c r="T75" i="5"/>
  <c r="O133" i="5" s="1"/>
  <c r="R133" i="5" s="1"/>
  <c r="U49" i="5"/>
  <c r="N49" i="5"/>
  <c r="R48" i="5"/>
  <c r="X48" i="5" s="1"/>
  <c r="R47" i="5"/>
  <c r="W47" i="5" s="1"/>
  <c r="R42" i="5"/>
  <c r="W42" i="5" s="1"/>
  <c r="N43" i="5"/>
  <c r="N65" i="5"/>
  <c r="S59" i="5"/>
  <c r="S67" i="5"/>
  <c r="T79" i="5" s="1"/>
  <c r="S106" i="5"/>
  <c r="S107" i="5" s="1"/>
  <c r="S101" i="5"/>
  <c r="R49" i="5" l="1"/>
  <c r="W49" i="5" s="1"/>
  <c r="R132" i="5"/>
  <c r="S49" i="5"/>
  <c r="T133" i="5"/>
  <c r="E125" i="5"/>
  <c r="R130" i="5"/>
  <c r="E141" i="5"/>
  <c r="E126" i="5"/>
  <c r="T80" i="5"/>
  <c r="O80" i="5" s="1"/>
  <c r="U89" i="5" s="1"/>
  <c r="E139" i="5"/>
  <c r="X101" i="5"/>
  <c r="Y101" i="5"/>
  <c r="X47" i="5"/>
  <c r="Y47" i="5" s="1"/>
  <c r="AA47" i="5" s="1"/>
  <c r="AB47" i="5" s="1"/>
  <c r="W48" i="5"/>
  <c r="Y48" i="5" s="1"/>
  <c r="AA48" i="5" s="1"/>
  <c r="AB48" i="5" s="1"/>
  <c r="X42" i="5"/>
  <c r="Y42" i="5" s="1"/>
  <c r="AA42" i="5" s="1"/>
  <c r="R43" i="5"/>
  <c r="W43" i="5" s="1"/>
  <c r="S130" i="5"/>
  <c r="X49" i="5" l="1"/>
  <c r="Y49" i="5" s="1"/>
  <c r="AA49" i="5" s="1"/>
  <c r="AB49" i="5" s="1"/>
  <c r="AB50" i="5" s="1"/>
  <c r="P129" i="5" s="1"/>
  <c r="T130" i="5"/>
  <c r="R156" i="5" s="1"/>
  <c r="E142" i="5"/>
  <c r="E144" i="5" s="1"/>
  <c r="T132" i="5"/>
  <c r="Z101" i="5"/>
  <c r="AB101" i="5" s="1"/>
  <c r="AC101" i="5" s="1"/>
  <c r="AC102" i="5" s="1"/>
  <c r="Y43" i="5"/>
  <c r="AA43" i="5" s="1"/>
  <c r="AB42" i="5"/>
  <c r="G218" i="5" l="1"/>
  <c r="S83" i="5"/>
  <c r="O83" i="5" s="1"/>
  <c r="AA50" i="5"/>
  <c r="O129" i="5" s="1"/>
  <c r="AB102" i="5"/>
  <c r="S128" i="5"/>
  <c r="AB43" i="5"/>
  <c r="AB44" i="5" s="1"/>
  <c r="P128" i="5" s="1"/>
  <c r="AA44" i="5"/>
  <c r="O128" i="5" s="1"/>
  <c r="G214" i="5" l="1"/>
  <c r="O134" i="5"/>
  <c r="R128" i="5"/>
  <c r="R134" i="5" s="1"/>
  <c r="E133" i="5"/>
  <c r="E124" i="5"/>
  <c r="G166" i="5" l="1"/>
  <c r="F199" i="5"/>
  <c r="G165" i="5"/>
  <c r="T128" i="5"/>
  <c r="R155" i="5" s="1"/>
  <c r="T129" i="5"/>
  <c r="R153" i="5" s="1"/>
  <c r="G215" i="5" l="1"/>
  <c r="G217" i="5"/>
  <c r="S134" i="5"/>
  <c r="S136" i="5" s="1"/>
  <c r="R160" i="5" s="1"/>
  <c r="E127" i="5"/>
  <c r="G216" i="5"/>
  <c r="T134" i="5"/>
  <c r="G209" i="5" l="1"/>
  <c r="G212" i="5" s="1"/>
  <c r="R147" i="5"/>
  <c r="R149" i="5" s="1"/>
  <c r="R150" i="5" s="1"/>
  <c r="R159" i="5" s="1"/>
  <c r="G220" i="5" s="1"/>
  <c r="E128" i="5"/>
  <c r="E129" i="5" s="1"/>
  <c r="O82" i="5" s="1"/>
  <c r="G222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Tao Feng (Ben/Ret, Toronto (Bloor Street East))</author>
  </authors>
  <commentList>
    <comment ref="W101" authorId="0" shapeId="0" xr:uid="{85D72608-ABCF-4245-AB86-6D76BC178BE4}">
      <text>
        <r>
          <rPr>
            <sz val="9"/>
            <color indexed="81"/>
            <rFont val="Tahoma"/>
            <family val="2"/>
          </rPr>
          <t>FAE 3 at 65 should be the same as part (a) since the 2024 actual earning is same as expected</t>
        </r>
      </text>
    </comment>
    <comment ref="S138" authorId="0" shapeId="0" xr:uid="{C6C73055-381E-43C0-AA6A-0B2F33CA1C11}">
      <text>
        <r>
          <rPr>
            <sz val="9"/>
            <color indexed="81"/>
            <rFont val="Tahoma"/>
            <family val="2"/>
          </rPr>
          <t>lump sum was paid at EOY</t>
        </r>
      </text>
    </comment>
  </commentList>
</comments>
</file>

<file path=xl/sharedStrings.xml><?xml version="1.0" encoding="utf-8"?>
<sst xmlns="http://schemas.openxmlformats.org/spreadsheetml/2006/main" count="930" uniqueCount="591">
  <si>
    <t>Plan Provisions:</t>
  </si>
  <si>
    <t>Normal retirement age (NRA)</t>
  </si>
  <si>
    <t>Normal retirement benefit</t>
  </si>
  <si>
    <t>Early retirement reduction</t>
  </si>
  <si>
    <t>Termination benefit</t>
  </si>
  <si>
    <t>Discount rate</t>
  </si>
  <si>
    <t>(per year)</t>
  </si>
  <si>
    <t>Provision for adverse deviation (PfAD)</t>
  </si>
  <si>
    <t>Salary increase rate</t>
  </si>
  <si>
    <t>Pre-retirement mortality</t>
  </si>
  <si>
    <t>None</t>
  </si>
  <si>
    <t>Actuarial cost method</t>
  </si>
  <si>
    <t>Projected Unit Credit, service prorate</t>
  </si>
  <si>
    <t>Retirement age</t>
  </si>
  <si>
    <t>Termination rates</t>
  </si>
  <si>
    <t>Age</t>
  </si>
  <si>
    <t>Rate</t>
  </si>
  <si>
    <t>Windup expense assumption</t>
  </si>
  <si>
    <t>ID</t>
  </si>
  <si>
    <t>Status</t>
  </si>
  <si>
    <t>Active</t>
  </si>
  <si>
    <t>Retired</t>
  </si>
  <si>
    <t>Market value of assets</t>
  </si>
  <si>
    <t>Credited Service</t>
  </si>
  <si>
    <t>n/a</t>
  </si>
  <si>
    <t xml:space="preserve"> n/a </t>
  </si>
  <si>
    <t>(a)</t>
  </si>
  <si>
    <t>Link final results below and show all work, including each step of the calculation separately, in the workspace provided to the right (in Excel).</t>
  </si>
  <si>
    <t>(b)</t>
  </si>
  <si>
    <t>Going concern funding target</t>
  </si>
  <si>
    <t>Going concern liabilities:</t>
  </si>
  <si>
    <t>Active members</t>
  </si>
  <si>
    <t>Pensioners</t>
  </si>
  <si>
    <t>Subtotal</t>
  </si>
  <si>
    <t>PfAD</t>
  </si>
  <si>
    <t>Total</t>
  </si>
  <si>
    <t>Funding excess (shortfall)</t>
  </si>
  <si>
    <t>(c)</t>
  </si>
  <si>
    <t>Sources</t>
  </si>
  <si>
    <t>Interest on funding excess (shortfall) before PfAD</t>
  </si>
  <si>
    <t>Investment return</t>
  </si>
  <si>
    <t>Retirement</t>
  </si>
  <si>
    <t>Total solvency liability</t>
  </si>
  <si>
    <t>Solvency excess (shortfall)</t>
  </si>
  <si>
    <t>Normal form of pension</t>
  </si>
  <si>
    <t>Post-retirement cost of living adjustments</t>
  </si>
  <si>
    <t>Salary 2024</t>
  </si>
  <si>
    <t>Salary 2023</t>
  </si>
  <si>
    <t>Salary 2022</t>
  </si>
  <si>
    <t>Salary 2021</t>
  </si>
  <si>
    <t>Discount rate for Annuity purchase</t>
  </si>
  <si>
    <t>Discount rate for Transfer value</t>
  </si>
  <si>
    <t>Type</t>
  </si>
  <si>
    <t>Monthly Amortization Payment</t>
  </si>
  <si>
    <t>Date Established</t>
  </si>
  <si>
    <t>Start Date</t>
  </si>
  <si>
    <t>Date of Last Payment</t>
  </si>
  <si>
    <t>12/31/2022</t>
  </si>
  <si>
    <t>1/1/2024</t>
  </si>
  <si>
    <t>Minimum required contributions for 2024</t>
  </si>
  <si>
    <t>Maximum permissible contributions for 2024</t>
  </si>
  <si>
    <t>Funding excess (shortfall) at December 31, 2023, excluding PfAD</t>
  </si>
  <si>
    <t>January 1 market value of assets:</t>
  </si>
  <si>
    <t>Pension paid</t>
  </si>
  <si>
    <t>Lump sums paid</t>
  </si>
  <si>
    <t>Administration and investment fees</t>
  </si>
  <si>
    <t xml:space="preserve">Investment income </t>
  </si>
  <si>
    <t>Gains (losses) - realized and unrealized</t>
  </si>
  <si>
    <t>December 31 market value of assets:</t>
  </si>
  <si>
    <t>Annuity Purchase</t>
  </si>
  <si>
    <t>Annuity Buyout</t>
  </si>
  <si>
    <t>x</t>
  </si>
  <si>
    <t>Svc(x)</t>
  </si>
  <si>
    <t>y</t>
  </si>
  <si>
    <t>r</t>
  </si>
  <si>
    <t>Svc(y)</t>
  </si>
  <si>
    <t>v^(r-x)</t>
  </si>
  <si>
    <t>qy</t>
  </si>
  <si>
    <t>(y-x)px</t>
  </si>
  <si>
    <t>FAE(y)</t>
  </si>
  <si>
    <t>B(y)</t>
  </si>
  <si>
    <t>f(x)</t>
  </si>
  <si>
    <t>B(x)</t>
  </si>
  <si>
    <t xml:space="preserve">annuity(r) </t>
  </si>
  <si>
    <t>AL(x)</t>
  </si>
  <si>
    <t>NC(x)</t>
  </si>
  <si>
    <t>benefit</t>
  </si>
  <si>
    <t>annuity</t>
  </si>
  <si>
    <t>Amortization Schedules @1/1/2024</t>
  </si>
  <si>
    <t>ID 1</t>
  </si>
  <si>
    <t>1.75% of final 3-year average earnings (FAE3)</t>
  </si>
  <si>
    <t>ID 2</t>
  </si>
  <si>
    <t>ID 1 Active</t>
  </si>
  <si>
    <t>ID 2 Active</t>
  </si>
  <si>
    <t>ID 3 Retired</t>
  </si>
  <si>
    <t>G/L by individual</t>
  </si>
  <si>
    <t>Expected</t>
  </si>
  <si>
    <t>Actual</t>
  </si>
  <si>
    <t>(G)/L</t>
  </si>
  <si>
    <t>Gain / (Loss)</t>
  </si>
  <si>
    <t>Interest</t>
  </si>
  <si>
    <t>Mortality</t>
  </si>
  <si>
    <t>Misc</t>
  </si>
  <si>
    <t>ID 3</t>
  </si>
  <si>
    <t>ID 6</t>
  </si>
  <si>
    <t>Monthly Benefit</t>
  </si>
  <si>
    <t>Note</t>
  </si>
  <si>
    <t>Gain as member did not retire at EURD 60 (assumed 70% probability)</t>
  </si>
  <si>
    <t>Retirement - active</t>
  </si>
  <si>
    <t>Retirement - deferred</t>
  </si>
  <si>
    <t>Loss due to deferred member's retirement (actual AE reduced pension is higher than expected)</t>
  </si>
  <si>
    <t>Special payments</t>
  </si>
  <si>
    <t>Benefit</t>
  </si>
  <si>
    <t>Points</t>
  </si>
  <si>
    <t>CV</t>
  </si>
  <si>
    <t>age</t>
  </si>
  <si>
    <t>service</t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</si>
  <si>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61 </t>
    </r>
    <r>
      <rPr>
        <vertAlign val="superscript"/>
        <sz val="12"/>
        <color rgb="FF002060"/>
        <rFont val="Arial"/>
        <family val="2"/>
      </rPr>
      <t>(12)</t>
    </r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</si>
  <si>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62 </t>
    </r>
    <r>
      <rPr>
        <vertAlign val="superscript"/>
        <sz val="12"/>
        <color rgb="FF002060"/>
        <rFont val="Arial"/>
        <family val="2"/>
      </rPr>
      <t>(12)</t>
    </r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</si>
  <si>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63 </t>
    </r>
    <r>
      <rPr>
        <vertAlign val="superscript"/>
        <sz val="12"/>
        <color rgb="FF002060"/>
        <rFont val="Arial"/>
        <family val="2"/>
      </rPr>
      <t>(12)</t>
    </r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</si>
  <si>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64 </t>
    </r>
    <r>
      <rPr>
        <vertAlign val="superscript"/>
        <sz val="12"/>
        <color rgb="FF002060"/>
        <rFont val="Arial"/>
        <family val="2"/>
      </rPr>
      <t>(12)</t>
    </r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</si>
  <si>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65 </t>
    </r>
    <r>
      <rPr>
        <vertAlign val="superscript"/>
        <sz val="12"/>
        <color rgb="FF002060"/>
        <rFont val="Arial"/>
        <family val="2"/>
      </rPr>
      <t>(12)</t>
    </r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</si>
  <si>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66 </t>
    </r>
    <r>
      <rPr>
        <vertAlign val="superscript"/>
        <sz val="12"/>
        <color rgb="FF002060"/>
        <rFont val="Arial"/>
        <family val="2"/>
      </rPr>
      <t>(12)</t>
    </r>
  </si>
  <si>
    <t>AP annuity factor</t>
  </si>
  <si>
    <t>&lt;-- not eligible for grow-in, therefore pension will be AE reduced.</t>
  </si>
  <si>
    <t>Max CV and EURD are both at age 65, therefore the solvency AL is</t>
  </si>
  <si>
    <t>CV deferred annuity factor</t>
  </si>
  <si>
    <t>going concern</t>
  </si>
  <si>
    <t>solvency</t>
  </si>
  <si>
    <t>Start</t>
  </si>
  <si>
    <t>End</t>
  </si>
  <si>
    <t>Monthly amount</t>
  </si>
  <si>
    <t>GC Period</t>
  </si>
  <si>
    <t>Solvency Period</t>
  </si>
  <si>
    <t xml:space="preserve">GC PV </t>
  </si>
  <si>
    <t xml:space="preserve">Solvency PV </t>
  </si>
  <si>
    <t>DR</t>
  </si>
  <si>
    <t>AP</t>
  </si>
  <si>
    <t>rate</t>
  </si>
  <si>
    <t>liabilities</t>
  </si>
  <si>
    <t>solvency BLENDED rate</t>
  </si>
  <si>
    <t>GC excess</t>
  </si>
  <si>
    <t>Reduced Solvency shortfall</t>
  </si>
  <si>
    <t>solvency asset</t>
  </si>
  <si>
    <t>85% of solv liabilities</t>
  </si>
  <si>
    <t xml:space="preserve">Solvency </t>
  </si>
  <si>
    <t>GC Excess --&gt; GC special payment can be eliminated</t>
  </si>
  <si>
    <t>PV of existing solvency payment &gt; reduced solvency shortfall --&gt; shorten the payment period for solvency payment</t>
  </si>
  <si>
    <t>Asset Information at December 31, 2023:</t>
  </si>
  <si>
    <t>Funding excess (shortfall) at December 31, 2024, excluding PfAD</t>
  </si>
  <si>
    <t>Solvency Annuity Factors:</t>
  </si>
  <si>
    <t>Going Concern Annuity Factors:</t>
  </si>
  <si>
    <t>Solvency assets</t>
  </si>
  <si>
    <t>Solvency liabilities</t>
  </si>
  <si>
    <t xml:space="preserve"> •	  On December 31, 2024, a buy-out group annuity was purchased for pensioners ID4 and ID5 (annuities were discharged)</t>
  </si>
  <si>
    <r>
      <rPr>
        <u/>
        <sz val="12"/>
        <color rgb="FF002060"/>
        <rFont val="Arial"/>
        <family val="2"/>
      </rPr>
      <t>Less than 20 years of service</t>
    </r>
    <r>
      <rPr>
        <i/>
        <u/>
        <sz val="12"/>
        <color rgb="FF002060"/>
        <rFont val="Arial"/>
        <family val="2"/>
      </rPr>
      <t>:</t>
    </r>
    <r>
      <rPr>
        <sz val="12"/>
        <color rgb="FF002060"/>
        <rFont val="Arial"/>
        <family val="2"/>
      </rPr>
      <t xml:space="preserve"> actuarial equivalent to NRA</t>
    </r>
  </si>
  <si>
    <t>Annuity purchase</t>
  </si>
  <si>
    <t>Lump sum</t>
  </si>
  <si>
    <t>You are given the following information at December 31, 2024:</t>
  </si>
  <si>
    <t>Membership information at December 31, 2023:</t>
  </si>
  <si>
    <t>Deferred members</t>
  </si>
  <si>
    <t xml:space="preserve">(c) </t>
  </si>
  <si>
    <t>Inactives</t>
  </si>
  <si>
    <t>3 (deferred)</t>
  </si>
  <si>
    <t>Going Concern</t>
  </si>
  <si>
    <t>Solvency</t>
  </si>
  <si>
    <t>Since service &gt;20, EURD is 60.</t>
  </si>
  <si>
    <t>Max CV and EURD are both at age 60, therefore the solvency AL is</t>
  </si>
  <si>
    <t>Normal cost (including PfAD)</t>
  </si>
  <si>
    <t>You are given the Amortization Schedules at December 31, 2022 from prior valuation:</t>
  </si>
  <si>
    <t>12/31/2023</t>
  </si>
  <si>
    <t>Terminated</t>
  </si>
  <si>
    <t>ID 6 Retired</t>
  </si>
  <si>
    <t>Gain due to termination cashout</t>
  </si>
  <si>
    <t>Loss due to mortality</t>
  </si>
  <si>
    <t>Termination</t>
  </si>
  <si>
    <t>Prior AL</t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</si>
  <si>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60 </t>
    </r>
    <r>
      <rPr>
        <vertAlign val="superscript"/>
        <sz val="12"/>
        <color rgb="FF002060"/>
        <rFont val="Arial"/>
        <family val="2"/>
      </rPr>
      <t>(12)</t>
    </r>
  </si>
  <si>
    <t>5.0% per year</t>
  </si>
  <si>
    <r>
      <rPr>
        <u/>
        <sz val="12"/>
        <color rgb="FF002060"/>
        <rFont val="Arial"/>
        <family val="2"/>
      </rPr>
      <t>20 or more years of service:</t>
    </r>
    <r>
      <rPr>
        <sz val="12"/>
        <color rgb="FF002060"/>
        <rFont val="Arial"/>
        <family val="2"/>
      </rPr>
      <t xml:space="preserve"> benefit reduced by 4.0% per year from age 60</t>
    </r>
  </si>
  <si>
    <t>Earliest retirement age</t>
  </si>
  <si>
    <t>Deferred pension starting at age 65</t>
  </si>
  <si>
    <t>Early commencement starting from age 55 on an actuarial basis</t>
  </si>
  <si>
    <t>Life only</t>
  </si>
  <si>
    <t>The following information is as at December 31, 2023:</t>
  </si>
  <si>
    <t>Asset valuation method</t>
  </si>
  <si>
    <t>Under age 55: 100% elect lump sum; Age 55 and over: 100% elect an annuity</t>
  </si>
  <si>
    <t>4.50% per year for 10 years; 4.50% per year thereafter</t>
  </si>
  <si>
    <t xml:space="preserve">
In accordance with the Standards of Practice</t>
  </si>
  <si>
    <t>Spouse's Age</t>
  </si>
  <si>
    <t>You are asked to perform the actuarial valuation as at December 31, 2023.</t>
  </si>
  <si>
    <t>(23 points)</t>
  </si>
  <si>
    <t>(5 points) Calculate the minimum required and maximum permissible employer contributions for 2024 and the new amortization payment schedule.</t>
  </si>
  <si>
    <t>The going concern assumptions and methods as at December 31, 2024 are unchanged from those used in the December 31, 2023 valuation.</t>
  </si>
  <si>
    <t>RETFRC Spring 2025</t>
  </si>
  <si>
    <t>Question 2</t>
  </si>
  <si>
    <t>J&amp;S60%</t>
  </si>
  <si>
    <t>J&amp;S100%</t>
  </si>
  <si>
    <t>Your client sponsors a non-contributory defined benefit pension plan with members in Ontario only.</t>
  </si>
  <si>
    <t>Actuarial Assumptions and Mehtods</t>
  </si>
  <si>
    <t>Going Concern Assumptions</t>
  </si>
  <si>
    <t xml:space="preserve">Solvency Assumptions </t>
  </si>
  <si>
    <t>Active and deferred members</t>
  </si>
  <si>
    <t>100% annuity purchase</t>
  </si>
  <si>
    <t>Form of benefit settlement elected by member:</t>
  </si>
  <si>
    <t>Basis for benefits assumed to be settled through a lump sum</t>
  </si>
  <si>
    <t>Basis for benefits assumed to be settled through the purchase of an annuity</t>
  </si>
  <si>
    <t>Deferred Vested</t>
  </si>
  <si>
    <t>Termination type</t>
  </si>
  <si>
    <t>Voluntary</t>
  </si>
  <si>
    <t>Monthly deferred pension</t>
  </si>
  <si>
    <t>ID 4</t>
  </si>
  <si>
    <t>ID 5</t>
  </si>
  <si>
    <t>Monthly pension</t>
  </si>
  <si>
    <t>Form of pension</t>
  </si>
  <si>
    <t>Market value of assets at December 31, 2023:</t>
  </si>
  <si>
    <t xml:space="preserve">(8 points) Calculate the funded status of the plan on going concern and solvency bases </t>
  </si>
  <si>
    <t xml:space="preserve"> •	  Decrements and the lump sum payment occurred at the end of the year</t>
  </si>
  <si>
    <t xml:space="preserve"> •	  ID3 retired</t>
  </si>
  <si>
    <t xml:space="preserve"> •	  ID2 terminated and elected a lump sum payment of $60,000</t>
  </si>
  <si>
    <t>Membership information as at December 31, 2024:</t>
  </si>
  <si>
    <t>Actuarial Assumptions and Methods:</t>
  </si>
  <si>
    <t>Asset Information:</t>
  </si>
  <si>
    <t>(10 points) Calculate the gains and losses by source on a going concern basis for 2024.</t>
  </si>
  <si>
    <t>Normal Cost</t>
  </si>
  <si>
    <t>Benefit Payments</t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</si>
  <si>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55 </t>
    </r>
    <r>
      <rPr>
        <vertAlign val="superscript"/>
        <sz val="12"/>
        <color rgb="FF002060"/>
        <rFont val="Arial"/>
        <family val="2"/>
      </rPr>
      <t>(12)</t>
    </r>
    <r>
      <rPr>
        <vertAlign val="subscript"/>
        <sz val="12"/>
        <color rgb="FF002060"/>
        <rFont val="Arial"/>
        <family val="2"/>
      </rPr>
      <t xml:space="preserve"> (J&amp;S 60%)</t>
    </r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</si>
  <si>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61 </t>
    </r>
    <r>
      <rPr>
        <vertAlign val="superscript"/>
        <sz val="12"/>
        <color rgb="FF002060"/>
        <rFont val="Arial"/>
        <family val="2"/>
      </rPr>
      <t xml:space="preserve">(12) </t>
    </r>
    <r>
      <rPr>
        <vertAlign val="subscript"/>
        <sz val="12"/>
        <color rgb="FF002060"/>
        <rFont val="Arial"/>
        <family val="2"/>
      </rPr>
      <t>(J&amp;S 60%)</t>
    </r>
  </si>
  <si>
    <t xml:space="preserve">Inactive Mortality </t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</si>
  <si>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56 </t>
    </r>
    <r>
      <rPr>
        <vertAlign val="superscript"/>
        <sz val="12"/>
        <color rgb="FF002060"/>
        <rFont val="Arial"/>
        <family val="2"/>
      </rPr>
      <t>(12)</t>
    </r>
    <r>
      <rPr>
        <vertAlign val="subscript"/>
        <sz val="12"/>
        <color rgb="FF002060"/>
        <rFont val="Arial"/>
        <family val="2"/>
      </rPr>
      <t xml:space="preserve"> (J&amp;S 60%)</t>
    </r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</si>
  <si>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62 </t>
    </r>
    <r>
      <rPr>
        <vertAlign val="superscript"/>
        <sz val="12"/>
        <color rgb="FF002060"/>
        <rFont val="Arial"/>
        <family val="2"/>
      </rPr>
      <t xml:space="preserve">(12) </t>
    </r>
    <r>
      <rPr>
        <vertAlign val="subscript"/>
        <sz val="12"/>
        <color rgb="FF002060"/>
        <rFont val="Arial"/>
        <family val="2"/>
      </rPr>
      <t>(J&amp;S 60%)</t>
    </r>
  </si>
  <si>
    <t>ID 4 Pre Buy Out</t>
  </si>
  <si>
    <t>ID 5 Pre Buy Out</t>
  </si>
  <si>
    <t>Asset G/l</t>
  </si>
  <si>
    <t>Expected Surplus/(Deficit)</t>
  </si>
  <si>
    <t>Contributions</t>
  </si>
  <si>
    <t>Plan Liabilities at 12.31.2024</t>
  </si>
  <si>
    <t>Expected Assets</t>
  </si>
  <si>
    <t>Actual Assets</t>
  </si>
  <si>
    <t>Asset Loss</t>
  </si>
  <si>
    <t xml:space="preserve">Contributions </t>
  </si>
  <si>
    <t>Expected NC Contributions</t>
  </si>
  <si>
    <t>Special payments with interest</t>
  </si>
  <si>
    <t>Miscellaneous</t>
  </si>
  <si>
    <r>
      <t>15|</t>
    </r>
    <r>
      <rPr>
        <sz val="12"/>
        <color theme="8" tint="-0.499984740745262"/>
        <rFont val="Arial"/>
        <family val="2"/>
      </rPr>
      <t xml:space="preserve">ä </t>
    </r>
    <r>
      <rPr>
        <vertAlign val="subscript"/>
        <sz val="12"/>
        <color theme="8" tint="-0.499984740745262"/>
        <rFont val="Arial"/>
        <family val="2"/>
      </rPr>
      <t>40</t>
    </r>
    <r>
      <rPr>
        <vertAlign val="superscript"/>
        <sz val="12"/>
        <color theme="8" tint="-0.499984740745262"/>
        <rFont val="Arial"/>
        <family val="2"/>
      </rPr>
      <t>(12)</t>
    </r>
  </si>
  <si>
    <r>
      <t>25|</t>
    </r>
    <r>
      <rPr>
        <sz val="12"/>
        <color theme="8" tint="-0.499984740745262"/>
        <rFont val="Arial"/>
        <family val="2"/>
      </rPr>
      <t xml:space="preserve">ä </t>
    </r>
    <r>
      <rPr>
        <vertAlign val="subscript"/>
        <sz val="12"/>
        <color theme="8" tint="-0.499984740745262"/>
        <rFont val="Arial"/>
        <family val="2"/>
      </rPr>
      <t>40</t>
    </r>
    <r>
      <rPr>
        <vertAlign val="superscript"/>
        <sz val="12"/>
        <color theme="8" tint="-0.499984740745262"/>
        <rFont val="Arial"/>
        <family val="2"/>
      </rPr>
      <t>(12)</t>
    </r>
  </si>
  <si>
    <r>
      <t>16|</t>
    </r>
    <r>
      <rPr>
        <sz val="12"/>
        <color theme="8" tint="-0.499984740745262"/>
        <rFont val="Arial"/>
        <family val="2"/>
      </rPr>
      <t xml:space="preserve">ä </t>
    </r>
    <r>
      <rPr>
        <vertAlign val="subscript"/>
        <sz val="12"/>
        <color theme="8" tint="-0.499984740745262"/>
        <rFont val="Arial"/>
        <family val="2"/>
      </rPr>
      <t>40</t>
    </r>
    <r>
      <rPr>
        <vertAlign val="superscript"/>
        <sz val="12"/>
        <color theme="8" tint="-0.499984740745262"/>
        <rFont val="Arial"/>
        <family val="2"/>
      </rPr>
      <t>(12)</t>
    </r>
  </si>
  <si>
    <r>
      <t>17|</t>
    </r>
    <r>
      <rPr>
        <sz val="12"/>
        <color theme="8" tint="-0.499984740745262"/>
        <rFont val="Arial"/>
        <family val="2"/>
      </rPr>
      <t xml:space="preserve">ä </t>
    </r>
    <r>
      <rPr>
        <vertAlign val="subscript"/>
        <sz val="12"/>
        <color theme="8" tint="-0.499984740745262"/>
        <rFont val="Arial"/>
        <family val="2"/>
      </rPr>
      <t>40</t>
    </r>
    <r>
      <rPr>
        <vertAlign val="superscript"/>
        <sz val="12"/>
        <color theme="8" tint="-0.499984740745262"/>
        <rFont val="Arial"/>
        <family val="2"/>
      </rPr>
      <t>(12)</t>
    </r>
  </si>
  <si>
    <r>
      <t>18|</t>
    </r>
    <r>
      <rPr>
        <sz val="12"/>
        <color theme="8" tint="-0.499984740745262"/>
        <rFont val="Arial"/>
        <family val="2"/>
      </rPr>
      <t xml:space="preserve">ä </t>
    </r>
    <r>
      <rPr>
        <vertAlign val="subscript"/>
        <sz val="12"/>
        <color theme="8" tint="-0.499984740745262"/>
        <rFont val="Arial"/>
        <family val="2"/>
      </rPr>
      <t>40</t>
    </r>
    <r>
      <rPr>
        <vertAlign val="superscript"/>
        <sz val="12"/>
        <color theme="8" tint="-0.499984740745262"/>
        <rFont val="Arial"/>
        <family val="2"/>
      </rPr>
      <t>(12)</t>
    </r>
  </si>
  <si>
    <r>
      <t>19|</t>
    </r>
    <r>
      <rPr>
        <sz val="12"/>
        <color theme="8" tint="-0.499984740745262"/>
        <rFont val="Arial"/>
        <family val="2"/>
      </rPr>
      <t xml:space="preserve">ä </t>
    </r>
    <r>
      <rPr>
        <vertAlign val="subscript"/>
        <sz val="12"/>
        <color theme="8" tint="-0.499984740745262"/>
        <rFont val="Arial"/>
        <family val="2"/>
      </rPr>
      <t>40</t>
    </r>
    <r>
      <rPr>
        <vertAlign val="superscript"/>
        <sz val="12"/>
        <color theme="8" tint="-0.499984740745262"/>
        <rFont val="Arial"/>
        <family val="2"/>
      </rPr>
      <t>(12)</t>
    </r>
  </si>
  <si>
    <r>
      <t>20|</t>
    </r>
    <r>
      <rPr>
        <sz val="12"/>
        <color theme="8" tint="-0.499984740745262"/>
        <rFont val="Arial"/>
        <family val="2"/>
      </rPr>
      <t xml:space="preserve">ä </t>
    </r>
    <r>
      <rPr>
        <vertAlign val="subscript"/>
        <sz val="12"/>
        <color theme="8" tint="-0.499984740745262"/>
        <rFont val="Arial"/>
        <family val="2"/>
      </rPr>
      <t>40</t>
    </r>
    <r>
      <rPr>
        <vertAlign val="superscript"/>
        <sz val="12"/>
        <color theme="8" tint="-0.499984740745262"/>
        <rFont val="Arial"/>
        <family val="2"/>
      </rPr>
      <t>(12)</t>
    </r>
  </si>
  <si>
    <r>
      <t>21|</t>
    </r>
    <r>
      <rPr>
        <sz val="12"/>
        <color theme="8" tint="-0.499984740745262"/>
        <rFont val="Arial"/>
        <family val="2"/>
      </rPr>
      <t xml:space="preserve">ä </t>
    </r>
    <r>
      <rPr>
        <vertAlign val="subscript"/>
        <sz val="12"/>
        <color theme="8" tint="-0.499984740745262"/>
        <rFont val="Arial"/>
        <family val="2"/>
      </rPr>
      <t>40</t>
    </r>
    <r>
      <rPr>
        <vertAlign val="superscript"/>
        <sz val="12"/>
        <color theme="8" tint="-0.499984740745262"/>
        <rFont val="Arial"/>
        <family val="2"/>
      </rPr>
      <t>(12)</t>
    </r>
  </si>
  <si>
    <r>
      <t>22|</t>
    </r>
    <r>
      <rPr>
        <sz val="12"/>
        <color theme="8" tint="-0.499984740745262"/>
        <rFont val="Arial"/>
        <family val="2"/>
      </rPr>
      <t xml:space="preserve">ä </t>
    </r>
    <r>
      <rPr>
        <vertAlign val="subscript"/>
        <sz val="12"/>
        <color theme="8" tint="-0.499984740745262"/>
        <rFont val="Arial"/>
        <family val="2"/>
      </rPr>
      <t>40</t>
    </r>
    <r>
      <rPr>
        <vertAlign val="superscript"/>
        <sz val="12"/>
        <color theme="8" tint="-0.499984740745262"/>
        <rFont val="Arial"/>
        <family val="2"/>
      </rPr>
      <t>(12)</t>
    </r>
  </si>
  <si>
    <r>
      <t>24|</t>
    </r>
    <r>
      <rPr>
        <sz val="12"/>
        <color theme="8" tint="-0.499984740745262"/>
        <rFont val="Arial"/>
        <family val="2"/>
      </rPr>
      <t xml:space="preserve">ä </t>
    </r>
    <r>
      <rPr>
        <vertAlign val="subscript"/>
        <sz val="12"/>
        <color theme="8" tint="-0.499984740745262"/>
        <rFont val="Arial"/>
        <family val="2"/>
      </rPr>
      <t>40</t>
    </r>
    <r>
      <rPr>
        <vertAlign val="superscript"/>
        <sz val="12"/>
        <color theme="8" tint="-0.499984740745262"/>
        <rFont val="Arial"/>
        <family val="2"/>
      </rPr>
      <t>(12)</t>
    </r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</si>
  <si>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61 </t>
    </r>
    <r>
      <rPr>
        <vertAlign val="superscript"/>
        <sz val="12"/>
        <color rgb="FF002060"/>
        <rFont val="Arial"/>
        <family val="2"/>
      </rPr>
      <t>(12)</t>
    </r>
    <r>
      <rPr>
        <vertAlign val="subscript"/>
        <sz val="12"/>
        <color rgb="FF002060"/>
        <rFont val="Arial"/>
        <family val="2"/>
      </rPr>
      <t xml:space="preserve"> (J&amp;S 60%)</t>
    </r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</si>
  <si>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70 </t>
    </r>
    <r>
      <rPr>
        <vertAlign val="superscript"/>
        <sz val="12"/>
        <color rgb="FF002060"/>
        <rFont val="Arial"/>
        <family val="2"/>
      </rPr>
      <t>(12)</t>
    </r>
    <r>
      <rPr>
        <vertAlign val="subscript"/>
        <sz val="12"/>
        <color rgb="FF002060"/>
        <rFont val="Arial"/>
        <family val="2"/>
      </rPr>
      <t xml:space="preserve"> (J&amp;S 60%)</t>
    </r>
  </si>
  <si>
    <t>Actual NC Contrbutions</t>
  </si>
  <si>
    <t>Contributions in excess of normal cost</t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</si>
  <si>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76 </t>
    </r>
    <r>
      <rPr>
        <vertAlign val="superscript"/>
        <sz val="12"/>
        <color rgb="FF002060"/>
        <rFont val="Arial"/>
        <family val="2"/>
      </rPr>
      <t>(12)</t>
    </r>
    <r>
      <rPr>
        <vertAlign val="subscript"/>
        <sz val="12"/>
        <color rgb="FF002060"/>
        <rFont val="Arial"/>
        <family val="2"/>
      </rPr>
      <t xml:space="preserve"> (J&amp;S 100%)</t>
    </r>
  </si>
  <si>
    <r>
      <rPr>
        <sz val="12"/>
        <color rgb="FF002060"/>
        <rFont val="Arial"/>
        <family val="2"/>
      </rPr>
      <t xml:space="preserve">ä </t>
    </r>
    <r>
      <rPr>
        <vertAlign val="subscript"/>
        <sz val="12"/>
        <color rgb="FF002060"/>
        <rFont val="Arial"/>
        <family val="2"/>
      </rPr>
      <t xml:space="preserve">77 </t>
    </r>
    <r>
      <rPr>
        <vertAlign val="superscript"/>
        <sz val="12"/>
        <color rgb="FF002060"/>
        <rFont val="Arial"/>
        <family val="2"/>
      </rPr>
      <t>(12)</t>
    </r>
    <r>
      <rPr>
        <vertAlign val="subscript"/>
        <sz val="12"/>
        <color rgb="FF002060"/>
        <rFont val="Arial"/>
        <family val="2"/>
      </rPr>
      <t xml:space="preserve"> (J&amp;S 100%)</t>
    </r>
  </si>
  <si>
    <t xml:space="preserve">	= AL – F = 942,324 – 921,920 </t>
  </si>
  <si>
    <t>Deficit</t>
  </si>
  <si>
    <t>UAL2024</t>
  </si>
  <si>
    <t xml:space="preserve">= AL – F = 967,414 – 880,000 </t>
  </si>
  <si>
    <t>= 64,064 + 134,421 + 522,600 + 221,239 + 0</t>
  </si>
  <si>
    <t>TOTAL AL2025</t>
  </si>
  <si>
    <t xml:space="preserve">= 48,061 + 128,020 + 534,300 + 191,377 + 65,657 </t>
  </si>
  <si>
    <t>TOTAL AL2024</t>
  </si>
  <si>
    <t>= (F2024– Pension2024) x (1 + 12%) + Cont2024 – CV2024 = (880,000 – 39,000) x (1.12) + 67,000 – 87,000</t>
  </si>
  <si>
    <t>F2025</t>
  </si>
  <si>
    <t>= 6,470 + 0 + 0 + 14,931 + 6,319</t>
  </si>
  <si>
    <t>TOTAL ER NC2024</t>
  </si>
  <si>
    <t>Payments2024</t>
  </si>
  <si>
    <t>= 9,070 + 0 + 0 + 19,291 + 8,679</t>
  </si>
  <si>
    <t>TOTAL NC2024</t>
  </si>
  <si>
    <t>Pension2024</t>
  </si>
  <si>
    <t>i2024</t>
  </si>
  <si>
    <t>= 217,045– 110,221 – 41,167</t>
  </si>
  <si>
    <t>EAN ALx</t>
  </si>
  <si>
    <t>Contributions2024</t>
  </si>
  <si>
    <t>F2024</t>
  </si>
  <si>
    <t xml:space="preserve">= EAN EECx × ä63-42¬ j ; where j = (1.05/1.03)-1  </t>
  </si>
  <si>
    <t>PVFEECx</t>
  </si>
  <si>
    <t xml:space="preserve">= EAN NCx × ä63-42¬ j ; where j = (1.05/1.03)-1  </t>
  </si>
  <si>
    <t>PVFNCx</t>
  </si>
  <si>
    <t xml:space="preserve">= PVFBw × 1.057 </t>
  </si>
  <si>
    <t>PVFBx</t>
  </si>
  <si>
    <t xml:space="preserve">= 8,679 – 2,360 </t>
  </si>
  <si>
    <t>EAN NCx</t>
  </si>
  <si>
    <t xml:space="preserve">= 4% × 59,000 </t>
  </si>
  <si>
    <t>EAN EECx</t>
  </si>
  <si>
    <t xml:space="preserve">= 154,250 / 1,048,634× 59,000 </t>
  </si>
  <si>
    <t>EAN NCx_total</t>
  </si>
  <si>
    <t xml:space="preserve">= 59,000 × 1.03-7 × ä63-35¬ j ; where j = (1.05/1.03)-1 </t>
  </si>
  <si>
    <t>PVFSw</t>
  </si>
  <si>
    <t>= 1.5% × 59,000 × (1.03(62-42) + 1.03(61-42) + 1.03(60-42))/3 × (63-35) × ä63(12) × v(63-35) x (1 – 3% x (65-63))</t>
  </si>
  <si>
    <t>PVFBw</t>
  </si>
  <si>
    <r>
      <t>ä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¬ j</t>
    </r>
  </si>
  <si>
    <t>RemainingService@retirement</t>
  </si>
  <si>
    <t>j</t>
  </si>
  <si>
    <t>TotalService@retirement</t>
  </si>
  <si>
    <t>Final_salary-2</t>
  </si>
  <si>
    <t>Final_salary-1</t>
  </si>
  <si>
    <t>Final_salary</t>
  </si>
  <si>
    <t>Service_x</t>
  </si>
  <si>
    <t>Salary_x</t>
  </si>
  <si>
    <t>Age_w</t>
  </si>
  <si>
    <t>Age_x</t>
  </si>
  <si>
    <t>Passed away and commuted value paid</t>
  </si>
  <si>
    <t>Member E</t>
  </si>
  <si>
    <t>= 241,112– 15,382 – 4,491</t>
  </si>
  <si>
    <t>= 210,667– 14,931 – 4,360</t>
  </si>
  <si>
    <t xml:space="preserve">= EAN EECx × ä64-63¬ j ; where j = (1.05/1.03)-1  </t>
  </si>
  <si>
    <t xml:space="preserve">= EAN EECx × ä63-62¬ j ; where j = (1.05/1.03)-1  </t>
  </si>
  <si>
    <t>= EAN NCx × ä64-63¬ j ; where j = (1.05/1.03)-1</t>
  </si>
  <si>
    <r>
      <t>= EAN NCx × ä</t>
    </r>
    <r>
      <rPr>
        <vertAlign val="subscript"/>
        <sz val="11"/>
        <color theme="1"/>
        <rFont val="Calibri"/>
        <family val="2"/>
        <scheme val="minor"/>
      </rPr>
      <t>63-62</t>
    </r>
    <r>
      <rPr>
        <sz val="11"/>
        <color theme="1"/>
        <rFont val="Calibri"/>
        <family val="2"/>
        <scheme val="minor"/>
      </rPr>
      <t xml:space="preserve">¬ j ; where j = (1.05/1.03)-1  </t>
    </r>
  </si>
  <si>
    <t xml:space="preserve">= PVFBw × 1.0510 </t>
  </si>
  <si>
    <t>= PVFBw * 1.059</t>
  </si>
  <si>
    <t>= 19,873 – 4,491</t>
  </si>
  <si>
    <t>= 19,291 – 4,360</t>
  </si>
  <si>
    <t>= 4% × 112,270</t>
  </si>
  <si>
    <t xml:space="preserve">= 4% × 109,000 </t>
  </si>
  <si>
    <t xml:space="preserve">= 148,022 / 836,232 × 112,270 </t>
  </si>
  <si>
    <t xml:space="preserve">= 135,798 / 767,308 × 109,000 </t>
  </si>
  <si>
    <t>Can't use alternative approach by multiplying previous NC by salary increase</t>
  </si>
  <si>
    <t xml:space="preserve">= 112,270 × 1.03-10 × ä64-53¬ j ; where j = (1.05/1.03)-1 </t>
  </si>
  <si>
    <t xml:space="preserve">= 109,000 × 1.03-9 × ä63-53¬ j ; where j = (1.05/1.03)-1 </t>
  </si>
  <si>
    <t xml:space="preserve">	= 1.5% × (112,270 + 109,000 + 106,000)/3 × (64-53) × ä64(12) × v(64-53) x (1 – 3% x (64-63))</t>
  </si>
  <si>
    <t>= 1.5% × (109,000 + 106,000 + 103,000)/3 × (63-53) × ä63(12) × v(63-53) x (1 – 3% x (65-63))</t>
  </si>
  <si>
    <t>Matches</t>
  </si>
  <si>
    <t>Gains/(Losses)</t>
  </si>
  <si>
    <t>Check:</t>
  </si>
  <si>
    <t>Show all work including formulas in the workspace provided to the right (in Excel).</t>
  </si>
  <si>
    <t>Did not retire as expected, salary increase on target 3%. Is now assumed to retire at age 64. Must use known earnings for the FAE3</t>
  </si>
  <si>
    <t>Member D</t>
  </si>
  <si>
    <t>Member D is already 62 so must use known earnings for the FAE3</t>
  </si>
  <si>
    <t xml:space="preserve">Calculate the gains and losses by source for 2024.  </t>
  </si>
  <si>
    <t>(6 points)</t>
  </si>
  <si>
    <t xml:space="preserve">= ALexp – ALact’l = 78,052 – 87,000 </t>
  </si>
  <si>
    <t xml:space="preserve">= 39,000 x ä68(12) </t>
  </si>
  <si>
    <t xml:space="preserve">= 39,000 x ä67(12) </t>
  </si>
  <si>
    <t>1gp</t>
  </si>
  <si>
    <t>See above</t>
  </si>
  <si>
    <t>Actual AL (payment)</t>
  </si>
  <si>
    <t xml:space="preserve">= (65,657 + 8,679) x 1.05 </t>
  </si>
  <si>
    <t>Exp'd AL</t>
  </si>
  <si>
    <t xml:space="preserve">Calculate the unfunded actuarial liability as at January 1, 2025.  </t>
  </si>
  <si>
    <t>(3 points)</t>
  </si>
  <si>
    <t>Loss on death of Member E:</t>
  </si>
  <si>
    <t>was paid to their spouse on December 31, 2024.</t>
  </si>
  <si>
    <t xml:space="preserve">• Member E passed away during 2024 and a commuted value of </t>
  </si>
  <si>
    <t>salary increase; and</t>
  </si>
  <si>
    <t xml:space="preserve">• At December 31, 2024, Member D received a </t>
  </si>
  <si>
    <t xml:space="preserve">= ALexp – ALact’l = 221,201– 221,239 </t>
  </si>
  <si>
    <t>salary increase;</t>
  </si>
  <si>
    <t xml:space="preserve">• At December 31, 2024, Member A received a </t>
  </si>
  <si>
    <t xml:space="preserve">were made to the plan on December 31, 2024; </t>
  </si>
  <si>
    <t xml:space="preserve">• Total contributions of </t>
  </si>
  <si>
    <t>Actual AL</t>
  </si>
  <si>
    <t>during 2024;</t>
  </si>
  <si>
    <t xml:space="preserve">• The fund earned a rate of return of </t>
  </si>
  <si>
    <t xml:space="preserve">= (191,377 – 19,291) x 1.05 </t>
  </si>
  <si>
    <t xml:space="preserve">• All assumptions remain the same as at January 1, 2025; </t>
  </si>
  <si>
    <t>Loss on delayed retirement Member D:</t>
  </si>
  <si>
    <t>You are given:</t>
  </si>
  <si>
    <t xml:space="preserve">Pension </t>
  </si>
  <si>
    <t>Member C is retired and receives an annual pension</t>
  </si>
  <si>
    <t>Member C</t>
  </si>
  <si>
    <t xml:space="preserve">= ALexp – ALact’l = 520,065 – 522,600 </t>
  </si>
  <si>
    <t>= 17,000 x ä65(12) / ä63(12) x ä63(12) x v(63-50)</t>
  </si>
  <si>
    <t xml:space="preserve">Calculate the employer normal cost and the unfunded actuarial liability as at January 1, 2024.  </t>
  </si>
  <si>
    <t>(4 points)</t>
  </si>
  <si>
    <t xml:space="preserve">= (534,300 – 39,000) x 1.05 </t>
  </si>
  <si>
    <t>Loss on mortality for Member C:</t>
  </si>
  <si>
    <t>Market value of assets 
as at January 1, 2024:</t>
  </si>
  <si>
    <r>
      <t>Additional Information</t>
    </r>
    <r>
      <rPr>
        <b/>
        <sz val="12"/>
        <color theme="4" tint="-0.249977111117893"/>
        <rFont val="Times New Roman"/>
        <family val="1"/>
      </rPr>
      <t>:</t>
    </r>
  </si>
  <si>
    <t>= ALexp – ALact’l = 134,421– 134,421</t>
  </si>
  <si>
    <r>
      <t>ä</t>
    </r>
    <r>
      <rPr>
        <vertAlign val="subscript"/>
        <sz val="12"/>
        <color theme="4" tint="-0.249977111117893"/>
        <rFont val="Times New Roman"/>
        <family val="1"/>
      </rPr>
      <t>63</t>
    </r>
    <r>
      <rPr>
        <vertAlign val="superscript"/>
        <sz val="12"/>
        <color theme="4" tint="-0.249977111117893"/>
        <rFont val="Times New Roman"/>
        <family val="1"/>
      </rPr>
      <t>(12)</t>
    </r>
    <r>
      <rPr>
        <sz val="12"/>
        <color theme="4" tint="-0.249977111117893"/>
        <rFont val="Times New Roman"/>
        <family val="1"/>
      </rPr>
      <t xml:space="preserve"> </t>
    </r>
  </si>
  <si>
    <t xml:space="preserve">= (128,020 + 0) x 1.05 </t>
  </si>
  <si>
    <r>
      <t>ä</t>
    </r>
    <r>
      <rPr>
        <vertAlign val="subscript"/>
        <sz val="12"/>
        <color theme="4" tint="-0.249977111117893"/>
        <rFont val="Times New Roman"/>
        <family val="1"/>
      </rPr>
      <t>68</t>
    </r>
    <r>
      <rPr>
        <vertAlign val="superscript"/>
        <sz val="12"/>
        <color theme="4" tint="-0.249977111117893"/>
        <rFont val="Times New Roman"/>
        <family val="1"/>
      </rPr>
      <t>(12)</t>
    </r>
    <r>
      <rPr>
        <sz val="12"/>
        <color theme="4" tint="-0.249977111117893"/>
        <rFont val="Times New Roman"/>
        <family val="1"/>
      </rPr>
      <t xml:space="preserve"> </t>
    </r>
  </si>
  <si>
    <r>
      <t>ä</t>
    </r>
    <r>
      <rPr>
        <vertAlign val="subscript"/>
        <sz val="12"/>
        <color theme="4" tint="-0.249977111117893"/>
        <rFont val="Times New Roman"/>
        <family val="1"/>
      </rPr>
      <t>64</t>
    </r>
    <r>
      <rPr>
        <vertAlign val="superscript"/>
        <sz val="12"/>
        <color theme="4" tint="-0.249977111117893"/>
        <rFont val="Times New Roman"/>
        <family val="1"/>
      </rPr>
      <t>(12)</t>
    </r>
    <r>
      <rPr>
        <sz val="12"/>
        <color theme="4" tint="-0.249977111117893"/>
        <rFont val="Times New Roman"/>
        <family val="1"/>
      </rPr>
      <t xml:space="preserve"> </t>
    </r>
  </si>
  <si>
    <t>No Gain/Loss on deferred Member B:</t>
  </si>
  <si>
    <r>
      <t>ä</t>
    </r>
    <r>
      <rPr>
        <vertAlign val="subscript"/>
        <sz val="12"/>
        <color theme="4" tint="-0.249977111117893"/>
        <rFont val="Times New Roman"/>
        <family val="1"/>
      </rPr>
      <t>67</t>
    </r>
    <r>
      <rPr>
        <vertAlign val="superscript"/>
        <sz val="12"/>
        <color theme="4" tint="-0.249977111117893"/>
        <rFont val="Times New Roman"/>
        <family val="1"/>
      </rPr>
      <t>(12)</t>
    </r>
    <r>
      <rPr>
        <sz val="12"/>
        <color theme="4" tint="-0.249977111117893"/>
        <rFont val="Times New Roman"/>
        <family val="1"/>
      </rPr>
      <t xml:space="preserve"> </t>
    </r>
  </si>
  <si>
    <r>
      <t>ä</t>
    </r>
    <r>
      <rPr>
        <vertAlign val="subscript"/>
        <sz val="12"/>
        <color theme="4" tint="-0.249977111117893"/>
        <rFont val="Times New Roman"/>
        <family val="1"/>
      </rPr>
      <t>65</t>
    </r>
    <r>
      <rPr>
        <vertAlign val="superscript"/>
        <sz val="12"/>
        <color theme="4" tint="-0.249977111117893"/>
        <rFont val="Times New Roman"/>
        <family val="1"/>
      </rPr>
      <t>(12)</t>
    </r>
    <r>
      <rPr>
        <sz val="12"/>
        <color theme="4" tint="-0.249977111117893"/>
        <rFont val="Times New Roman"/>
        <family val="1"/>
      </rPr>
      <t xml:space="preserve"> </t>
    </r>
  </si>
  <si>
    <r>
      <t>Annuity Factors</t>
    </r>
    <r>
      <rPr>
        <b/>
        <sz val="12"/>
        <color theme="4" tint="-0.249977111117893"/>
        <rFont val="Times New Roman"/>
        <family val="1"/>
      </rPr>
      <t>:</t>
    </r>
  </si>
  <si>
    <t xml:space="preserve">= ALexp – ALact’l = 59,987 – 64,064 </t>
  </si>
  <si>
    <r>
      <t>= 17,000 x ä</t>
    </r>
    <r>
      <rPr>
        <vertAlign val="subscript"/>
        <sz val="11"/>
        <color theme="1"/>
        <rFont val="Calibri"/>
        <family val="2"/>
        <scheme val="minor"/>
      </rPr>
      <t>65</t>
    </r>
    <r>
      <rPr>
        <vertAlign val="superscript"/>
        <sz val="11"/>
        <color theme="1"/>
        <rFont val="Calibri"/>
        <family val="2"/>
        <scheme val="minor"/>
      </rPr>
      <t>(12)</t>
    </r>
    <r>
      <rPr>
        <sz val="11"/>
        <color theme="1"/>
        <rFont val="Calibri"/>
        <family val="2"/>
        <scheme val="minor"/>
      </rPr>
      <t xml:space="preserve"> / ä</t>
    </r>
    <r>
      <rPr>
        <vertAlign val="subscript"/>
        <sz val="11"/>
        <color theme="1"/>
        <rFont val="Calibri"/>
        <family val="2"/>
        <scheme val="minor"/>
      </rPr>
      <t>63</t>
    </r>
    <r>
      <rPr>
        <vertAlign val="superscript"/>
        <sz val="11"/>
        <color theme="1"/>
        <rFont val="Calibri"/>
        <family val="2"/>
        <scheme val="minor"/>
      </rPr>
      <t>(12)</t>
    </r>
    <r>
      <rPr>
        <sz val="11"/>
        <color theme="1"/>
        <rFont val="Calibri"/>
        <family val="2"/>
        <scheme val="minor"/>
      </rPr>
      <t xml:space="preserve"> x ä</t>
    </r>
    <r>
      <rPr>
        <vertAlign val="subscript"/>
        <sz val="11"/>
        <color theme="1"/>
        <rFont val="Calibri"/>
        <family val="2"/>
        <scheme val="minor"/>
      </rPr>
      <t>63</t>
    </r>
    <r>
      <rPr>
        <vertAlign val="superscript"/>
        <sz val="11"/>
        <color theme="1"/>
        <rFont val="Calibri"/>
        <family val="2"/>
        <scheme val="minor"/>
      </rPr>
      <t>(12)</t>
    </r>
    <r>
      <rPr>
        <sz val="11"/>
        <color theme="1"/>
        <rFont val="Calibri"/>
        <family val="2"/>
        <scheme val="minor"/>
      </rPr>
      <t xml:space="preserve"> x v</t>
    </r>
    <r>
      <rPr>
        <vertAlign val="superscript"/>
        <sz val="11"/>
        <color theme="1"/>
        <rFont val="Calibri"/>
        <family val="2"/>
        <scheme val="minor"/>
      </rPr>
      <t>(63-51)</t>
    </r>
    <r>
      <rPr>
        <sz val="11"/>
        <color theme="1"/>
        <rFont val="Calibri"/>
        <family val="2"/>
        <scheme val="minor"/>
      </rPr>
      <t xml:space="preserve">   </t>
    </r>
    <r>
      <rPr>
        <vertAlign val="superscript"/>
        <sz val="11"/>
        <color theme="1"/>
        <rFont val="Calibri"/>
        <family val="2"/>
        <scheme val="minor"/>
      </rPr>
      <t xml:space="preserve"> </t>
    </r>
  </si>
  <si>
    <t>Ontario</t>
  </si>
  <si>
    <t>Province of employment</t>
  </si>
  <si>
    <t>Deferred</t>
  </si>
  <si>
    <t xml:space="preserve">= (48,061 + 9,070) x 1.05 </t>
  </si>
  <si>
    <t>N/A</t>
  </si>
  <si>
    <t>Annual Pension</t>
  </si>
  <si>
    <t>Loss on salary increase Member A:</t>
  </si>
  <si>
    <t>Years to pension</t>
  </si>
  <si>
    <t>Service</t>
  </si>
  <si>
    <t>Member B has a deferred pension to age 65 and subject to actuarial equivalent reduction</t>
  </si>
  <si>
    <t>Member B</t>
  </si>
  <si>
    <t>2023 Salary</t>
  </si>
  <si>
    <t>2022 Salary</t>
  </si>
  <si>
    <t xml:space="preserve">= 921,920 – 863,050 </t>
  </si>
  <si>
    <t>2021 Salary</t>
  </si>
  <si>
    <t>= (880,000 – 39,000) x (1.05) + 67,000 -87,000</t>
  </si>
  <si>
    <t>Exp'd Fund</t>
  </si>
  <si>
    <t>= 276,215 – 151,335 – 60,815</t>
  </si>
  <si>
    <t>= 246,321– 141,427 - 56,834</t>
  </si>
  <si>
    <t>Member A</t>
  </si>
  <si>
    <t>Act'l Fund</t>
  </si>
  <si>
    <t>Participant Data as at January 1, 2024:</t>
  </si>
  <si>
    <t>Gain on fund return:</t>
  </si>
  <si>
    <t xml:space="preserve">= EAN EECx × ä63-36¬ j ; where j = (1.05/1.03)-1  </t>
  </si>
  <si>
    <t xml:space="preserve">= EAN EECx × ä63-35¬ j ; where j = (1.05/1.03)-1  </t>
  </si>
  <si>
    <t xml:space="preserve">= EAN NCx × ä63-36¬ j ; where j = (1.05/1.03)-1  </t>
  </si>
  <si>
    <t xml:space="preserve">= EAN NCx × ä63-35¬ j ; where j = (1.05/1.03)-1  </t>
  </si>
  <si>
    <t>Entry Age Normal</t>
  </si>
  <si>
    <t xml:space="preserve">= 67,000 – 38,891 </t>
  </si>
  <si>
    <t xml:space="preserve">= PVFBw × 1.056 </t>
  </si>
  <si>
    <t xml:space="preserve">= PVFBw × 1.055 </t>
  </si>
  <si>
    <t>Pre-retirement decrements</t>
  </si>
  <si>
    <t>Age 63 for members age 62 or younger, and 
1 year after the valuation date for others</t>
  </si>
  <si>
    <t>Act'l Contributions</t>
  </si>
  <si>
    <t>= 6,470 x 1.10</t>
  </si>
  <si>
    <t xml:space="preserve">= 9,977 – 2,860 </t>
  </si>
  <si>
    <t xml:space="preserve">= 9,070 – 2,600 </t>
  </si>
  <si>
    <t>3% per year</t>
  </si>
  <si>
    <t xml:space="preserve">=37,039 x 1.05 </t>
  </si>
  <si>
    <t>Normal cost</t>
  </si>
  <si>
    <t>= 2,600 x 1.10</t>
  </si>
  <si>
    <t xml:space="preserve">= 4% × 71,500 </t>
  </si>
  <si>
    <t xml:space="preserve">= 4% × 65,000 </t>
  </si>
  <si>
    <t>5% per year</t>
  </si>
  <si>
    <t>Interest rate</t>
  </si>
  <si>
    <t>Gain on contributions/normal cost:</t>
  </si>
  <si>
    <t>= 9,070 x 1.10</t>
  </si>
  <si>
    <t xml:space="preserve">= 206,116 / 1,477,137 × 71,500 </t>
  </si>
  <si>
    <t xml:space="preserve">= 192,999 / 1,383,137× 65,000 </t>
  </si>
  <si>
    <t>Alternatively, could have simply multiplied previous NC by salary increase</t>
  </si>
  <si>
    <t xml:space="preserve">= 71,500 × 1.03-6 × ä63-30¬ j ; where j = (1.05/1.03)-1 </t>
  </si>
  <si>
    <t xml:space="preserve">= 65,000 × 1.03-5 × ä63-30¬ j ; where j = (1.05/1.03)-1 </t>
  </si>
  <si>
    <t>4% of pensionable earnings 
Assume employee contribution balances would not generate any 50% excess contributions</t>
  </si>
  <si>
    <t>Member Contribution Requirement</t>
  </si>
  <si>
    <t xml:space="preserve">= 91,784 – 20,404 </t>
  </si>
  <si>
    <t xml:space="preserve">	= 1.5% × 71,500 × (1.03(62-36) + 1.03(61-36) + 1.03(60-36))/3 × (63-30) × ä63(12) × v(63-30) x (1 – 3% x (65-63))</t>
  </si>
  <si>
    <t>= 1.5% × 65,000 × (1.03(62-35) + 1.03(61-35) + 1.03(60-35))/3 × (63-30) × ä63(12) × v(63-30) x (1 – 3% x (65-63))</t>
  </si>
  <si>
    <t>Deferred pension payable at age 65 or lump sum commuted value transfer from the plan</t>
  </si>
  <si>
    <t>Actuarial equivalent</t>
  </si>
  <si>
    <t>Early retirement benefit for deferred members</t>
  </si>
  <si>
    <t>Act'l UAL2025</t>
  </si>
  <si>
    <t>3% reduction for each year prior to age 65</t>
  </si>
  <si>
    <t>Early retirement benefit for active members</t>
  </si>
  <si>
    <t xml:space="preserve">= UAL2024 x 1.05 = 87,414 x 1.05 </t>
  </si>
  <si>
    <t>Exp'd UAL2025</t>
  </si>
  <si>
    <t>Salary increase 10%</t>
  </si>
  <si>
    <t>Normal retirement age</t>
  </si>
  <si>
    <t>EE Contributions</t>
  </si>
  <si>
    <t>Life only, payable monthly in advance</t>
  </si>
  <si>
    <t>Normal form of payment</t>
  </si>
  <si>
    <t>Early reduction</t>
  </si>
  <si>
    <t>UAL2024 = AL2024 - F2024</t>
  </si>
  <si>
    <t>1.5% of final 3-year average earnings multiplied by years of service</t>
  </si>
  <si>
    <t>Salary increase</t>
  </si>
  <si>
    <t xml:space="preserve">EAN ALx = ∑(PVFBx - PVFNCx - PVEECx) </t>
  </si>
  <si>
    <t xml:space="preserve">EAN NCx = ∑ PVFBw / PVFSw × Sx - EECx ; w-entry age and x-current age </t>
  </si>
  <si>
    <t xml:space="preserve">You are given: </t>
  </si>
  <si>
    <t xml:space="preserve">Your client sponsors a contributory defined benefit pension plan registered in Ontario. </t>
  </si>
  <si>
    <t>(13 points)</t>
  </si>
  <si>
    <t>Answer parts (a), (b) and (c) here:</t>
  </si>
  <si>
    <t>Question 6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</si>
  <si>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 xml:space="preserve">5 years have passed since the date of the initial transfer.  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</si>
  <si>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a new valuation is filed and the payment is made before the transfer deficiencies exceed 5% of the assets based on the new valuation;</t>
    </r>
    <r>
      <rPr>
        <sz val="10"/>
        <color theme="1"/>
        <rFont val="Courier New"/>
        <family val="3"/>
      </rPr>
      <t xml:space="preserve"> or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</si>
  <si>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 xml:space="preserve">a new valuation is filed with transfer ratio above 100%; or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</si>
  <si>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 xml:space="preserve">Once a transfer deficiency payment of $24,019.19 has been remitted to the fund; or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</si>
  <si>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The member will receive $80,412.06 (77% of $104,431.25) at February 1, 2024.  The remaining $24,019.19 can only be paid: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</si>
  <si>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The total deficiencies already paid ($124,200) plus the members' transfer deficiency ($24,019.19) would exceed 5% of the market value of assets.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</si>
  <si>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The CV calculated in b is $104,431.25, $24,019.19 of this would be transfer deficiency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</si>
  <si>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There have been $540,000 lump sum payments made since the last valuation.  5% of market value of assets at last valuation is $125,000. Of the lump sum payments made $124,200 ($540,000 * (1-77%)) represents the transfer deficiencies paid.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</si>
  <si>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the aggregate of all transfer deficiencies for all transfers is less than 5% of plan assets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</si>
  <si>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transfer deficiency payment is made to the pension fund equal to the (1 – transfer ratio) x CV; or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</si>
  <si>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the pension plan would only be permitted to pay out 100% of CV for this member if: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</si>
  <si>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given the transfer ratio is less than 100% at the last filed valuation date.  There may be limitations on the amount of commuted value that can be transferred from the pension plan.</t>
    </r>
  </si>
  <si>
    <t>Considerations</t>
  </si>
  <si>
    <t>CV payments higher than 5% of market value?</t>
  </si>
  <si>
    <t>Total Transfer deficiencies after this payment</t>
  </si>
  <si>
    <t>Portion above transfer ratio</t>
  </si>
  <si>
    <t>upcoming CV</t>
  </si>
  <si>
    <t>Transfer Deficiencies paid</t>
  </si>
  <si>
    <t>Transfer Ratio</t>
  </si>
  <si>
    <t>Termination Payments (June 2023 to Feb 2024)</t>
  </si>
  <si>
    <t>5% of Market Value of Assets</t>
  </si>
  <si>
    <t>Part c)</t>
  </si>
  <si>
    <t>The response for this part is to be provided in the Excel spreadsheet.</t>
  </si>
  <si>
    <t>Age 65</t>
  </si>
  <si>
    <t>EURA</t>
  </si>
  <si>
    <t>Describe the considerations in paying out the commuted value to this member.</t>
  </si>
  <si>
    <t>(2 points)</t>
  </si>
  <si>
    <t>(c )</t>
  </si>
  <si>
    <t>&lt;-this should be based on 50% max CV and 50% unreduced</t>
  </si>
  <si>
    <t>Age 62</t>
  </si>
  <si>
    <t xml:space="preserve">Optimal CV </t>
  </si>
  <si>
    <t xml:space="preserve">The transfer ratio was estimated to be 77% as at February 1, 2024.  </t>
  </si>
  <si>
    <t>Deferred to 65</t>
  </si>
  <si>
    <t>Deferred to 64</t>
  </si>
  <si>
    <t xml:space="preserve">calculated in part b) to be paid in February 2024. </t>
  </si>
  <si>
    <t>Deferred to 63</t>
  </si>
  <si>
    <t>and January 31, 2024 is $540,000. The terminated member would like the commuted value</t>
  </si>
  <si>
    <t>Deferred to 62</t>
  </si>
  <si>
    <t>The total of the lump sum commuted values paid from the pension fund between June 30, 2023</t>
  </si>
  <si>
    <t>Deferred to 61</t>
  </si>
  <si>
    <t>Deferred to 60</t>
  </si>
  <si>
    <t>Deferred to 59</t>
  </si>
  <si>
    <t>Deferred to 58</t>
  </si>
  <si>
    <t>Wind-up Liabilities</t>
  </si>
  <si>
    <t>Deferred to 57</t>
  </si>
  <si>
    <t>Wind-up Assets</t>
  </si>
  <si>
    <t>Deferred to 56</t>
  </si>
  <si>
    <t>Termination Expense</t>
  </si>
  <si>
    <t>Deferred to 55</t>
  </si>
  <si>
    <t>Market Value of Assets</t>
  </si>
  <si>
    <t>Value</t>
  </si>
  <si>
    <t>Reduced Pension Payable</t>
  </si>
  <si>
    <t>Actuarial Equivalent Reduction</t>
  </si>
  <si>
    <t>Plan Reduction</t>
  </si>
  <si>
    <t>Annuity Factor</t>
  </si>
  <si>
    <t>Deferral Period</t>
  </si>
  <si>
    <t>Age at Retirement</t>
  </si>
  <si>
    <t>Age at Termination</t>
  </si>
  <si>
    <t>The following wind-up information was reported in the last filed valuation as at June 30, 2023.</t>
  </si>
  <si>
    <t>Voluntary termination - no grow-in</t>
  </si>
  <si>
    <t>Show all work, including each step of the calculation separately, in the workspace provided to the right (in Excel).</t>
  </si>
  <si>
    <t>Part b)</t>
  </si>
  <si>
    <t>Calculate the commuted value for the member at their date of termination.</t>
  </si>
  <si>
    <r>
      <rPr>
        <vertAlign val="subscript"/>
        <sz val="12"/>
        <color rgb="FF002060"/>
        <rFont val="Times New Roman"/>
        <family val="1"/>
      </rPr>
      <t>21|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</si>
  <si>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20|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</si>
  <si>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19|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</si>
  <si>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18|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</si>
  <si>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17|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</si>
  <si>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16|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</si>
  <si>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15|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</si>
  <si>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14|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</si>
  <si>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13|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</si>
  <si>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12|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</si>
  <si>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11|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</si>
  <si>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t>You are given the following annuity factors:</t>
  </si>
  <si>
    <t>of Actuaries Standards of Practice as at the member's date of termination.</t>
  </si>
  <si>
    <t xml:space="preserve">Calculate the non-indexed commuted value discount rates under section 3500 of the Canadian Institute </t>
  </si>
  <si>
    <t>Ultimate</t>
  </si>
  <si>
    <t>Select</t>
  </si>
  <si>
    <t>Non-Indexed</t>
  </si>
  <si>
    <t>Non Indexed</t>
  </si>
  <si>
    <t>February 2024 CIA rates</t>
  </si>
  <si>
    <t>February 2024 Rates (Raw)</t>
  </si>
  <si>
    <t>Long-Term Federal Non-Agency Bond Index</t>
  </si>
  <si>
    <t>Long-Term Corporate Bond Index</t>
  </si>
  <si>
    <t>Long-Term Provincial Bond Index</t>
  </si>
  <si>
    <t>Month</t>
  </si>
  <si>
    <t>S10</t>
  </si>
  <si>
    <t>S</t>
  </si>
  <si>
    <t>CS10</t>
  </si>
  <si>
    <t>PS10</t>
  </si>
  <si>
    <t>CS</t>
  </si>
  <si>
    <t>PS</t>
  </si>
  <si>
    <t>Mid-Term Federal Non-Agency Bond Index</t>
  </si>
  <si>
    <t>Mid-Term Corporate Bond Index</t>
  </si>
  <si>
    <t>Mid-Term Provincial Bond Index</t>
  </si>
  <si>
    <t>Spreads</t>
  </si>
  <si>
    <t>Government of Canada 10-year Bond (V122553)</t>
  </si>
  <si>
    <t>Government of Canada Long-term Bond (V122544)</t>
  </si>
  <si>
    <t>Government of Canada 7-year Bond (V122542)</t>
  </si>
  <si>
    <t>You are given the following bond yields:</t>
  </si>
  <si>
    <t>Accrued benefit (annual)</t>
  </si>
  <si>
    <t>Pensionable service (years)</t>
  </si>
  <si>
    <t>Date of termination</t>
  </si>
  <si>
    <t>Date of birth</t>
  </si>
  <si>
    <t>Personal Information:</t>
  </si>
  <si>
    <t>First annualize the published rates</t>
  </si>
  <si>
    <t xml:space="preserve">Rates for February termination, reflect a one month lag - Use January 2024 rates </t>
  </si>
  <si>
    <t>You are also provided with the following information for a recently terminated member of that plan:</t>
  </si>
  <si>
    <t>Indexation</t>
  </si>
  <si>
    <t>5% per year from 65</t>
  </si>
  <si>
    <t>Early retirement reductions</t>
  </si>
  <si>
    <t>All ages</t>
  </si>
  <si>
    <t>Eligibility for portability</t>
  </si>
  <si>
    <t>Age 55 with 30 years of credited service</t>
  </si>
  <si>
    <t>Eligibility for unreduced early retirement</t>
  </si>
  <si>
    <t>Eligibility for early retirement</t>
  </si>
  <si>
    <t>Plan Details:</t>
  </si>
  <si>
    <t>Part a)</t>
  </si>
  <si>
    <t xml:space="preserve"> members across Canada.  You are given the following:</t>
  </si>
  <si>
    <t>Solution and Grading Rubric</t>
  </si>
  <si>
    <t>ABC company sponsors a defined benefit pension plan registered in Ontario with</t>
  </si>
  <si>
    <t>(8 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</si>
</sst>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)\ &quot;$&quot;_ ;_ * \(#,##0.00\)\ &quot;$&quot;_ ;_ * &quot;-&quot;??_)\ &quot;$&quot;_ ;_ @_ "/>
    <numFmt numFmtId="165" formatCode="_ * #,##0.00_)_ ;_ * \(#,##0.00\)_ ;_ * &quot;-&quot;??_)_ ;_ @_ "/>
    <numFmt numFmtId="166" formatCode="&quot;$&quot;#,##0.00;[Red]\-&quot;$&quot;#,##0.00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 * #,##0.00_ ;_ * \-#,##0.00_ ;_ * &quot;-&quot;??_ ;_ @_ "/>
    <numFmt numFmtId="170" formatCode="0.0%"/>
    <numFmt numFmtId="171" formatCode="0.0"/>
    <numFmt numFmtId="172" formatCode="_(* #,##0_);_(* \(#,##0\);_(* &quot;-&quot;??_);_(@_)"/>
    <numFmt numFmtId="173" formatCode="_ * #,##0_ ;_ * \-#,##0_ ;_ * &quot;-&quot;??_ ;_ @_ "/>
    <numFmt numFmtId="174" formatCode="[$$-1009]#,##0"/>
    <numFmt numFmtId="175" formatCode="0.0000"/>
    <numFmt numFmtId="176" formatCode="_(* #,##0.0_);_(* \(#,##0.0\);_(* &quot;-&quot;??_);_(@_)"/>
    <numFmt numFmtId="177" formatCode="_-&quot;$&quot;* #,##0_-;\-&quot;$&quot;* #,##0_-;_-&quot;$&quot;* &quot;-&quot;??_-;_-@_-"/>
    <numFmt numFmtId="178" formatCode="_-* #,##0_-;\-* #,##0_-;_-* &quot;-&quot;??_-;_-@_-"/>
    <numFmt numFmtId="179" formatCode="_(&quot;$&quot;* #,##0_);_(&quot;$&quot;* \(#,##0\);_(&quot;$&quot;* &quot;-&quot;??_);_(@_)"/>
    <numFmt numFmtId="180" formatCode="&quot;$&quot;#,##0;\-&quot;$&quot;#,##0"/>
    <numFmt numFmtId="181" formatCode="#,##0.000000\ &quot;$&quot;_);[Red]\(#,##0.000000\ &quot;$&quot;\)"/>
    <numFmt numFmtId="182" formatCode="&quot;$&quot;#,##0;[Red]\-&quot;$&quot;#,##0"/>
    <numFmt numFmtId="183" formatCode="_-* #,##0.0_-;\-* #,##0.0_-;_-* &quot;-&quot;??_-;_-@_-"/>
    <numFmt numFmtId="184" formatCode="mmm\ yyyy"/>
    <numFmt numFmtId="185" formatCode="[$-409]mmmm\ d\,\ yyyy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2060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u/>
      <sz val="12"/>
      <color rgb="FF002060"/>
      <name val="Arial"/>
      <family val="2"/>
    </font>
    <font>
      <vertAlign val="subscript"/>
      <sz val="12"/>
      <color rgb="FF002060"/>
      <name val="Arial"/>
      <family val="2"/>
    </font>
    <font>
      <vertAlign val="superscript"/>
      <sz val="12"/>
      <color rgb="FF00206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2"/>
      <color rgb="FF002060"/>
      <name val="Arial"/>
      <family val="2"/>
    </font>
    <font>
      <b/>
      <sz val="14"/>
      <color rgb="FF002060"/>
      <name val="Arial"/>
      <family val="2"/>
    </font>
    <font>
      <i/>
      <sz val="12"/>
      <color rgb="FF002060"/>
      <name val="Arial"/>
      <family val="2"/>
    </font>
    <font>
      <b/>
      <u/>
      <sz val="12"/>
      <color rgb="FF002060"/>
      <name val="Arial"/>
      <family val="2"/>
    </font>
    <font>
      <sz val="12"/>
      <color rgb="FFFF0000"/>
      <name val="Arial"/>
      <family val="2"/>
    </font>
    <font>
      <u/>
      <sz val="12"/>
      <color rgb="FF002060"/>
      <name val="Arial"/>
      <family val="2"/>
    </font>
    <font>
      <sz val="12"/>
      <color theme="1"/>
      <name val="Arial"/>
      <family val="2"/>
    </font>
    <font>
      <sz val="11"/>
      <color rgb="FF00B050"/>
      <name val="Arial"/>
      <family val="2"/>
    </font>
    <font>
      <sz val="12"/>
      <color rgb="FF7030A0"/>
      <name val="Arial"/>
      <family val="2"/>
    </font>
    <font>
      <i/>
      <sz val="12"/>
      <color rgb="FFFF0000"/>
      <name val="Arial"/>
      <family val="2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vertAlign val="subscript"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vertAlign val="superscript"/>
      <sz val="12"/>
      <color theme="8" tint="-0.499984740745262"/>
      <name val="Arial"/>
      <family val="2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sz val="9"/>
      <color indexed="81"/>
      <name val="Tahoma"/>
      <family val="2"/>
    </font>
    <font>
      <i/>
      <sz val="9"/>
      <color theme="1"/>
      <name val="Times New Roman"/>
      <family val="1"/>
    </font>
    <font>
      <sz val="12"/>
      <color theme="4" tint="-0.249977111117893"/>
      <name val="Times New Roman"/>
      <family val="1"/>
    </font>
    <font>
      <b/>
      <sz val="12"/>
      <color theme="1"/>
      <name val="Times New Roman"/>
      <family val="1"/>
    </font>
    <font>
      <vertAlign val="subscript"/>
      <sz val="11"/>
      <color theme="1"/>
      <name val="Calibri"/>
      <family val="2"/>
      <scheme val="minor"/>
    </font>
    <font>
      <u/>
      <sz val="12"/>
      <color theme="1"/>
      <name val="Times New Roman"/>
      <family val="1"/>
    </font>
    <font>
      <i/>
      <sz val="12"/>
      <color theme="4" tint="-0.249977111117893"/>
      <name val="Times New Roman"/>
      <family val="1"/>
    </font>
    <font>
      <i/>
      <sz val="12"/>
      <color rgb="FF0070C0"/>
      <name val="Times New Roman"/>
      <family val="1"/>
    </font>
    <font>
      <b/>
      <u/>
      <sz val="12"/>
      <color theme="4" tint="-0.249977111117893"/>
      <name val="Times New Roman"/>
      <family val="1"/>
    </font>
    <font>
      <b/>
      <sz val="12"/>
      <color theme="4" tint="-0.249977111117893"/>
      <name val="Times New Roman"/>
      <family val="1"/>
    </font>
    <font>
      <sz val="11"/>
      <color theme="4" tint="-0.249977111117893"/>
      <name val="Calibri"/>
      <family val="2"/>
      <scheme val="minor"/>
    </font>
    <font>
      <vertAlign val="subscript"/>
      <sz val="12"/>
      <color theme="4" tint="-0.249977111117893"/>
      <name val="Times New Roman"/>
      <family val="1"/>
    </font>
    <font>
      <vertAlign val="superscript"/>
      <sz val="12"/>
      <color theme="4" tint="-0.249977111117893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i/>
      <sz val="12"/>
      <color theme="4" tint="-0.249977111117893"/>
      <name val="Times New Roman"/>
      <family val="1"/>
    </font>
    <font>
      <b/>
      <sz val="14"/>
      <color theme="4" tint="-0.249977111117893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color rgb="FF002060"/>
      <name val="Times New Roman"/>
      <family val="1"/>
    </font>
    <font>
      <sz val="12"/>
      <color rgb="FFFF0000"/>
      <name val="Calibri"/>
      <family val="2"/>
      <scheme val="minor"/>
    </font>
    <font>
      <sz val="10"/>
      <color theme="1"/>
      <name val="Courier New"/>
      <family val="3"/>
    </font>
    <font>
      <sz val="7"/>
      <color theme="1"/>
      <name val="Times New Roman"/>
      <family val="1"/>
    </font>
    <font>
      <sz val="10"/>
      <color theme="1"/>
      <name val="Symbol"/>
      <family val="1"/>
      <charset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2060"/>
      <name val="Times New Roman"/>
      <family val="1"/>
    </font>
    <font>
      <i/>
      <sz val="12"/>
      <color rgb="FFFF0000"/>
      <name val="Times New Roman"/>
      <family val="1"/>
    </font>
    <font>
      <vertAlign val="subscript"/>
      <sz val="12"/>
      <color rgb="FF002060"/>
      <name val="Times New Roman"/>
      <family val="1"/>
    </font>
    <font>
      <vertAlign val="superscript"/>
      <sz val="12"/>
      <color rgb="FF002060"/>
      <name val="Times New Roman"/>
      <family val="1"/>
    </font>
    <font>
      <b/>
      <u/>
      <sz val="12"/>
      <color rgb="FF002060"/>
      <name val="Times New Roman"/>
      <family val="1"/>
    </font>
    <font>
      <b/>
      <sz val="12"/>
      <color rgb="FF00206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29">
    <xf numFmtId="0" fontId="0" fillId="0" borderId="0" xfId="0"/>
    <xf numFmtId="0" fontId="3" fillId="0" borderId="0" xfId="3" applyFont="1"/>
    <xf numFmtId="0" fontId="3" fillId="0" borderId="10" xfId="3" applyFont="1" applyBorder="1" applyAlignment="1">
      <alignment horizontal="center"/>
    </xf>
    <xf numFmtId="0" fontId="3" fillId="0" borderId="0" xfId="3" applyFont="1" applyAlignment="1">
      <alignment horizontal="center"/>
    </xf>
    <xf numFmtId="1" fontId="3" fillId="0" borderId="0" xfId="3" applyNumberFormat="1" applyFont="1" applyAlignment="1">
      <alignment horizontal="center"/>
    </xf>
    <xf numFmtId="175" fontId="3" fillId="0" borderId="0" xfId="3" applyNumberFormat="1" applyFont="1" applyAlignment="1">
      <alignment horizontal="center"/>
    </xf>
    <xf numFmtId="2" fontId="3" fillId="0" borderId="0" xfId="3" applyNumberFormat="1" applyFont="1" applyAlignment="1">
      <alignment horizontal="center"/>
    </xf>
    <xf numFmtId="172" fontId="3" fillId="0" borderId="0" xfId="1" applyNumberFormat="1" applyFont="1" applyAlignment="1">
      <alignment horizontal="center"/>
    </xf>
    <xf numFmtId="172" fontId="3" fillId="0" borderId="10" xfId="1" applyNumberFormat="1" applyFont="1" applyBorder="1" applyAlignment="1">
      <alignment horizontal="center"/>
    </xf>
    <xf numFmtId="0" fontId="4" fillId="0" borderId="0" xfId="3" applyFont="1" applyAlignment="1">
      <alignment horizontal="center"/>
    </xf>
    <xf numFmtId="172" fontId="5" fillId="6" borderId="0" xfId="1" applyNumberFormat="1" applyFont="1" applyFill="1" applyAlignment="1">
      <alignment horizontal="center"/>
    </xf>
    <xf numFmtId="0" fontId="3" fillId="0" borderId="10" xfId="3" applyFont="1" applyBorder="1"/>
    <xf numFmtId="171" fontId="3" fillId="0" borderId="0" xfId="3" applyNumberFormat="1" applyFont="1" applyAlignment="1">
      <alignment horizontal="center"/>
    </xf>
    <xf numFmtId="172" fontId="3" fillId="0" borderId="3" xfId="1" applyNumberFormat="1" applyFont="1" applyBorder="1" applyAlignment="1">
      <alignment horizontal="center"/>
    </xf>
    <xf numFmtId="0" fontId="3" fillId="0" borderId="10" xfId="0" applyFont="1" applyBorder="1"/>
    <xf numFmtId="172" fontId="6" fillId="0" borderId="0" xfId="1" applyNumberFormat="1" applyFont="1" applyFill="1"/>
    <xf numFmtId="172" fontId="6" fillId="0" borderId="0" xfId="0" applyNumberFormat="1" applyFont="1"/>
    <xf numFmtId="0" fontId="3" fillId="0" borderId="0" xfId="0" applyFont="1"/>
    <xf numFmtId="172" fontId="6" fillId="0" borderId="10" xfId="1" applyNumberFormat="1" applyFont="1" applyFill="1" applyBorder="1"/>
    <xf numFmtId="172" fontId="6" fillId="0" borderId="10" xfId="0" applyNumberFormat="1" applyFont="1" applyBorder="1"/>
    <xf numFmtId="0" fontId="6" fillId="0" borderId="0" xfId="0" applyFont="1"/>
    <xf numFmtId="0" fontId="3" fillId="7" borderId="10" xfId="0" applyFont="1" applyFill="1" applyBorder="1"/>
    <xf numFmtId="0" fontId="3" fillId="7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14" fontId="3" fillId="7" borderId="0" xfId="0" applyNumberFormat="1" applyFont="1" applyFill="1" applyAlignment="1">
      <alignment horizontal="left"/>
    </xf>
    <xf numFmtId="172" fontId="3" fillId="7" borderId="0" xfId="0" applyNumberFormat="1" applyFont="1" applyFill="1" applyAlignment="1">
      <alignment horizontal="right"/>
    </xf>
    <xf numFmtId="172" fontId="5" fillId="7" borderId="0" xfId="0" applyNumberFormat="1" applyFont="1" applyFill="1" applyAlignment="1">
      <alignment horizontal="right"/>
    </xf>
    <xf numFmtId="0" fontId="3" fillId="7" borderId="0" xfId="0" applyFont="1" applyFill="1" applyAlignment="1">
      <alignment horizontal="left"/>
    </xf>
    <xf numFmtId="3" fontId="3" fillId="7" borderId="0" xfId="0" applyNumberFormat="1" applyFont="1" applyFill="1" applyAlignment="1">
      <alignment horizontal="right"/>
    </xf>
    <xf numFmtId="172" fontId="3" fillId="7" borderId="0" xfId="1" applyNumberFormat="1" applyFont="1" applyFill="1" applyAlignment="1">
      <alignment horizontal="right"/>
    </xf>
    <xf numFmtId="0" fontId="3" fillId="7" borderId="0" xfId="0" applyFont="1" applyFill="1" applyAlignment="1">
      <alignment horizontal="right"/>
    </xf>
    <xf numFmtId="0" fontId="3" fillId="7" borderId="0" xfId="0" applyFont="1" applyFill="1"/>
    <xf numFmtId="0" fontId="3" fillId="7" borderId="10" xfId="0" applyFont="1" applyFill="1" applyBorder="1" applyAlignment="1">
      <alignment horizontal="left"/>
    </xf>
    <xf numFmtId="172" fontId="3" fillId="7" borderId="10" xfId="0" applyNumberFormat="1" applyFont="1" applyFill="1" applyBorder="1" applyAlignment="1">
      <alignment horizontal="right"/>
    </xf>
    <xf numFmtId="172" fontId="5" fillId="7" borderId="10" xfId="0" applyNumberFormat="1" applyFont="1" applyFill="1" applyBorder="1" applyAlignment="1">
      <alignment horizontal="right"/>
    </xf>
    <xf numFmtId="173" fontId="6" fillId="0" borderId="0" xfId="1" applyNumberFormat="1" applyFont="1"/>
    <xf numFmtId="9" fontId="3" fillId="0" borderId="0" xfId="3" applyNumberFormat="1" applyFont="1" applyAlignment="1">
      <alignment horizontal="center"/>
    </xf>
    <xf numFmtId="3" fontId="3" fillId="0" borderId="0" xfId="3" applyNumberFormat="1" applyFont="1" applyAlignment="1">
      <alignment horizontal="center"/>
    </xf>
    <xf numFmtId="0" fontId="7" fillId="0" borderId="0" xfId="3" applyFont="1"/>
    <xf numFmtId="173" fontId="3" fillId="7" borderId="0" xfId="0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9" fontId="3" fillId="0" borderId="0" xfId="1" applyFont="1"/>
    <xf numFmtId="172" fontId="3" fillId="0" borderId="0" xfId="1" applyNumberFormat="1" applyFont="1"/>
    <xf numFmtId="172" fontId="5" fillId="0" borderId="0" xfId="1" applyNumberFormat="1" applyFont="1" applyFill="1"/>
    <xf numFmtId="173" fontId="3" fillId="8" borderId="0" xfId="1" applyNumberFormat="1" applyFont="1" applyFill="1"/>
    <xf numFmtId="172" fontId="3" fillId="0" borderId="0" xfId="0" applyNumberFormat="1" applyFont="1"/>
    <xf numFmtId="0" fontId="11" fillId="0" borderId="0" xfId="0" applyFont="1"/>
    <xf numFmtId="0" fontId="12" fillId="9" borderId="0" xfId="0" applyFont="1" applyFill="1"/>
    <xf numFmtId="0" fontId="12" fillId="9" borderId="0" xfId="0" applyFont="1" applyFill="1" applyAlignment="1">
      <alignment horizontal="right"/>
    </xf>
    <xf numFmtId="0" fontId="12" fillId="9" borderId="0" xfId="0" applyFont="1" applyFill="1" applyAlignment="1">
      <alignment horizontal="right" wrapText="1"/>
    </xf>
    <xf numFmtId="0" fontId="12" fillId="9" borderId="0" xfId="0" applyFont="1" applyFill="1" applyAlignment="1">
      <alignment horizontal="center" wrapText="1"/>
    </xf>
    <xf numFmtId="0" fontId="12" fillId="9" borderId="0" xfId="0" applyFont="1" applyFill="1" applyAlignment="1">
      <alignment horizontal="center"/>
    </xf>
    <xf numFmtId="0" fontId="13" fillId="9" borderId="0" xfId="0" applyFont="1" applyFill="1" applyAlignment="1">
      <alignment horizontal="center" wrapText="1"/>
    </xf>
    <xf numFmtId="172" fontId="6" fillId="0" borderId="0" xfId="1" applyNumberFormat="1" applyFont="1" applyFill="1" applyAlignment="1"/>
    <xf numFmtId="14" fontId="3" fillId="0" borderId="0" xfId="0" applyNumberFormat="1" applyFont="1"/>
    <xf numFmtId="3" fontId="3" fillId="0" borderId="0" xfId="0" applyNumberFormat="1" applyFont="1"/>
    <xf numFmtId="14" fontId="14" fillId="10" borderId="0" xfId="0" applyNumberFormat="1" applyFont="1" applyFill="1"/>
    <xf numFmtId="176" fontId="14" fillId="10" borderId="0" xfId="1" applyNumberFormat="1" applyFont="1" applyFill="1" applyAlignment="1"/>
    <xf numFmtId="173" fontId="3" fillId="0" borderId="0" xfId="0" applyNumberFormat="1" applyFont="1"/>
    <xf numFmtId="0" fontId="3" fillId="0" borderId="14" xfId="0" applyFont="1" applyBorder="1"/>
    <xf numFmtId="10" fontId="3" fillId="0" borderId="15" xfId="2" applyNumberFormat="1" applyFont="1" applyBorder="1"/>
    <xf numFmtId="0" fontId="3" fillId="0" borderId="16" xfId="0" applyFont="1" applyBorder="1"/>
    <xf numFmtId="10" fontId="3" fillId="0" borderId="6" xfId="0" applyNumberFormat="1" applyFont="1" applyBorder="1"/>
    <xf numFmtId="173" fontId="3" fillId="0" borderId="8" xfId="0" applyNumberFormat="1" applyFont="1" applyBorder="1"/>
    <xf numFmtId="10" fontId="3" fillId="0" borderId="9" xfId="0" applyNumberFormat="1" applyFont="1" applyBorder="1"/>
    <xf numFmtId="173" fontId="3" fillId="0" borderId="12" xfId="0" applyNumberFormat="1" applyFont="1" applyBorder="1"/>
    <xf numFmtId="10" fontId="6" fillId="0" borderId="17" xfId="0" applyNumberFormat="1" applyFont="1" applyBorder="1"/>
    <xf numFmtId="174" fontId="3" fillId="0" borderId="0" xfId="0" applyNumberFormat="1" applyFont="1"/>
    <xf numFmtId="0" fontId="15" fillId="2" borderId="0" xfId="3" applyFont="1" applyFill="1"/>
    <xf numFmtId="0" fontId="2" fillId="2" borderId="0" xfId="3" applyFont="1" applyFill="1"/>
    <xf numFmtId="0" fontId="16" fillId="2" borderId="0" xfId="3" applyFont="1" applyFill="1"/>
    <xf numFmtId="0" fontId="17" fillId="2" borderId="0" xfId="3" applyFont="1" applyFill="1"/>
    <xf numFmtId="0" fontId="18" fillId="2" borderId="0" xfId="3" applyFont="1" applyFill="1"/>
    <xf numFmtId="0" fontId="2" fillId="2" borderId="1" xfId="3" applyFont="1" applyFill="1" applyBorder="1"/>
    <xf numFmtId="0" fontId="2" fillId="2" borderId="2" xfId="3" applyFont="1" applyFill="1" applyBorder="1"/>
    <xf numFmtId="0" fontId="2" fillId="2" borderId="1" xfId="3" applyFont="1" applyFill="1" applyBorder="1" applyAlignment="1">
      <alignment horizontal="left" wrapText="1"/>
    </xf>
    <xf numFmtId="0" fontId="2" fillId="2" borderId="3" xfId="3" applyFont="1" applyFill="1" applyBorder="1" applyAlignment="1">
      <alignment wrapText="1"/>
    </xf>
    <xf numFmtId="0" fontId="2" fillId="2" borderId="2" xfId="3" applyFont="1" applyFill="1" applyBorder="1" applyAlignment="1">
      <alignment wrapText="1"/>
    </xf>
    <xf numFmtId="0" fontId="2" fillId="2" borderId="4" xfId="3" applyFont="1" applyFill="1" applyBorder="1"/>
    <xf numFmtId="0" fontId="2" fillId="2" borderId="5" xfId="3" applyFont="1" applyFill="1" applyBorder="1"/>
    <xf numFmtId="0" fontId="2" fillId="2" borderId="0" xfId="3" applyFont="1" applyFill="1" applyAlignment="1">
      <alignment wrapText="1"/>
    </xf>
    <xf numFmtId="0" fontId="2" fillId="2" borderId="5" xfId="3" applyFont="1" applyFill="1" applyBorder="1" applyAlignment="1">
      <alignment wrapText="1"/>
    </xf>
    <xf numFmtId="0" fontId="2" fillId="2" borderId="6" xfId="3" applyFont="1" applyFill="1" applyBorder="1"/>
    <xf numFmtId="0" fontId="2" fillId="2" borderId="7" xfId="3" applyFont="1" applyFill="1" applyBorder="1"/>
    <xf numFmtId="0" fontId="2" fillId="2" borderId="8" xfId="3" applyFont="1" applyFill="1" applyBorder="1"/>
    <xf numFmtId="0" fontId="2" fillId="2" borderId="9" xfId="3" applyFont="1" applyFill="1" applyBorder="1" applyAlignment="1">
      <alignment horizontal="left" vertical="top"/>
    </xf>
    <xf numFmtId="0" fontId="2" fillId="2" borderId="7" xfId="3" applyFont="1" applyFill="1" applyBorder="1" applyAlignment="1">
      <alignment wrapText="1"/>
    </xf>
    <xf numFmtId="0" fontId="2" fillId="2" borderId="8" xfId="3" applyFont="1" applyFill="1" applyBorder="1" applyAlignment="1">
      <alignment wrapText="1"/>
    </xf>
    <xf numFmtId="0" fontId="2" fillId="2" borderId="10" xfId="3" applyFont="1" applyFill="1" applyBorder="1" applyAlignment="1">
      <alignment wrapText="1"/>
    </xf>
    <xf numFmtId="0" fontId="2" fillId="2" borderId="12" xfId="3" applyFont="1" applyFill="1" applyBorder="1" applyAlignment="1">
      <alignment wrapText="1"/>
    </xf>
    <xf numFmtId="0" fontId="2" fillId="2" borderId="1" xfId="3" applyFont="1" applyFill="1" applyBorder="1" applyAlignment="1">
      <alignment horizontal="left"/>
    </xf>
    <xf numFmtId="0" fontId="19" fillId="2" borderId="0" xfId="3" applyFont="1" applyFill="1"/>
    <xf numFmtId="0" fontId="2" fillId="2" borderId="0" xfId="3" applyFont="1" applyFill="1" applyAlignment="1">
      <alignment horizontal="left" vertical="top"/>
    </xf>
    <xf numFmtId="170" fontId="2" fillId="2" borderId="1" xfId="3" applyNumberFormat="1" applyFont="1" applyFill="1" applyBorder="1" applyAlignment="1">
      <alignment horizontal="left"/>
    </xf>
    <xf numFmtId="0" fontId="2" fillId="2" borderId="3" xfId="3" applyFont="1" applyFill="1" applyBorder="1"/>
    <xf numFmtId="10" fontId="2" fillId="2" borderId="1" xfId="3" applyNumberFormat="1" applyFont="1" applyFill="1" applyBorder="1"/>
    <xf numFmtId="0" fontId="15" fillId="2" borderId="1" xfId="3" applyFont="1" applyFill="1" applyBorder="1" applyAlignment="1">
      <alignment horizontal="center" wrapText="1"/>
    </xf>
    <xf numFmtId="0" fontId="2" fillId="2" borderId="1" xfId="3" applyFont="1" applyFill="1" applyBorder="1" applyAlignment="1">
      <alignment horizontal="center"/>
    </xf>
    <xf numFmtId="0" fontId="2" fillId="2" borderId="11" xfId="3" applyFont="1" applyFill="1" applyBorder="1" applyAlignment="1">
      <alignment horizontal="center"/>
    </xf>
    <xf numFmtId="9" fontId="2" fillId="2" borderId="0" xfId="6" applyFont="1" applyFill="1" applyBorder="1"/>
    <xf numFmtId="0" fontId="18" fillId="5" borderId="0" xfId="0" applyFont="1" applyFill="1"/>
    <xf numFmtId="0" fontId="2" fillId="5" borderId="0" xfId="0" applyFont="1" applyFill="1"/>
    <xf numFmtId="0" fontId="2" fillId="5" borderId="11" xfId="0" applyFont="1" applyFill="1" applyBorder="1"/>
    <xf numFmtId="0" fontId="2" fillId="5" borderId="11" xfId="0" applyFont="1" applyFill="1" applyBorder="1" applyAlignment="1">
      <alignment wrapText="1"/>
    </xf>
    <xf numFmtId="0" fontId="2" fillId="5" borderId="11" xfId="0" applyFont="1" applyFill="1" applyBorder="1" applyAlignment="1">
      <alignment vertical="center"/>
    </xf>
    <xf numFmtId="0" fontId="2" fillId="5" borderId="11" xfId="0" applyFont="1" applyFill="1" applyBorder="1" applyAlignment="1">
      <alignment horizontal="right" vertical="center"/>
    </xf>
    <xf numFmtId="0" fontId="15" fillId="2" borderId="11" xfId="3" applyFont="1" applyFill="1" applyBorder="1" applyAlignment="1">
      <alignment horizontal="center" wrapText="1"/>
    </xf>
    <xf numFmtId="9" fontId="2" fillId="2" borderId="13" xfId="6" applyFont="1" applyFill="1" applyBorder="1" applyAlignment="1">
      <alignment horizontal="center"/>
    </xf>
    <xf numFmtId="171" fontId="2" fillId="2" borderId="11" xfId="3" applyNumberFormat="1" applyFont="1" applyFill="1" applyBorder="1" applyAlignment="1">
      <alignment horizontal="center"/>
    </xf>
    <xf numFmtId="3" fontId="2" fillId="2" borderId="11" xfId="3" applyNumberFormat="1" applyFont="1" applyFill="1" applyBorder="1" applyAlignment="1">
      <alignment horizontal="center"/>
    </xf>
    <xf numFmtId="3" fontId="2" fillId="2" borderId="0" xfId="3" applyNumberFormat="1" applyFont="1" applyFill="1"/>
    <xf numFmtId="170" fontId="2" fillId="2" borderId="0" xfId="3" applyNumberFormat="1" applyFont="1" applyFill="1" applyAlignment="1">
      <alignment horizontal="left"/>
    </xf>
    <xf numFmtId="10" fontId="2" fillId="2" borderId="1" xfId="3" applyNumberFormat="1" applyFont="1" applyFill="1" applyBorder="1" applyAlignment="1">
      <alignment horizontal="left"/>
    </xf>
    <xf numFmtId="174" fontId="2" fillId="2" borderId="1" xfId="4" applyNumberFormat="1" applyFont="1" applyFill="1" applyBorder="1" applyAlignment="1">
      <alignment horizontal="left"/>
    </xf>
    <xf numFmtId="0" fontId="2" fillId="2" borderId="0" xfId="3" applyFont="1" applyFill="1" applyAlignment="1">
      <alignment vertical="center" wrapText="1"/>
    </xf>
    <xf numFmtId="3" fontId="2" fillId="2" borderId="0" xfId="3" applyNumberFormat="1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2" fillId="2" borderId="11" xfId="3" applyFont="1" applyFill="1" applyBorder="1" applyAlignment="1">
      <alignment vertical="center" wrapText="1"/>
    </xf>
    <xf numFmtId="0" fontId="2" fillId="2" borderId="0" xfId="3" applyFont="1" applyFill="1" applyAlignment="1">
      <alignment horizontal="left" vertical="center" indent="7"/>
    </xf>
    <xf numFmtId="0" fontId="17" fillId="2" borderId="0" xfId="3" applyFont="1" applyFill="1" applyAlignment="1">
      <alignment horizontal="left" wrapText="1"/>
    </xf>
    <xf numFmtId="0" fontId="2" fillId="2" borderId="0" xfId="3" applyFont="1" applyFill="1" applyAlignment="1">
      <alignment horizontal="left" indent="1"/>
    </xf>
    <xf numFmtId="3" fontId="2" fillId="4" borderId="11" xfId="3" applyNumberFormat="1" applyFont="1" applyFill="1" applyBorder="1"/>
    <xf numFmtId="9" fontId="2" fillId="2" borderId="0" xfId="3" applyNumberFormat="1" applyFont="1" applyFill="1"/>
    <xf numFmtId="169" fontId="11" fillId="0" borderId="0" xfId="0" applyNumberFormat="1" applyFont="1"/>
    <xf numFmtId="0" fontId="2" fillId="2" borderId="0" xfId="3" applyFont="1" applyFill="1" applyAlignment="1">
      <alignment horizontal="right"/>
    </xf>
    <xf numFmtId="0" fontId="21" fillId="0" borderId="0" xfId="3" applyFont="1"/>
    <xf numFmtId="173" fontId="11" fillId="0" borderId="0" xfId="1" applyNumberFormat="1" applyFont="1"/>
    <xf numFmtId="9" fontId="11" fillId="0" borderId="0" xfId="2" applyFont="1"/>
    <xf numFmtId="0" fontId="2" fillId="4" borderId="1" xfId="3" applyFont="1" applyFill="1" applyBorder="1"/>
    <xf numFmtId="0" fontId="2" fillId="4" borderId="3" xfId="3" applyFont="1" applyFill="1" applyBorder="1"/>
    <xf numFmtId="0" fontId="2" fillId="4" borderId="2" xfId="3" applyFont="1" applyFill="1" applyBorder="1"/>
    <xf numFmtId="172" fontId="21" fillId="0" borderId="0" xfId="3" applyNumberFormat="1" applyFont="1"/>
    <xf numFmtId="0" fontId="2" fillId="0" borderId="11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14" fontId="2" fillId="0" borderId="11" xfId="0" applyNumberFormat="1" applyFont="1" applyBorder="1"/>
    <xf numFmtId="14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/>
    <xf numFmtId="0" fontId="11" fillId="0" borderId="14" xfId="0" applyFont="1" applyBorder="1"/>
    <xf numFmtId="173" fontId="11" fillId="0" borderId="15" xfId="0" applyNumberFormat="1" applyFont="1" applyBorder="1"/>
    <xf numFmtId="0" fontId="11" fillId="0" borderId="16" xfId="0" applyFont="1" applyBorder="1"/>
    <xf numFmtId="173" fontId="11" fillId="0" borderId="17" xfId="0" applyNumberFormat="1" applyFont="1" applyBorder="1"/>
    <xf numFmtId="173" fontId="11" fillId="0" borderId="0" xfId="0" applyNumberFormat="1" applyFont="1"/>
    <xf numFmtId="177" fontId="2" fillId="2" borderId="11" xfId="8" applyNumberFormat="1" applyFont="1" applyFill="1" applyBorder="1" applyAlignment="1">
      <alignment horizontal="center"/>
    </xf>
    <xf numFmtId="0" fontId="2" fillId="2" borderId="9" xfId="3" applyFont="1" applyFill="1" applyBorder="1"/>
    <xf numFmtId="0" fontId="15" fillId="2" borderId="0" xfId="0" applyFont="1" applyFill="1" applyAlignment="1">
      <alignment horizontal="left"/>
    </xf>
    <xf numFmtId="0" fontId="22" fillId="0" borderId="0" xfId="0" applyFont="1"/>
    <xf numFmtId="9" fontId="2" fillId="2" borderId="0" xfId="0" quotePrefix="1" applyNumberFormat="1" applyFont="1" applyFill="1"/>
    <xf numFmtId="0" fontId="11" fillId="2" borderId="0" xfId="0" applyFont="1" applyFill="1"/>
    <xf numFmtId="0" fontId="11" fillId="2" borderId="5" xfId="0" applyFont="1" applyFill="1" applyBorder="1"/>
    <xf numFmtId="0" fontId="11" fillId="2" borderId="12" xfId="0" applyFont="1" applyFill="1" applyBorder="1"/>
    <xf numFmtId="0" fontId="15" fillId="5" borderId="2" xfId="0" applyFont="1" applyFill="1" applyBorder="1" applyAlignment="1">
      <alignment horizontal="right" vertical="center"/>
    </xf>
    <xf numFmtId="3" fontId="2" fillId="5" borderId="2" xfId="0" applyNumberFormat="1" applyFont="1" applyFill="1" applyBorder="1" applyAlignment="1">
      <alignment horizontal="right" vertical="center"/>
    </xf>
    <xf numFmtId="0" fontId="2" fillId="11" borderId="0" xfId="0" applyFont="1" applyFill="1" applyAlignment="1">
      <alignment vertical="center"/>
    </xf>
    <xf numFmtId="0" fontId="2" fillId="11" borderId="0" xfId="0" applyFont="1" applyFill="1" applyAlignment="1">
      <alignment horizontal="left" vertical="center"/>
    </xf>
    <xf numFmtId="0" fontId="11" fillId="2" borderId="8" xfId="0" applyFont="1" applyFill="1" applyBorder="1"/>
    <xf numFmtId="0" fontId="2" fillId="11" borderId="4" xfId="0" applyFont="1" applyFill="1" applyBorder="1" applyAlignment="1">
      <alignment vertical="center"/>
    </xf>
    <xf numFmtId="0" fontId="2" fillId="11" borderId="4" xfId="0" applyFont="1" applyFill="1" applyBorder="1" applyAlignment="1">
      <alignment horizontal="left" vertical="center"/>
    </xf>
    <xf numFmtId="0" fontId="11" fillId="2" borderId="2" xfId="0" applyFont="1" applyFill="1" applyBorder="1"/>
    <xf numFmtId="0" fontId="2" fillId="2" borderId="0" xfId="0" applyFont="1" applyFill="1"/>
    <xf numFmtId="0" fontId="8" fillId="11" borderId="0" xfId="0" applyFont="1" applyFill="1" applyAlignment="1">
      <alignment horizontal="center"/>
    </xf>
    <xf numFmtId="0" fontId="9" fillId="11" borderId="11" xfId="0" applyFont="1" applyFill="1" applyBorder="1" applyAlignment="1">
      <alignment vertical="center"/>
    </xf>
    <xf numFmtId="0" fontId="2" fillId="11" borderId="11" xfId="0" applyFont="1" applyFill="1" applyBorder="1" applyAlignment="1">
      <alignment horizontal="center"/>
    </xf>
    <xf numFmtId="0" fontId="17" fillId="3" borderId="0" xfId="3" applyFont="1" applyFill="1"/>
    <xf numFmtId="0" fontId="17" fillId="3" borderId="1" xfId="3" applyFont="1" applyFill="1" applyBorder="1"/>
    <xf numFmtId="0" fontId="11" fillId="2" borderId="3" xfId="0" applyFont="1" applyFill="1" applyBorder="1"/>
    <xf numFmtId="0" fontId="17" fillId="3" borderId="3" xfId="3" applyFont="1" applyFill="1" applyBorder="1"/>
    <xf numFmtId="0" fontId="17" fillId="3" borderId="2" xfId="3" applyFont="1" applyFill="1" applyBorder="1"/>
    <xf numFmtId="0" fontId="15" fillId="2" borderId="0" xfId="3" applyFont="1" applyFill="1" applyAlignment="1">
      <alignment horizontal="left"/>
    </xf>
    <xf numFmtId="172" fontId="23" fillId="4" borderId="11" xfId="0" applyNumberFormat="1" applyFont="1" applyFill="1" applyBorder="1"/>
    <xf numFmtId="172" fontId="15" fillId="2" borderId="0" xfId="7" applyNumberFormat="1" applyFont="1" applyFill="1"/>
    <xf numFmtId="0" fontId="2" fillId="2" borderId="0" xfId="3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10" fontId="2" fillId="2" borderId="0" xfId="0" applyNumberFormat="1" applyFont="1" applyFill="1"/>
    <xf numFmtId="0" fontId="2" fillId="11" borderId="6" xfId="0" applyFont="1" applyFill="1" applyBorder="1" applyAlignment="1">
      <alignment vertical="top"/>
    </xf>
    <xf numFmtId="0" fontId="17" fillId="5" borderId="4" xfId="0" applyFont="1" applyFill="1" applyBorder="1" applyAlignment="1">
      <alignment horizontal="left" vertical="center"/>
    </xf>
    <xf numFmtId="0" fontId="2" fillId="2" borderId="4" xfId="3" applyFont="1" applyFill="1" applyBorder="1" applyAlignment="1">
      <alignment horizontal="left"/>
    </xf>
    <xf numFmtId="0" fontId="2" fillId="2" borderId="12" xfId="3" applyFont="1" applyFill="1" applyBorder="1"/>
    <xf numFmtId="0" fontId="2" fillId="2" borderId="6" xfId="3" applyFont="1" applyFill="1" applyBorder="1" applyAlignment="1">
      <alignment horizontal="left" vertical="top"/>
    </xf>
    <xf numFmtId="0" fontId="2" fillId="2" borderId="8" xfId="3" applyFont="1" applyFill="1" applyBorder="1" applyAlignment="1">
      <alignment horizontal="left" vertical="top"/>
    </xf>
    <xf numFmtId="0" fontId="2" fillId="2" borderId="4" xfId="3" applyFont="1" applyFill="1" applyBorder="1" applyAlignment="1">
      <alignment horizontal="left" vertical="top"/>
    </xf>
    <xf numFmtId="0" fontId="2" fillId="2" borderId="5" xfId="3" applyFont="1" applyFill="1" applyBorder="1" applyAlignment="1">
      <alignment horizontal="left" vertical="top"/>
    </xf>
    <xf numFmtId="0" fontId="2" fillId="2" borderId="12" xfId="3" applyFont="1" applyFill="1" applyBorder="1" applyAlignment="1">
      <alignment horizontal="left" vertical="top"/>
    </xf>
    <xf numFmtId="0" fontId="24" fillId="2" borderId="0" xfId="3" applyFont="1" applyFill="1" applyAlignment="1">
      <alignment horizontal="left"/>
    </xf>
    <xf numFmtId="15" fontId="15" fillId="2" borderId="0" xfId="3" applyNumberFormat="1" applyFont="1" applyFill="1"/>
    <xf numFmtId="172" fontId="11" fillId="0" borderId="0" xfId="0" applyNumberFormat="1" applyFont="1"/>
    <xf numFmtId="0" fontId="19" fillId="2" borderId="0" xfId="3" applyFont="1" applyFill="1" applyAlignment="1">
      <alignment vertical="center" wrapText="1"/>
    </xf>
    <xf numFmtId="168" fontId="3" fillId="0" borderId="0" xfId="0" applyNumberFormat="1" applyFont="1"/>
    <xf numFmtId="168" fontId="11" fillId="0" borderId="0" xfId="0" applyNumberFormat="1" applyFont="1"/>
    <xf numFmtId="172" fontId="3" fillId="0" borderId="0" xfId="3" applyNumberFormat="1" applyFont="1"/>
    <xf numFmtId="3" fontId="3" fillId="0" borderId="0" xfId="3" applyNumberFormat="1" applyFont="1"/>
    <xf numFmtId="3" fontId="3" fillId="0" borderId="10" xfId="3" applyNumberFormat="1" applyFont="1" applyBorder="1"/>
    <xf numFmtId="0" fontId="25" fillId="0" borderId="0" xfId="0" applyFont="1"/>
    <xf numFmtId="0" fontId="26" fillId="0" borderId="0" xfId="3" applyFont="1"/>
    <xf numFmtId="10" fontId="15" fillId="11" borderId="11" xfId="0" applyNumberFormat="1" applyFont="1" applyFill="1" applyBorder="1" applyAlignment="1">
      <alignment horizontal="center" wrapText="1"/>
    </xf>
    <xf numFmtId="0" fontId="27" fillId="11" borderId="11" xfId="0" applyFont="1" applyFill="1" applyBorder="1" applyAlignment="1">
      <alignment vertical="center"/>
    </xf>
    <xf numFmtId="0" fontId="19" fillId="2" borderId="0" xfId="3" applyFont="1" applyFill="1" applyAlignment="1">
      <alignment vertical="center"/>
    </xf>
    <xf numFmtId="0" fontId="2" fillId="2" borderId="10" xfId="3" applyFont="1" applyFill="1" applyBorder="1"/>
    <xf numFmtId="0" fontId="2" fillId="2" borderId="1" xfId="3" applyFont="1" applyFill="1" applyBorder="1" applyAlignment="1">
      <alignment horizontal="left" vertical="top"/>
    </xf>
    <xf numFmtId="0" fontId="2" fillId="2" borderId="3" xfId="3" applyFont="1" applyFill="1" applyBorder="1" applyAlignment="1">
      <alignment horizontal="center" vertical="top"/>
    </xf>
    <xf numFmtId="9" fontId="2" fillId="2" borderId="3" xfId="3" applyNumberFormat="1" applyFont="1" applyFill="1" applyBorder="1" applyAlignment="1">
      <alignment horizontal="center" vertical="top"/>
    </xf>
    <xf numFmtId="9" fontId="2" fillId="2" borderId="2" xfId="3" applyNumberFormat="1" applyFont="1" applyFill="1" applyBorder="1" applyAlignment="1">
      <alignment horizontal="center" vertical="top"/>
    </xf>
    <xf numFmtId="2" fontId="2" fillId="11" borderId="11" xfId="0" applyNumberFormat="1" applyFont="1" applyFill="1" applyBorder="1" applyAlignment="1">
      <alignment horizontal="center"/>
    </xf>
    <xf numFmtId="177" fontId="2" fillId="2" borderId="0" xfId="8" applyNumberFormat="1" applyFont="1" applyFill="1" applyBorder="1" applyAlignment="1">
      <alignment horizontal="center"/>
    </xf>
    <xf numFmtId="0" fontId="17" fillId="2" borderId="1" xfId="3" applyFont="1" applyFill="1" applyBorder="1"/>
    <xf numFmtId="10" fontId="2" fillId="2" borderId="9" xfId="3" applyNumberFormat="1" applyFont="1" applyFill="1" applyBorder="1" applyAlignment="1">
      <alignment horizontal="left"/>
    </xf>
    <xf numFmtId="10" fontId="2" fillId="2" borderId="3" xfId="3" applyNumberFormat="1" applyFont="1" applyFill="1" applyBorder="1" applyAlignment="1">
      <alignment horizontal="left"/>
    </xf>
    <xf numFmtId="0" fontId="2" fillId="2" borderId="1" xfId="3" applyFont="1" applyFill="1" applyBorder="1" applyAlignment="1">
      <alignment horizontal="center" wrapText="1"/>
    </xf>
    <xf numFmtId="0" fontId="2" fillId="2" borderId="11" xfId="3" applyFont="1" applyFill="1" applyBorder="1" applyAlignment="1">
      <alignment horizontal="center" wrapText="1"/>
    </xf>
    <xf numFmtId="0" fontId="15" fillId="2" borderId="1" xfId="3" applyFont="1" applyFill="1" applyBorder="1" applyAlignment="1">
      <alignment horizontal="center"/>
    </xf>
    <xf numFmtId="0" fontId="15" fillId="2" borderId="11" xfId="3" applyFont="1" applyFill="1" applyBorder="1" applyAlignment="1">
      <alignment horizontal="center"/>
    </xf>
    <xf numFmtId="0" fontId="2" fillId="2" borderId="0" xfId="3" applyFont="1" applyFill="1" applyAlignment="1">
      <alignment horizontal="center"/>
    </xf>
    <xf numFmtId="171" fontId="2" fillId="2" borderId="0" xfId="3" applyNumberFormat="1" applyFont="1" applyFill="1" applyAlignment="1">
      <alignment horizontal="center"/>
    </xf>
    <xf numFmtId="3" fontId="2" fillId="2" borderId="0" xfId="3" applyNumberFormat="1" applyFont="1" applyFill="1" applyAlignment="1">
      <alignment horizontal="center"/>
    </xf>
    <xf numFmtId="0" fontId="15" fillId="2" borderId="0" xfId="3" applyFont="1" applyFill="1" applyAlignment="1">
      <alignment horizontal="center" wrapText="1"/>
    </xf>
    <xf numFmtId="0" fontId="2" fillId="2" borderId="5" xfId="3" applyFont="1" applyFill="1" applyBorder="1" applyAlignment="1">
      <alignment horizontal="center"/>
    </xf>
    <xf numFmtId="177" fontId="15" fillId="2" borderId="0" xfId="8" applyNumberFormat="1" applyFont="1" applyFill="1" applyAlignment="1">
      <alignment horizontal="left" wrapText="1"/>
    </xf>
    <xf numFmtId="14" fontId="2" fillId="5" borderId="11" xfId="0" applyNumberFormat="1" applyFont="1" applyFill="1" applyBorder="1" applyAlignment="1">
      <alignment horizontal="right" vertical="center"/>
    </xf>
    <xf numFmtId="3" fontId="2" fillId="5" borderId="11" xfId="0" applyNumberFormat="1" applyFont="1" applyFill="1" applyBorder="1" applyAlignment="1">
      <alignment vertical="center"/>
    </xf>
    <xf numFmtId="0" fontId="18" fillId="2" borderId="0" xfId="0" applyFont="1" applyFill="1" applyAlignment="1">
      <alignment horizontal="left"/>
    </xf>
    <xf numFmtId="0" fontId="18" fillId="2" borderId="0" xfId="3" applyFont="1" applyFill="1" applyAlignment="1">
      <alignment vertical="center"/>
    </xf>
    <xf numFmtId="0" fontId="17" fillId="3" borderId="0" xfId="3" applyFont="1" applyFill="1" applyAlignment="1">
      <alignment wrapText="1"/>
    </xf>
    <xf numFmtId="172" fontId="3" fillId="0" borderId="10" xfId="3" applyNumberFormat="1" applyFont="1" applyBorder="1"/>
    <xf numFmtId="3" fontId="21" fillId="0" borderId="0" xfId="3" applyNumberFormat="1" applyFont="1"/>
    <xf numFmtId="178" fontId="11" fillId="0" borderId="0" xfId="0" applyNumberFormat="1" applyFont="1"/>
    <xf numFmtId="169" fontId="15" fillId="2" borderId="0" xfId="1" applyFont="1" applyFill="1" applyAlignment="1">
      <alignment horizontal="center" wrapText="1"/>
    </xf>
    <xf numFmtId="169" fontId="2" fillId="2" borderId="0" xfId="1" applyFont="1" applyFill="1" applyAlignment="1">
      <alignment horizontal="center"/>
    </xf>
    <xf numFmtId="168" fontId="0" fillId="0" borderId="0" xfId="0" applyNumberFormat="1"/>
    <xf numFmtId="9" fontId="7" fillId="0" borderId="0" xfId="0" applyNumberFormat="1" applyFont="1"/>
    <xf numFmtId="166" fontId="2" fillId="2" borderId="0" xfId="3" applyNumberFormat="1" applyFont="1" applyFill="1"/>
    <xf numFmtId="0" fontId="31" fillId="0" borderId="0" xfId="0" applyFont="1"/>
    <xf numFmtId="9" fontId="31" fillId="0" borderId="0" xfId="2" applyFont="1"/>
    <xf numFmtId="172" fontId="3" fillId="12" borderId="0" xfId="1" applyNumberFormat="1" applyFont="1" applyFill="1" applyAlignment="1">
      <alignment horizontal="center"/>
    </xf>
    <xf numFmtId="173" fontId="21" fillId="12" borderId="0" xfId="1" applyNumberFormat="1" applyFont="1" applyFill="1"/>
    <xf numFmtId="172" fontId="6" fillId="12" borderId="0" xfId="1" applyNumberFormat="1" applyFont="1" applyFill="1"/>
    <xf numFmtId="0" fontId="4" fillId="0" borderId="0" xfId="0" applyFont="1"/>
    <xf numFmtId="6" fontId="33" fillId="0" borderId="0" xfId="0" quotePrefix="1" applyNumberFormat="1" applyFont="1"/>
    <xf numFmtId="0" fontId="4" fillId="13" borderId="0" xfId="0" applyFont="1" applyFill="1"/>
    <xf numFmtId="0" fontId="4" fillId="2" borderId="0" xfId="0" applyFont="1" applyFill="1"/>
    <xf numFmtId="0" fontId="34" fillId="2" borderId="0" xfId="0" applyFont="1" applyFill="1"/>
    <xf numFmtId="0" fontId="35" fillId="0" borderId="0" xfId="0" applyFont="1"/>
    <xf numFmtId="6" fontId="35" fillId="0" borderId="0" xfId="0" applyNumberFormat="1" applyFont="1"/>
    <xf numFmtId="0" fontId="4" fillId="13" borderId="0" xfId="0" applyFont="1" applyFill="1" applyAlignment="1">
      <alignment horizontal="center"/>
    </xf>
    <xf numFmtId="6" fontId="4" fillId="0" borderId="0" xfId="0" applyNumberFormat="1" applyFont="1"/>
    <xf numFmtId="179" fontId="4" fillId="0" borderId="0" xfId="0" applyNumberFormat="1" applyFont="1"/>
    <xf numFmtId="9" fontId="4" fillId="0" borderId="0" xfId="0" applyNumberFormat="1" applyFont="1"/>
    <xf numFmtId="8" fontId="4" fillId="0" borderId="0" xfId="0" applyNumberFormat="1" applyFont="1"/>
    <xf numFmtId="10" fontId="4" fillId="0" borderId="0" xfId="2" applyNumberFormat="1" applyFont="1"/>
    <xf numFmtId="0" fontId="4" fillId="14" borderId="0" xfId="0" applyFont="1" applyFill="1"/>
    <xf numFmtId="0" fontId="37" fillId="0" borderId="0" xfId="0" applyFont="1"/>
    <xf numFmtId="6" fontId="4" fillId="14" borderId="0" xfId="0" applyNumberFormat="1" applyFont="1" applyFill="1"/>
    <xf numFmtId="0" fontId="34" fillId="2" borderId="0" xfId="0" applyFont="1" applyFill="1" applyAlignment="1">
      <alignment vertical="center"/>
    </xf>
    <xf numFmtId="0" fontId="38" fillId="2" borderId="0" xfId="0" applyFont="1" applyFill="1"/>
    <xf numFmtId="180" fontId="34" fillId="2" borderId="0" xfId="9" applyNumberFormat="1" applyFont="1" applyFill="1" applyBorder="1" applyAlignment="1">
      <alignment horizontal="left"/>
    </xf>
    <xf numFmtId="9" fontId="34" fillId="2" borderId="0" xfId="2" applyFont="1" applyFill="1" applyBorder="1" applyAlignment="1">
      <alignment horizontal="left"/>
    </xf>
    <xf numFmtId="9" fontId="34" fillId="2" borderId="0" xfId="0" applyNumberFormat="1" applyFont="1" applyFill="1" applyAlignment="1">
      <alignment horizontal="left"/>
    </xf>
    <xf numFmtId="0" fontId="34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39" fillId="13" borderId="0" xfId="0" applyFont="1" applyFill="1" applyAlignment="1">
      <alignment horizontal="center"/>
    </xf>
    <xf numFmtId="0" fontId="39" fillId="0" borderId="0" xfId="0" applyFont="1"/>
    <xf numFmtId="179" fontId="34" fillId="2" borderId="11" xfId="9" applyNumberFormat="1" applyFont="1" applyFill="1" applyBorder="1"/>
    <xf numFmtId="0" fontId="34" fillId="2" borderId="11" xfId="0" applyFont="1" applyFill="1" applyBorder="1" applyAlignment="1">
      <alignment vertical="center" wrapText="1"/>
    </xf>
    <xf numFmtId="0" fontId="40" fillId="2" borderId="0" xfId="0" applyFont="1" applyFill="1" applyAlignment="1">
      <alignment vertical="center"/>
    </xf>
    <xf numFmtId="0" fontId="34" fillId="2" borderId="0" xfId="0" applyFont="1" applyFill="1" applyAlignment="1">
      <alignment horizontal="center" vertical="center"/>
    </xf>
    <xf numFmtId="0" fontId="42" fillId="2" borderId="0" xfId="0" applyFont="1" applyFill="1" applyAlignment="1">
      <alignment horizontal="center"/>
    </xf>
    <xf numFmtId="0" fontId="34" fillId="2" borderId="11" xfId="0" applyFont="1" applyFill="1" applyBorder="1" applyAlignment="1">
      <alignment horizontal="left" vertical="center" wrapText="1"/>
    </xf>
    <xf numFmtId="6" fontId="34" fillId="2" borderId="11" xfId="0" applyNumberFormat="1" applyFont="1" applyFill="1" applyBorder="1" applyAlignment="1">
      <alignment horizontal="left" vertical="center" wrapText="1"/>
    </xf>
    <xf numFmtId="0" fontId="41" fillId="2" borderId="11" xfId="0" applyFont="1" applyFill="1" applyBorder="1" applyAlignment="1">
      <alignment horizontal="left" vertical="center" wrapText="1"/>
    </xf>
    <xf numFmtId="0" fontId="41" fillId="2" borderId="11" xfId="0" applyFont="1" applyFill="1" applyBorder="1" applyAlignment="1">
      <alignment vertical="center" wrapText="1"/>
    </xf>
    <xf numFmtId="0" fontId="42" fillId="2" borderId="0" xfId="0" applyFont="1" applyFill="1"/>
    <xf numFmtId="0" fontId="34" fillId="2" borderId="11" xfId="0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34" fillId="2" borderId="0" xfId="0" applyFont="1" applyFill="1" applyAlignment="1">
      <alignment horizontal="right"/>
    </xf>
    <xf numFmtId="0" fontId="34" fillId="2" borderId="0" xfId="0" applyFont="1" applyFill="1" applyAlignment="1">
      <alignment horizontal="left" vertical="center" indent="10"/>
    </xf>
    <xf numFmtId="0" fontId="34" fillId="2" borderId="0" xfId="0" applyFont="1" applyFill="1" applyAlignment="1">
      <alignment horizontal="left" vertical="center" indent="5"/>
    </xf>
    <xf numFmtId="181" fontId="4" fillId="0" borderId="0" xfId="0" applyNumberFormat="1" applyFont="1"/>
    <xf numFmtId="0" fontId="34" fillId="2" borderId="0" xfId="0" applyFont="1" applyFill="1" applyAlignment="1">
      <alignment horizontal="center" vertical="center" wrapText="1"/>
    </xf>
    <xf numFmtId="0" fontId="0" fillId="13" borderId="0" xfId="0" applyFill="1" applyAlignment="1">
      <alignment horizontal="left" vertical="center" indent="5"/>
    </xf>
    <xf numFmtId="0" fontId="38" fillId="2" borderId="0" xfId="0" applyFont="1" applyFill="1" applyAlignment="1">
      <alignment vertical="center"/>
    </xf>
    <xf numFmtId="0" fontId="41" fillId="2" borderId="0" xfId="0" applyFont="1" applyFill="1"/>
    <xf numFmtId="0" fontId="47" fillId="2" borderId="0" xfId="0" applyFont="1" applyFill="1"/>
    <xf numFmtId="0" fontId="11" fillId="0" borderId="10" xfId="0" applyFont="1" applyBorder="1" applyAlignment="1">
      <alignment horizontal="center"/>
    </xf>
    <xf numFmtId="0" fontId="17" fillId="3" borderId="1" xfId="3" applyFont="1" applyFill="1" applyBorder="1" applyAlignment="1">
      <alignment horizontal="center" wrapText="1"/>
    </xf>
    <xf numFmtId="0" fontId="17" fillId="3" borderId="3" xfId="3" applyFont="1" applyFill="1" applyBorder="1" applyAlignment="1">
      <alignment horizontal="center" wrapText="1"/>
    </xf>
    <xf numFmtId="0" fontId="17" fillId="3" borderId="2" xfId="3" applyFont="1" applyFill="1" applyBorder="1" applyAlignment="1">
      <alignment horizontal="center" wrapText="1"/>
    </xf>
    <xf numFmtId="0" fontId="2" fillId="2" borderId="4" xfId="3" applyFont="1" applyFill="1" applyBorder="1" applyAlignment="1">
      <alignment horizontal="center" vertical="top"/>
    </xf>
    <xf numFmtId="0" fontId="2" fillId="2" borderId="0" xfId="3" applyFont="1" applyFill="1" applyAlignment="1">
      <alignment horizontal="center" vertical="top"/>
    </xf>
    <xf numFmtId="9" fontId="2" fillId="2" borderId="0" xfId="3" applyNumberFormat="1" applyFont="1" applyFill="1" applyAlignment="1">
      <alignment horizontal="center" vertical="top"/>
    </xf>
    <xf numFmtId="9" fontId="2" fillId="2" borderId="5" xfId="3" applyNumberFormat="1" applyFont="1" applyFill="1" applyBorder="1" applyAlignment="1">
      <alignment horizontal="center" vertical="top"/>
    </xf>
    <xf numFmtId="0" fontId="2" fillId="2" borderId="1" xfId="3" applyFont="1" applyFill="1" applyBorder="1" applyAlignment="1">
      <alignment horizontal="left"/>
    </xf>
    <xf numFmtId="0" fontId="2" fillId="2" borderId="2" xfId="3" applyFont="1" applyFill="1" applyBorder="1" applyAlignment="1">
      <alignment horizontal="left"/>
    </xf>
    <xf numFmtId="0" fontId="2" fillId="2" borderId="1" xfId="3" applyFont="1" applyFill="1" applyBorder="1"/>
    <xf numFmtId="0" fontId="2" fillId="2" borderId="2" xfId="3" applyFont="1" applyFill="1" applyBorder="1"/>
    <xf numFmtId="0" fontId="2" fillId="11" borderId="1" xfId="0" applyFont="1" applyFill="1" applyBorder="1" applyAlignment="1">
      <alignment horizontal="left" vertical="center"/>
    </xf>
    <xf numFmtId="0" fontId="2" fillId="11" borderId="3" xfId="0" applyFont="1" applyFill="1" applyBorder="1" applyAlignment="1">
      <alignment horizontal="left" vertical="center"/>
    </xf>
    <xf numFmtId="0" fontId="15" fillId="11" borderId="6" xfId="0" applyFont="1" applyFill="1" applyBorder="1" applyAlignment="1">
      <alignment horizontal="left" vertical="center"/>
    </xf>
    <xf numFmtId="0" fontId="15" fillId="11" borderId="7" xfId="0" applyFont="1" applyFill="1" applyBorder="1" applyAlignment="1">
      <alignment horizontal="left" vertical="center"/>
    </xf>
    <xf numFmtId="0" fontId="2" fillId="2" borderId="6" xfId="3" applyFont="1" applyFill="1" applyBorder="1"/>
    <xf numFmtId="0" fontId="2" fillId="2" borderId="7" xfId="3" applyFont="1" applyFill="1" applyBorder="1"/>
    <xf numFmtId="0" fontId="20" fillId="2" borderId="6" xfId="3" applyFont="1" applyFill="1" applyBorder="1" applyAlignment="1">
      <alignment horizontal="center" vertical="top"/>
    </xf>
    <xf numFmtId="0" fontId="20" fillId="2" borderId="7" xfId="3" applyFont="1" applyFill="1" applyBorder="1" applyAlignment="1">
      <alignment horizontal="center" vertical="top"/>
    </xf>
    <xf numFmtId="0" fontId="20" fillId="2" borderId="8" xfId="3" applyFont="1" applyFill="1" applyBorder="1" applyAlignment="1">
      <alignment horizontal="center" vertical="top"/>
    </xf>
    <xf numFmtId="0" fontId="2" fillId="2" borderId="9" xfId="3" applyFont="1" applyFill="1" applyBorder="1"/>
    <xf numFmtId="0" fontId="2" fillId="2" borderId="10" xfId="3" applyFont="1" applyFill="1" applyBorder="1"/>
    <xf numFmtId="0" fontId="2" fillId="2" borderId="6" xfId="3" applyFont="1" applyFill="1" applyBorder="1" applyAlignment="1">
      <alignment vertical="top"/>
    </xf>
    <xf numFmtId="0" fontId="2" fillId="2" borderId="7" xfId="3" applyFont="1" applyFill="1" applyBorder="1" applyAlignment="1">
      <alignment vertical="top"/>
    </xf>
    <xf numFmtId="0" fontId="2" fillId="2" borderId="4" xfId="3" applyFont="1" applyFill="1" applyBorder="1" applyAlignment="1">
      <alignment vertical="top"/>
    </xf>
    <xf numFmtId="0" fontId="2" fillId="2" borderId="0" xfId="3" applyFont="1" applyFill="1" applyAlignment="1">
      <alignment vertical="top"/>
    </xf>
    <xf numFmtId="0" fontId="2" fillId="2" borderId="9" xfId="3" applyFont="1" applyFill="1" applyBorder="1" applyAlignment="1">
      <alignment vertical="top"/>
    </xf>
    <xf numFmtId="0" fontId="2" fillId="2" borderId="10" xfId="3" applyFont="1" applyFill="1" applyBorder="1" applyAlignment="1">
      <alignment vertical="top"/>
    </xf>
    <xf numFmtId="0" fontId="2" fillId="2" borderId="9" xfId="3" applyFont="1" applyFill="1" applyBorder="1" applyAlignment="1">
      <alignment horizontal="center" vertical="top"/>
    </xf>
    <xf numFmtId="0" fontId="2" fillId="2" borderId="10" xfId="3" applyFont="1" applyFill="1" applyBorder="1" applyAlignment="1">
      <alignment horizontal="center" vertical="top"/>
    </xf>
    <xf numFmtId="9" fontId="2" fillId="2" borderId="10" xfId="3" applyNumberFormat="1" applyFont="1" applyFill="1" applyBorder="1" applyAlignment="1">
      <alignment horizontal="center" vertical="top"/>
    </xf>
    <xf numFmtId="9" fontId="2" fillId="2" borderId="12" xfId="3" applyNumberFormat="1" applyFont="1" applyFill="1" applyBorder="1" applyAlignment="1">
      <alignment horizontal="center" vertical="top"/>
    </xf>
    <xf numFmtId="0" fontId="2" fillId="11" borderId="4" xfId="0" applyFont="1" applyFill="1" applyBorder="1" applyAlignment="1">
      <alignment horizontal="left" vertical="center"/>
    </xf>
    <xf numFmtId="0" fontId="2" fillId="11" borderId="0" xfId="0" applyFont="1" applyFill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2" fillId="11" borderId="10" xfId="0" applyFont="1" applyFill="1" applyBorder="1" applyAlignment="1">
      <alignment horizontal="left" vertical="center"/>
    </xf>
    <xf numFmtId="0" fontId="34" fillId="2" borderId="11" xfId="0" applyFont="1" applyFill="1" applyBorder="1" applyAlignment="1">
      <alignment horizontal="left" vertical="center" wrapText="1"/>
    </xf>
    <xf numFmtId="0" fontId="4" fillId="13" borderId="0" xfId="0" applyFont="1" applyFill="1" applyAlignment="1">
      <alignment horizontal="center" vertical="top" wrapText="1"/>
    </xf>
    <xf numFmtId="0" fontId="4" fillId="13" borderId="0" xfId="0" applyFont="1" applyFill="1" applyAlignment="1">
      <alignment horizontal="center" vertical="center" wrapText="1"/>
    </xf>
    <xf numFmtId="0" fontId="4" fillId="13" borderId="0" xfId="0" applyFont="1" applyFill="1" applyAlignment="1">
      <alignment horizontal="center" vertical="center"/>
    </xf>
    <xf numFmtId="0" fontId="34" fillId="2" borderId="11" xfId="0" applyFont="1" applyFill="1" applyBorder="1" applyAlignment="1">
      <alignment horizontal="left" vertical="center"/>
    </xf>
    <xf numFmtId="0" fontId="34" fillId="2" borderId="13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/>
    </xf>
    <xf numFmtId="0" fontId="42" fillId="2" borderId="5" xfId="0" applyFont="1" applyFill="1" applyBorder="1" applyAlignment="1">
      <alignment horizontal="center" vertical="center"/>
    </xf>
    <xf numFmtId="0" fontId="42" fillId="2" borderId="9" xfId="0" applyFont="1" applyFill="1" applyBorder="1" applyAlignment="1">
      <alignment horizontal="center" vertical="center"/>
    </xf>
    <xf numFmtId="0" fontId="42" fillId="2" borderId="12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left"/>
    </xf>
    <xf numFmtId="0" fontId="38" fillId="2" borderId="11" xfId="0" applyFont="1" applyFill="1" applyBorder="1" applyAlignment="1">
      <alignment horizontal="left"/>
    </xf>
    <xf numFmtId="0" fontId="42" fillId="2" borderId="11" xfId="0" applyFont="1" applyFill="1" applyBorder="1" applyAlignment="1">
      <alignment horizontal="center" vertical="center"/>
    </xf>
    <xf numFmtId="0" fontId="4" fillId="13" borderId="0" xfId="0" applyFont="1" applyFill="1" applyAlignment="1">
      <alignment horizontal="center"/>
    </xf>
    <xf numFmtId="0" fontId="49" fillId="0" borderId="0" xfId="0" applyFont="1"/>
    <xf numFmtId="0" fontId="50" fillId="0" borderId="0" xfId="0" applyFont="1"/>
    <xf numFmtId="0" fontId="51" fillId="2" borderId="0" xfId="0" applyFont="1" applyFill="1"/>
    <xf numFmtId="10" fontId="50" fillId="0" borderId="0" xfId="0" applyNumberFormat="1" applyFont="1"/>
    <xf numFmtId="0" fontId="52" fillId="0" borderId="0" xfId="0" applyFont="1"/>
    <xf numFmtId="0" fontId="53" fillId="0" borderId="0" xfId="0" applyFont="1" applyAlignment="1">
      <alignment horizontal="left" vertical="center" indent="5"/>
    </xf>
    <xf numFmtId="0" fontId="55" fillId="0" borderId="0" xfId="0" applyFont="1" applyAlignment="1">
      <alignment horizontal="left" vertical="center"/>
    </xf>
    <xf numFmtId="0" fontId="56" fillId="0" borderId="0" xfId="0" applyFont="1"/>
    <xf numFmtId="0" fontId="57" fillId="0" borderId="0" xfId="0" applyFont="1" applyAlignment="1">
      <alignment horizontal="right"/>
    </xf>
    <xf numFmtId="0" fontId="57" fillId="0" borderId="0" xfId="0" applyFont="1" applyAlignment="1">
      <alignment wrapText="1"/>
    </xf>
    <xf numFmtId="166" fontId="50" fillId="0" borderId="0" xfId="0" applyNumberFormat="1" applyFont="1"/>
    <xf numFmtId="0" fontId="50" fillId="0" borderId="0" xfId="0" applyFont="1" applyAlignment="1">
      <alignment wrapText="1"/>
    </xf>
    <xf numFmtId="9" fontId="50" fillId="0" borderId="0" xfId="0" applyNumberFormat="1" applyFont="1"/>
    <xf numFmtId="0" fontId="57" fillId="0" borderId="0" xfId="0" applyFont="1"/>
    <xf numFmtId="0" fontId="58" fillId="0" borderId="0" xfId="0" applyFont="1" applyAlignment="1">
      <alignment horizontal="left" indent="1"/>
    </xf>
    <xf numFmtId="0" fontId="58" fillId="0" borderId="0" xfId="0" applyFont="1" applyAlignment="1">
      <alignment horizontal="left" wrapText="1"/>
    </xf>
    <xf numFmtId="0" fontId="59" fillId="2" borderId="12" xfId="0" applyFont="1" applyFill="1" applyBorder="1" applyAlignment="1">
      <alignment horizontal="left" wrapText="1"/>
    </xf>
    <xf numFmtId="0" fontId="59" fillId="2" borderId="10" xfId="0" applyFont="1" applyFill="1" applyBorder="1" applyAlignment="1">
      <alignment horizontal="left" wrapText="1"/>
    </xf>
    <xf numFmtId="0" fontId="59" fillId="2" borderId="9" xfId="0" applyFont="1" applyFill="1" applyBorder="1" applyAlignment="1">
      <alignment horizontal="left" wrapText="1"/>
    </xf>
    <xf numFmtId="44" fontId="0" fillId="0" borderId="0" xfId="0" applyNumberFormat="1"/>
    <xf numFmtId="0" fontId="60" fillId="2" borderId="8" xfId="0" applyFont="1" applyFill="1" applyBorder="1" applyAlignment="1">
      <alignment horizontal="left" vertical="top" wrapText="1"/>
    </xf>
    <xf numFmtId="0" fontId="60" fillId="2" borderId="7" xfId="0" applyFont="1" applyFill="1" applyBorder="1" applyAlignment="1">
      <alignment horizontal="left" vertical="top" wrapText="1"/>
    </xf>
    <xf numFmtId="0" fontId="60" fillId="2" borderId="6" xfId="0" applyFont="1" applyFill="1" applyBorder="1" applyAlignment="1">
      <alignment horizontal="left" vertical="top" wrapText="1"/>
    </xf>
    <xf numFmtId="0" fontId="48" fillId="0" borderId="0" xfId="0" applyFont="1"/>
    <xf numFmtId="0" fontId="60" fillId="2" borderId="0" xfId="0" applyFont="1" applyFill="1"/>
    <xf numFmtId="0" fontId="51" fillId="2" borderId="0" xfId="0" quotePrefix="1" applyFont="1" applyFill="1"/>
    <xf numFmtId="182" fontId="50" fillId="0" borderId="0" xfId="0" applyNumberFormat="1" applyFont="1"/>
    <xf numFmtId="178" fontId="50" fillId="0" borderId="0" xfId="10" applyNumberFormat="1" applyFont="1"/>
    <xf numFmtId="9" fontId="50" fillId="0" borderId="0" xfId="2" applyFont="1"/>
    <xf numFmtId="183" fontId="50" fillId="0" borderId="0" xfId="10" applyNumberFormat="1" applyFont="1"/>
    <xf numFmtId="0" fontId="51" fillId="2" borderId="2" xfId="0" applyFont="1" applyFill="1" applyBorder="1" applyAlignment="1">
      <alignment horizontal="left"/>
    </xf>
    <xf numFmtId="9" fontId="51" fillId="2" borderId="1" xfId="2" applyFont="1" applyFill="1" applyBorder="1" applyAlignment="1">
      <alignment horizontal="left"/>
    </xf>
    <xf numFmtId="0" fontId="51" fillId="2" borderId="1" xfId="0" applyFont="1" applyFill="1" applyBorder="1" applyAlignment="1">
      <alignment horizontal="left"/>
    </xf>
    <xf numFmtId="0" fontId="51" fillId="2" borderId="12" xfId="0" applyFont="1" applyFill="1" applyBorder="1" applyAlignment="1">
      <alignment horizontal="left" wrapText="1"/>
    </xf>
    <xf numFmtId="0" fontId="51" fillId="2" borderId="9" xfId="0" applyFont="1" applyFill="1" applyBorder="1" applyAlignment="1">
      <alignment horizontal="left" wrapText="1"/>
    </xf>
    <xf numFmtId="0" fontId="51" fillId="2" borderId="8" xfId="0" applyFont="1" applyFill="1" applyBorder="1" applyAlignment="1">
      <alignment horizontal="left" wrapText="1"/>
    </xf>
    <xf numFmtId="182" fontId="51" fillId="2" borderId="6" xfId="0" applyNumberFormat="1" applyFont="1" applyFill="1" applyBorder="1" applyAlignment="1">
      <alignment horizontal="left" wrapText="1"/>
    </xf>
    <xf numFmtId="0" fontId="51" fillId="2" borderId="6" xfId="0" applyFont="1" applyFill="1" applyBorder="1" applyAlignment="1">
      <alignment horizontal="left" wrapText="1"/>
    </xf>
    <xf numFmtId="182" fontId="51" fillId="2" borderId="1" xfId="0" applyNumberFormat="1" applyFont="1" applyFill="1" applyBorder="1" applyAlignment="1">
      <alignment horizontal="left"/>
    </xf>
    <xf numFmtId="0" fontId="50" fillId="0" borderId="10" xfId="0" applyFont="1" applyBorder="1" applyAlignment="1">
      <alignment horizontal="center"/>
    </xf>
    <xf numFmtId="0" fontId="59" fillId="2" borderId="10" xfId="0" applyFont="1" applyFill="1" applyBorder="1" applyAlignment="1">
      <alignment horizontal="left" wrapText="1"/>
    </xf>
    <xf numFmtId="0" fontId="59" fillId="2" borderId="9" xfId="0" applyFont="1" applyFill="1" applyBorder="1" applyAlignment="1">
      <alignment horizontal="left" wrapText="1"/>
    </xf>
    <xf numFmtId="171" fontId="0" fillId="0" borderId="0" xfId="0" applyNumberFormat="1"/>
    <xf numFmtId="0" fontId="59" fillId="2" borderId="7" xfId="0" applyFont="1" applyFill="1" applyBorder="1" applyAlignment="1">
      <alignment horizontal="left" wrapText="1"/>
    </xf>
    <xf numFmtId="0" fontId="59" fillId="2" borderId="6" xfId="0" applyFont="1" applyFill="1" applyBorder="1" applyAlignment="1">
      <alignment horizontal="left" wrapText="1"/>
    </xf>
    <xf numFmtId="0" fontId="51" fillId="2" borderId="0" xfId="0" applyFont="1" applyFill="1" applyAlignment="1">
      <alignment horizontal="left"/>
    </xf>
    <xf numFmtId="0" fontId="51" fillId="2" borderId="0" xfId="0" applyFont="1" applyFill="1" applyAlignment="1">
      <alignment horizontal="right" vertical="center" wrapText="1"/>
    </xf>
    <xf numFmtId="171" fontId="51" fillId="2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175" fontId="50" fillId="0" borderId="0" xfId="0" applyNumberFormat="1" applyFont="1"/>
    <xf numFmtId="0" fontId="59" fillId="2" borderId="0" xfId="0" applyFont="1" applyFill="1"/>
    <xf numFmtId="10" fontId="0" fillId="0" borderId="18" xfId="0" applyNumberFormat="1" applyBorder="1"/>
    <xf numFmtId="10" fontId="0" fillId="0" borderId="0" xfId="0" applyNumberFormat="1"/>
    <xf numFmtId="0" fontId="51" fillId="2" borderId="0" xfId="0" applyFont="1" applyFill="1" applyAlignment="1">
      <alignment vertical="center" wrapText="1"/>
    </xf>
    <xf numFmtId="10" fontId="51" fillId="2" borderId="11" xfId="0" applyNumberFormat="1" applyFont="1" applyFill="1" applyBorder="1" applyAlignment="1">
      <alignment horizontal="left"/>
    </xf>
    <xf numFmtId="184" fontId="51" fillId="2" borderId="11" xfId="0" applyNumberFormat="1" applyFont="1" applyFill="1" applyBorder="1" applyAlignment="1">
      <alignment horizontal="left"/>
    </xf>
    <xf numFmtId="10" fontId="0" fillId="0" borderId="19" xfId="0" applyNumberFormat="1" applyBorder="1"/>
    <xf numFmtId="0" fontId="0" fillId="0" borderId="19" xfId="0" applyBorder="1"/>
    <xf numFmtId="0" fontId="51" fillId="2" borderId="11" xfId="0" applyFont="1" applyFill="1" applyBorder="1" applyAlignment="1">
      <alignment horizontal="left" wrapText="1"/>
    </xf>
    <xf numFmtId="184" fontId="51" fillId="2" borderId="11" xfId="0" applyNumberFormat="1" applyFont="1" applyFill="1" applyBorder="1" applyAlignment="1">
      <alignment horizontal="left"/>
    </xf>
    <xf numFmtId="0" fontId="0" fillId="0" borderId="13" xfId="0" applyBorder="1"/>
    <xf numFmtId="10" fontId="0" fillId="0" borderId="0" xfId="2" applyNumberFormat="1" applyFont="1"/>
    <xf numFmtId="184" fontId="51" fillId="2" borderId="0" xfId="0" applyNumberFormat="1" applyFont="1" applyFill="1" applyAlignment="1">
      <alignment vertical="center" wrapText="1"/>
    </xf>
    <xf numFmtId="184" fontId="51" fillId="2" borderId="18" xfId="0" applyNumberFormat="1" applyFont="1" applyFill="1" applyBorder="1" applyAlignment="1">
      <alignment horizontal="left"/>
    </xf>
    <xf numFmtId="184" fontId="51" fillId="2" borderId="19" xfId="0" applyNumberFormat="1" applyFont="1" applyFill="1" applyBorder="1" applyAlignment="1">
      <alignment horizontal="left"/>
    </xf>
    <xf numFmtId="184" fontId="51" fillId="2" borderId="13" xfId="0" applyNumberFormat="1" applyFont="1" applyFill="1" applyBorder="1" applyAlignment="1">
      <alignment horizontal="left"/>
    </xf>
    <xf numFmtId="10" fontId="50" fillId="0" borderId="11" xfId="0" applyNumberFormat="1" applyFont="1" applyBorder="1"/>
    <xf numFmtId="184" fontId="50" fillId="2" borderId="11" xfId="0" applyNumberFormat="1" applyFont="1" applyFill="1" applyBorder="1"/>
    <xf numFmtId="0" fontId="50" fillId="0" borderId="11" xfId="0" applyFont="1" applyBorder="1" applyAlignment="1">
      <alignment horizontal="right" wrapText="1"/>
    </xf>
    <xf numFmtId="0" fontId="50" fillId="0" borderId="18" xfId="0" applyFont="1" applyBorder="1" applyAlignment="1">
      <alignment horizontal="right"/>
    </xf>
    <xf numFmtId="0" fontId="50" fillId="0" borderId="19" xfId="0" applyFont="1" applyBorder="1" applyAlignment="1">
      <alignment horizontal="right"/>
    </xf>
    <xf numFmtId="0" fontId="51" fillId="2" borderId="11" xfId="0" applyFont="1" applyFill="1" applyBorder="1" applyAlignment="1">
      <alignment horizontal="left"/>
    </xf>
    <xf numFmtId="0" fontId="50" fillId="0" borderId="13" xfId="0" applyFont="1" applyBorder="1" applyAlignment="1">
      <alignment horizontal="right"/>
    </xf>
    <xf numFmtId="182" fontId="51" fillId="2" borderId="11" xfId="0" applyNumberFormat="1" applyFont="1" applyFill="1" applyBorder="1" applyAlignment="1">
      <alignment horizontal="left" wrapText="1"/>
    </xf>
    <xf numFmtId="0" fontId="51" fillId="2" borderId="2" xfId="0" applyFont="1" applyFill="1" applyBorder="1" applyAlignment="1">
      <alignment horizontal="left" vertical="top"/>
    </xf>
    <xf numFmtId="0" fontId="51" fillId="2" borderId="1" xfId="0" applyFont="1" applyFill="1" applyBorder="1" applyAlignment="1">
      <alignment horizontal="left" vertical="top"/>
    </xf>
    <xf numFmtId="0" fontId="49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50" fillId="0" borderId="0" xfId="0" applyFont="1" applyAlignment="1">
      <alignment horizontal="left" indent="1"/>
    </xf>
    <xf numFmtId="0" fontId="51" fillId="2" borderId="11" xfId="0" applyFont="1" applyFill="1" applyBorder="1" applyAlignment="1">
      <alignment horizontal="left"/>
    </xf>
    <xf numFmtId="0" fontId="50" fillId="0" borderId="11" xfId="0" applyFont="1" applyBorder="1" applyAlignment="1">
      <alignment horizontal="right"/>
    </xf>
    <xf numFmtId="185" fontId="51" fillId="2" borderId="11" xfId="0" applyNumberFormat="1" applyFont="1" applyFill="1" applyBorder="1" applyAlignment="1">
      <alignment horizontal="left"/>
    </xf>
    <xf numFmtId="0" fontId="51" fillId="2" borderId="2" xfId="0" applyFont="1" applyFill="1" applyBorder="1" applyAlignment="1">
      <alignment horizontal="left"/>
    </xf>
    <xf numFmtId="0" fontId="51" fillId="2" borderId="1" xfId="0" applyFont="1" applyFill="1" applyBorder="1" applyAlignment="1">
      <alignment horizontal="left"/>
    </xf>
    <xf numFmtId="185" fontId="51" fillId="2" borderId="11" xfId="0" applyNumberFormat="1" applyFont="1" applyFill="1" applyBorder="1" applyAlignment="1">
      <alignment horizontal="left" wrapText="1"/>
    </xf>
    <xf numFmtId="0" fontId="63" fillId="2" borderId="0" xfId="0" applyFont="1" applyFill="1"/>
    <xf numFmtId="0" fontId="51" fillId="2" borderId="12" xfId="0" applyFont="1" applyFill="1" applyBorder="1" applyAlignment="1">
      <alignment horizontal="left" vertical="top" wrapText="1"/>
    </xf>
    <xf numFmtId="0" fontId="51" fillId="2" borderId="9" xfId="0" applyFont="1" applyFill="1" applyBorder="1" applyAlignment="1">
      <alignment horizontal="left" vertical="top" wrapText="1"/>
    </xf>
    <xf numFmtId="0" fontId="51" fillId="2" borderId="12" xfId="0" applyFont="1" applyFill="1" applyBorder="1" applyAlignment="1">
      <alignment horizontal="left" wrapText="1"/>
    </xf>
    <xf numFmtId="0" fontId="51" fillId="2" borderId="9" xfId="0" applyFont="1" applyFill="1" applyBorder="1" applyAlignment="1">
      <alignment horizontal="left" wrapText="1"/>
    </xf>
    <xf numFmtId="0" fontId="51" fillId="2" borderId="8" xfId="0" applyFont="1" applyFill="1" applyBorder="1" applyAlignment="1">
      <alignment horizontal="left" vertical="top" wrapText="1"/>
    </xf>
    <xf numFmtId="0" fontId="51" fillId="2" borderId="6" xfId="0" applyFont="1" applyFill="1" applyBorder="1" applyAlignment="1">
      <alignment horizontal="left" vertical="top" wrapText="1"/>
    </xf>
    <xf numFmtId="0" fontId="51" fillId="2" borderId="8" xfId="0" applyFont="1" applyFill="1" applyBorder="1" applyAlignment="1">
      <alignment horizontal="left" wrapText="1"/>
    </xf>
    <xf numFmtId="0" fontId="51" fillId="2" borderId="6" xfId="0" applyFont="1" applyFill="1" applyBorder="1" applyAlignment="1">
      <alignment horizontal="left" wrapText="1"/>
    </xf>
    <xf numFmtId="0" fontId="64" fillId="2" borderId="0" xfId="0" applyFont="1" applyFill="1"/>
  </cellXfs>
  <cellStyles count="11">
    <cellStyle name="Comma" xfId="1" builtinId="3"/>
    <cellStyle name="Comma 2" xfId="10" xr:uid="{A66146AA-BEDA-42BE-AE33-B89110ED6F80}"/>
    <cellStyle name="Comma 2 2" xfId="7" xr:uid="{7C196151-2171-43C6-A2F1-A6DA7C0CE3A9}"/>
    <cellStyle name="Currency" xfId="8" builtinId="4"/>
    <cellStyle name="Currency 2" xfId="9" xr:uid="{ABFD29FE-3754-4BDE-B3C2-CB3B8FE76DCD}"/>
    <cellStyle name="Milliers 2" xfId="5" xr:uid="{E9304045-2672-452F-BBF1-6FE4B221447A}"/>
    <cellStyle name="Monétaire 3" xfId="4" xr:uid="{B7007F8D-778D-4B97-97A2-83BF6D961558}"/>
    <cellStyle name="Normal" xfId="0" builtinId="0"/>
    <cellStyle name="Normal 4" xfId="3" xr:uid="{804D0FB0-6D88-4B95-BE99-11DF59BCDDC5}"/>
    <cellStyle name="Percent" xfId="2" builtinId="5"/>
    <cellStyle name="Pourcentage 2" xfId="6" xr:uid="{A1B44A90-4BFD-45CE-BE31-A82AFDBC7E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RemainingService@retirement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mailto:TotalService@retirement" TargetMode="External"/><Relationship Id="rId7" Type="http://schemas.openxmlformats.org/officeDocument/2006/relationships/hyperlink" Target="mailto:TotalService@retirement" TargetMode="External"/><Relationship Id="rId12" Type="http://schemas.openxmlformats.org/officeDocument/2006/relationships/hyperlink" Target="mailto:RemainingService@retirement" TargetMode="External"/><Relationship Id="rId2" Type="http://schemas.openxmlformats.org/officeDocument/2006/relationships/hyperlink" Target="mailto:RemainingService@retirement" TargetMode="External"/><Relationship Id="rId1" Type="http://schemas.openxmlformats.org/officeDocument/2006/relationships/hyperlink" Target="mailto:TotalService@retirement" TargetMode="External"/><Relationship Id="rId6" Type="http://schemas.openxmlformats.org/officeDocument/2006/relationships/hyperlink" Target="mailto:RemainingService@retirement" TargetMode="External"/><Relationship Id="rId11" Type="http://schemas.openxmlformats.org/officeDocument/2006/relationships/hyperlink" Target="mailto:TotalService@retirement" TargetMode="External"/><Relationship Id="rId5" Type="http://schemas.openxmlformats.org/officeDocument/2006/relationships/hyperlink" Target="mailto:TotalService@retirement" TargetMode="External"/><Relationship Id="rId10" Type="http://schemas.openxmlformats.org/officeDocument/2006/relationships/hyperlink" Target="mailto:RemainingService@retirement" TargetMode="External"/><Relationship Id="rId4" Type="http://schemas.openxmlformats.org/officeDocument/2006/relationships/hyperlink" Target="mailto:RemainingService@retirement" TargetMode="External"/><Relationship Id="rId9" Type="http://schemas.openxmlformats.org/officeDocument/2006/relationships/hyperlink" Target="mailto:TotalService@retir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E0DA-9AFE-4422-AD86-6FED6D0B9835}">
  <sheetPr>
    <tabColor rgb="FFFFFF00"/>
  </sheetPr>
  <dimension ref="A1:AP250"/>
  <sheetViews>
    <sheetView tabSelected="1" zoomScale="76" zoomScaleNormal="76" workbookViewId="0">
      <selection activeCell="M25" sqref="M25"/>
    </sheetView>
  </sheetViews>
  <sheetFormatPr defaultColWidth="9.109375" defaultRowHeight="15" x14ac:dyDescent="0.25"/>
  <cols>
    <col min="1" max="1" width="3.5546875" style="70" customWidth="1"/>
    <col min="2" max="2" width="11.109375" style="70" customWidth="1"/>
    <col min="3" max="4" width="26.88671875" style="70" customWidth="1"/>
    <col min="5" max="5" width="31.88671875" style="70" customWidth="1"/>
    <col min="6" max="6" width="19.109375" style="70" customWidth="1"/>
    <col min="7" max="7" width="24.88671875" style="70" customWidth="1"/>
    <col min="8" max="8" width="13.33203125" style="70" customWidth="1"/>
    <col min="9" max="9" width="13.5546875" style="70" customWidth="1"/>
    <col min="10" max="12" width="10.88671875" style="70" customWidth="1"/>
    <col min="13" max="13" width="14.88671875" style="47" customWidth="1"/>
    <col min="14" max="14" width="22.88671875" style="47" customWidth="1"/>
    <col min="15" max="15" width="11.109375" style="47" bestFit="1" customWidth="1"/>
    <col min="16" max="16" width="13.88671875" style="47" bestFit="1" customWidth="1"/>
    <col min="17" max="17" width="13.88671875" style="47" customWidth="1"/>
    <col min="18" max="18" width="14.33203125" style="47" customWidth="1"/>
    <col min="19" max="19" width="16.88671875" style="47" customWidth="1"/>
    <col min="20" max="20" width="13.109375" style="47" bestFit="1" customWidth="1"/>
    <col min="21" max="21" width="11" style="47" customWidth="1"/>
    <col min="22" max="22" width="9.109375" style="47"/>
    <col min="23" max="23" width="11.33203125" style="47" bestFit="1" customWidth="1"/>
    <col min="24" max="24" width="9.109375" style="47"/>
    <col min="25" max="25" width="13.33203125" style="47" customWidth="1"/>
    <col min="26" max="26" width="9.109375" style="47"/>
    <col min="27" max="27" width="9.88671875" style="47" customWidth="1"/>
    <col min="28" max="28" width="9.109375" style="47"/>
    <col min="29" max="29" width="11" style="47" bestFit="1" customWidth="1"/>
    <col min="30" max="16384" width="9.109375" style="47"/>
  </cols>
  <sheetData>
    <row r="1" spans="1:10" ht="15.6" x14ac:dyDescent="0.3">
      <c r="A1" s="69" t="s">
        <v>194</v>
      </c>
      <c r="B1" s="69"/>
      <c r="H1" s="92"/>
      <c r="J1" s="92"/>
    </row>
    <row r="2" spans="1:10" ht="15.6" x14ac:dyDescent="0.3">
      <c r="A2" s="69" t="s">
        <v>195</v>
      </c>
      <c r="B2" s="69"/>
      <c r="H2" s="92"/>
      <c r="J2" s="92"/>
    </row>
    <row r="3" spans="1:10" ht="17.399999999999999" x14ac:dyDescent="0.3">
      <c r="A3" s="71"/>
      <c r="B3" s="70" t="s">
        <v>191</v>
      </c>
      <c r="H3" s="92"/>
      <c r="J3" s="92"/>
    </row>
    <row r="4" spans="1:10" ht="15.6" x14ac:dyDescent="0.3">
      <c r="A4" s="69"/>
      <c r="H4" s="92"/>
      <c r="J4" s="92"/>
    </row>
    <row r="5" spans="1:10" ht="15.6" x14ac:dyDescent="0.3">
      <c r="A5" s="69"/>
      <c r="B5" s="72"/>
      <c r="C5" s="70" t="s">
        <v>198</v>
      </c>
      <c r="H5" s="92"/>
      <c r="J5" s="92"/>
    </row>
    <row r="6" spans="1:10" x14ac:dyDescent="0.25">
      <c r="H6" s="92"/>
      <c r="J6" s="92"/>
    </row>
    <row r="7" spans="1:10" ht="15.6" x14ac:dyDescent="0.3">
      <c r="C7" s="69" t="s">
        <v>0</v>
      </c>
      <c r="H7" s="92"/>
      <c r="J7" s="92"/>
    </row>
    <row r="8" spans="1:10" ht="15.6" x14ac:dyDescent="0.3">
      <c r="C8" s="73"/>
      <c r="H8" s="92"/>
      <c r="J8" s="92"/>
    </row>
    <row r="9" spans="1:10" x14ac:dyDescent="0.25">
      <c r="C9" s="74" t="s">
        <v>2</v>
      </c>
      <c r="D9" s="75"/>
      <c r="E9" s="74" t="s">
        <v>90</v>
      </c>
      <c r="F9" s="77"/>
      <c r="G9" s="78"/>
      <c r="H9" s="92"/>
      <c r="J9" s="92"/>
    </row>
    <row r="10" spans="1:10" x14ac:dyDescent="0.25">
      <c r="C10" s="74" t="s">
        <v>1</v>
      </c>
      <c r="D10" s="75"/>
      <c r="E10" s="76">
        <v>65</v>
      </c>
      <c r="F10" s="77"/>
      <c r="G10" s="78"/>
      <c r="H10" s="92"/>
      <c r="J10" s="92"/>
    </row>
    <row r="11" spans="1:10" x14ac:dyDescent="0.25">
      <c r="C11" s="79" t="s">
        <v>180</v>
      </c>
      <c r="D11" s="80"/>
      <c r="E11" s="177">
        <v>55</v>
      </c>
      <c r="F11" s="81"/>
      <c r="G11" s="82"/>
      <c r="H11" s="92"/>
    </row>
    <row r="12" spans="1:10" x14ac:dyDescent="0.25">
      <c r="C12" s="83" t="s">
        <v>3</v>
      </c>
      <c r="D12" s="84"/>
      <c r="E12" s="175" t="s">
        <v>179</v>
      </c>
      <c r="F12" s="84"/>
      <c r="G12" s="85"/>
      <c r="H12" s="92"/>
    </row>
    <row r="13" spans="1:10" ht="15.6" x14ac:dyDescent="0.25">
      <c r="C13" s="79"/>
      <c r="E13" s="176" t="s">
        <v>155</v>
      </c>
      <c r="G13" s="80"/>
    </row>
    <row r="14" spans="1:10" x14ac:dyDescent="0.25">
      <c r="C14" s="79"/>
      <c r="E14" s="79"/>
      <c r="G14" s="80"/>
    </row>
    <row r="15" spans="1:10" x14ac:dyDescent="0.25">
      <c r="C15" s="177"/>
      <c r="D15" s="172"/>
      <c r="E15" s="79"/>
      <c r="G15" s="80"/>
    </row>
    <row r="16" spans="1:10" x14ac:dyDescent="0.25">
      <c r="C16" s="179" t="s">
        <v>4</v>
      </c>
      <c r="D16" s="180"/>
      <c r="E16" s="84" t="s">
        <v>181</v>
      </c>
      <c r="F16" s="87"/>
      <c r="G16" s="88"/>
    </row>
    <row r="17" spans="3:8" x14ac:dyDescent="0.25">
      <c r="C17" s="181"/>
      <c r="D17" s="182"/>
      <c r="F17" s="81"/>
      <c r="G17" s="82"/>
    </row>
    <row r="18" spans="3:8" x14ac:dyDescent="0.25">
      <c r="C18" s="86"/>
      <c r="D18" s="183"/>
      <c r="E18" s="70" t="s">
        <v>182</v>
      </c>
      <c r="F18" s="89"/>
      <c r="G18" s="90"/>
    </row>
    <row r="19" spans="3:8" x14ac:dyDescent="0.25">
      <c r="C19" s="145" t="s">
        <v>44</v>
      </c>
      <c r="D19" s="178"/>
      <c r="E19" s="91" t="s">
        <v>183</v>
      </c>
      <c r="F19" s="77"/>
      <c r="G19" s="78"/>
    </row>
    <row r="20" spans="3:8" x14ac:dyDescent="0.25">
      <c r="C20" s="74" t="s">
        <v>45</v>
      </c>
      <c r="D20" s="75"/>
      <c r="E20" s="91" t="s">
        <v>10</v>
      </c>
      <c r="F20" s="77"/>
      <c r="G20" s="78"/>
    </row>
    <row r="21" spans="3:8" x14ac:dyDescent="0.25">
      <c r="E21" s="172"/>
      <c r="F21" s="81"/>
      <c r="G21" s="81"/>
      <c r="H21" s="92"/>
    </row>
    <row r="22" spans="3:8" x14ac:dyDescent="0.25">
      <c r="C22" s="70" t="s">
        <v>184</v>
      </c>
      <c r="D22" s="93"/>
      <c r="F22" s="81"/>
      <c r="G22" s="81"/>
    </row>
    <row r="24" spans="3:8" ht="15.6" x14ac:dyDescent="0.3">
      <c r="C24" s="73" t="s">
        <v>199</v>
      </c>
    </row>
    <row r="25" spans="3:8" ht="15.6" x14ac:dyDescent="0.3">
      <c r="C25" s="69" t="s">
        <v>200</v>
      </c>
    </row>
    <row r="26" spans="3:8" x14ac:dyDescent="0.25">
      <c r="C26" s="292" t="s">
        <v>5</v>
      </c>
      <c r="D26" s="293"/>
      <c r="E26" s="94">
        <v>0.05</v>
      </c>
      <c r="F26" s="95" t="s">
        <v>6</v>
      </c>
      <c r="G26" s="95"/>
      <c r="H26" s="75"/>
    </row>
    <row r="27" spans="3:8" x14ac:dyDescent="0.25">
      <c r="C27" s="74" t="s">
        <v>7</v>
      </c>
      <c r="D27" s="75"/>
      <c r="E27" s="94">
        <v>7.0000000000000007E-2</v>
      </c>
      <c r="F27" s="95"/>
      <c r="G27" s="95"/>
      <c r="H27" s="75"/>
    </row>
    <row r="28" spans="3:8" x14ac:dyDescent="0.25">
      <c r="C28" s="74" t="s">
        <v>8</v>
      </c>
      <c r="D28" s="75"/>
      <c r="E28" s="94">
        <v>0.03</v>
      </c>
      <c r="F28" s="95" t="s">
        <v>6</v>
      </c>
      <c r="G28" s="95"/>
      <c r="H28" s="75"/>
    </row>
    <row r="29" spans="3:8" x14ac:dyDescent="0.25">
      <c r="C29" s="74" t="s">
        <v>9</v>
      </c>
      <c r="D29" s="85"/>
      <c r="E29" s="96" t="s">
        <v>10</v>
      </c>
      <c r="F29" s="95"/>
      <c r="G29" s="95"/>
      <c r="H29" s="75"/>
    </row>
    <row r="30" spans="3:8" x14ac:dyDescent="0.25">
      <c r="C30" s="292" t="s">
        <v>11</v>
      </c>
      <c r="D30" s="293"/>
      <c r="E30" s="83" t="s">
        <v>12</v>
      </c>
      <c r="F30" s="84"/>
      <c r="G30" s="84"/>
      <c r="H30" s="85"/>
    </row>
    <row r="31" spans="3:8" x14ac:dyDescent="0.25">
      <c r="C31" s="298" t="s">
        <v>13</v>
      </c>
      <c r="D31" s="299"/>
      <c r="E31" s="300" t="s">
        <v>15</v>
      </c>
      <c r="F31" s="301"/>
      <c r="G31" s="301" t="s">
        <v>16</v>
      </c>
      <c r="H31" s="302"/>
    </row>
    <row r="32" spans="3:8" x14ac:dyDescent="0.25">
      <c r="C32" s="79"/>
      <c r="E32" s="286">
        <v>60</v>
      </c>
      <c r="F32" s="287"/>
      <c r="G32" s="288">
        <v>0.7</v>
      </c>
      <c r="H32" s="289"/>
    </row>
    <row r="33" spans="3:29" x14ac:dyDescent="0.25">
      <c r="C33" s="303"/>
      <c r="D33" s="304"/>
      <c r="E33" s="286">
        <v>65</v>
      </c>
      <c r="F33" s="287"/>
      <c r="G33" s="288">
        <v>1</v>
      </c>
      <c r="H33" s="289"/>
    </row>
    <row r="34" spans="3:29" x14ac:dyDescent="0.25">
      <c r="C34" s="305" t="s">
        <v>14</v>
      </c>
      <c r="D34" s="306"/>
      <c r="E34" s="300" t="s">
        <v>15</v>
      </c>
      <c r="F34" s="301"/>
      <c r="G34" s="301" t="s">
        <v>16</v>
      </c>
      <c r="H34" s="302"/>
    </row>
    <row r="35" spans="3:29" x14ac:dyDescent="0.25">
      <c r="C35" s="307"/>
      <c r="D35" s="308"/>
      <c r="E35" s="286">
        <v>35</v>
      </c>
      <c r="F35" s="287"/>
      <c r="G35" s="288">
        <v>0.1</v>
      </c>
      <c r="H35" s="289"/>
    </row>
    <row r="36" spans="3:29" x14ac:dyDescent="0.25">
      <c r="C36" s="309"/>
      <c r="D36" s="310"/>
      <c r="E36" s="311">
        <v>45</v>
      </c>
      <c r="F36" s="312"/>
      <c r="G36" s="313">
        <v>0.05</v>
      </c>
      <c r="H36" s="314"/>
    </row>
    <row r="37" spans="3:29" x14ac:dyDescent="0.25">
      <c r="C37" s="292" t="s">
        <v>185</v>
      </c>
      <c r="D37" s="293"/>
      <c r="E37" s="199" t="s">
        <v>22</v>
      </c>
      <c r="F37" s="200"/>
      <c r="G37" s="201"/>
      <c r="H37" s="202"/>
    </row>
    <row r="38" spans="3:29" x14ac:dyDescent="0.25">
      <c r="M38" s="10" t="s">
        <v>26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3:29" ht="15.6" x14ac:dyDescent="0.3">
      <c r="C39" s="69"/>
      <c r="E39" s="112"/>
      <c r="M39" s="193" t="s">
        <v>164</v>
      </c>
    </row>
    <row r="40" spans="3:29" ht="15.6" x14ac:dyDescent="0.3">
      <c r="C40" s="69" t="s">
        <v>201</v>
      </c>
      <c r="M40" s="194" t="s">
        <v>92</v>
      </c>
      <c r="N40" s="3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3:29" ht="15.6" x14ac:dyDescent="0.3">
      <c r="C41" s="205" t="s">
        <v>204</v>
      </c>
      <c r="D41" s="95"/>
      <c r="E41" s="207"/>
      <c r="F41" s="95"/>
      <c r="G41" s="95"/>
      <c r="H41" s="75"/>
      <c r="M41" s="2" t="s">
        <v>71</v>
      </c>
      <c r="N41" s="2" t="s">
        <v>72</v>
      </c>
      <c r="O41" s="2" t="s">
        <v>73</v>
      </c>
      <c r="P41" s="2" t="s">
        <v>74</v>
      </c>
      <c r="Q41" s="2"/>
      <c r="R41" s="2" t="s">
        <v>75</v>
      </c>
      <c r="S41" s="2" t="s">
        <v>76</v>
      </c>
      <c r="T41" s="2" t="s">
        <v>77</v>
      </c>
      <c r="U41" s="2" t="s">
        <v>78</v>
      </c>
      <c r="V41" s="2" t="s">
        <v>79</v>
      </c>
      <c r="W41" s="2" t="s">
        <v>80</v>
      </c>
      <c r="X41" s="2" t="s">
        <v>81</v>
      </c>
      <c r="Y41" s="2" t="s">
        <v>82</v>
      </c>
      <c r="Z41" s="2" t="s">
        <v>83</v>
      </c>
      <c r="AA41" s="2" t="s">
        <v>84</v>
      </c>
      <c r="AB41" s="2" t="s">
        <v>85</v>
      </c>
    </row>
    <row r="42" spans="3:29" x14ac:dyDescent="0.25">
      <c r="C42" s="145" t="s">
        <v>202</v>
      </c>
      <c r="D42" s="178"/>
      <c r="E42" s="206" t="s">
        <v>186</v>
      </c>
      <c r="F42" s="198"/>
      <c r="G42" s="198"/>
      <c r="H42" s="178"/>
      <c r="M42" s="3">
        <v>60</v>
      </c>
      <c r="N42" s="12">
        <f>D58</f>
        <v>20</v>
      </c>
      <c r="O42" s="3">
        <v>60</v>
      </c>
      <c r="P42" s="3">
        <v>60</v>
      </c>
      <c r="Q42" s="3"/>
      <c r="R42" s="4">
        <f>N42+(O42-M42)</f>
        <v>20</v>
      </c>
      <c r="S42" s="5">
        <f>1/(1+$E$26)^(P42-M42)</f>
        <v>1</v>
      </c>
      <c r="T42" s="36">
        <f>G32</f>
        <v>0.7</v>
      </c>
      <c r="U42" s="3">
        <v>1</v>
      </c>
      <c r="V42" s="37">
        <f>AVERAGE(D55:D57)</f>
        <v>149333.33333333334</v>
      </c>
      <c r="W42" s="7">
        <f>V42*0.0175*R42</f>
        <v>52266.666666666679</v>
      </c>
      <c r="X42" s="5">
        <f>N42/R42</f>
        <v>1</v>
      </c>
      <c r="Y42" s="7">
        <f>X42*W42</f>
        <v>52266.666666666679</v>
      </c>
      <c r="Z42" s="3">
        <f>D77</f>
        <v>13.4</v>
      </c>
      <c r="AA42" s="13">
        <f>Z42*Y42*U42*T42*S42</f>
        <v>490261.33333333343</v>
      </c>
      <c r="AB42" s="13">
        <f>AA42/N42</f>
        <v>24513.066666666673</v>
      </c>
    </row>
    <row r="43" spans="3:29" x14ac:dyDescent="0.25">
      <c r="C43" s="74" t="s">
        <v>32</v>
      </c>
      <c r="D43" s="75"/>
      <c r="E43" s="113" t="s">
        <v>203</v>
      </c>
      <c r="F43" s="95"/>
      <c r="G43" s="95"/>
      <c r="H43" s="75"/>
      <c r="M43" s="3">
        <v>60</v>
      </c>
      <c r="N43" s="4">
        <f>N42</f>
        <v>20</v>
      </c>
      <c r="O43" s="3">
        <v>65</v>
      </c>
      <c r="P43" s="3">
        <v>65</v>
      </c>
      <c r="Q43" s="3"/>
      <c r="R43" s="4">
        <f>N43+(O43-M43)</f>
        <v>25</v>
      </c>
      <c r="S43" s="5">
        <f>1/(1+$E$26)^(P43-M43)</f>
        <v>0.78352616646845896</v>
      </c>
      <c r="T43" s="36">
        <f>G33</f>
        <v>1</v>
      </c>
      <c r="U43" s="6">
        <f>U42*(1-T42)</f>
        <v>0.30000000000000004</v>
      </c>
      <c r="V43" s="7">
        <f>D57*((1+$E$28)^(O43-M43)+(1+$E$28)^(O43-M43-1)+(1+$E$28)^(O43-M43-2))/3</f>
        <v>168875.49421499998</v>
      </c>
      <c r="W43" s="7">
        <f>V43*0.0175*R43</f>
        <v>73883.028719062495</v>
      </c>
      <c r="X43" s="5">
        <f>N43/R43</f>
        <v>0.8</v>
      </c>
      <c r="Y43" s="7">
        <f>X43*W43</f>
        <v>59106.422975249996</v>
      </c>
      <c r="Z43" s="3">
        <f>D81</f>
        <v>12.1</v>
      </c>
      <c r="AA43" s="13">
        <f>Z43*Y43*U43*T43*S43</f>
        <v>168110.48729708299</v>
      </c>
      <c r="AB43" s="13">
        <f>AA43/N43</f>
        <v>8405.5243648541491</v>
      </c>
    </row>
    <row r="44" spans="3:29" ht="15.6" x14ac:dyDescent="0.3">
      <c r="C44" s="205" t="s">
        <v>205</v>
      </c>
      <c r="D44" s="75"/>
      <c r="E44" s="113"/>
      <c r="F44" s="95"/>
      <c r="G44" s="95"/>
      <c r="H44" s="75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 s="10">
        <f>SUM(AA42:AA43)</f>
        <v>658371.82063041639</v>
      </c>
      <c r="AB44" s="10">
        <f>SUM(AB42:AB43)</f>
        <v>32918.591031520824</v>
      </c>
      <c r="AC44" s="189"/>
    </row>
    <row r="45" spans="3:29" ht="15.6" x14ac:dyDescent="0.3">
      <c r="C45" s="74" t="s">
        <v>51</v>
      </c>
      <c r="D45" s="75"/>
      <c r="E45" s="113" t="s">
        <v>187</v>
      </c>
      <c r="F45" s="95"/>
      <c r="G45" s="95"/>
      <c r="H45" s="75"/>
      <c r="M45" s="194" t="s">
        <v>93</v>
      </c>
      <c r="N45" s="38"/>
      <c r="O45" s="1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3:29" ht="15.6" x14ac:dyDescent="0.3">
      <c r="C46" s="205" t="s">
        <v>206</v>
      </c>
      <c r="D46" s="75"/>
      <c r="E46" s="113"/>
      <c r="F46" s="95"/>
      <c r="G46" s="95"/>
      <c r="H46" s="75"/>
      <c r="M46" s="2" t="s">
        <v>71</v>
      </c>
      <c r="N46" s="2" t="s">
        <v>72</v>
      </c>
      <c r="O46" s="2" t="s">
        <v>73</v>
      </c>
      <c r="P46" s="2" t="s">
        <v>74</v>
      </c>
      <c r="Q46" s="2"/>
      <c r="R46" s="2" t="s">
        <v>75</v>
      </c>
      <c r="S46" s="2" t="s">
        <v>76</v>
      </c>
      <c r="T46" s="2" t="s">
        <v>77</v>
      </c>
      <c r="U46" s="2" t="s">
        <v>78</v>
      </c>
      <c r="V46" s="2" t="s">
        <v>79</v>
      </c>
      <c r="W46" s="2" t="s">
        <v>80</v>
      </c>
      <c r="X46" s="2" t="s">
        <v>81</v>
      </c>
      <c r="Y46" s="2" t="s">
        <v>82</v>
      </c>
      <c r="Z46" s="2" t="s">
        <v>83</v>
      </c>
      <c r="AA46" s="2" t="s">
        <v>84</v>
      </c>
      <c r="AB46" s="2" t="s">
        <v>85</v>
      </c>
    </row>
    <row r="47" spans="3:29" x14ac:dyDescent="0.25">
      <c r="C47" s="292" t="s">
        <v>50</v>
      </c>
      <c r="D47" s="293"/>
      <c r="E47" s="113">
        <v>4.5499999999999999E-2</v>
      </c>
      <c r="F47" s="95"/>
      <c r="G47" s="95"/>
      <c r="H47" s="75"/>
      <c r="M47" s="3">
        <v>40</v>
      </c>
      <c r="N47" s="4">
        <f>E58</f>
        <v>6</v>
      </c>
      <c r="O47" s="3">
        <v>45</v>
      </c>
      <c r="P47" s="3">
        <v>65</v>
      </c>
      <c r="Q47" s="3"/>
      <c r="R47" s="4">
        <f>N47+(O47-M47)</f>
        <v>11</v>
      </c>
      <c r="S47" s="5">
        <f>1/(1+$E$26)^(P47-M47)</f>
        <v>0.29530277169776209</v>
      </c>
      <c r="T47" s="6">
        <f>G36</f>
        <v>0.05</v>
      </c>
      <c r="U47" s="6">
        <v>1</v>
      </c>
      <c r="V47" s="7">
        <f>$E$57*((1+$E$28)^(O47-M47)+(1+$E$28)^(O47-M47-1)+(1+$E$28)^(O47-M47-2))/3</f>
        <v>112583.66280999999</v>
      </c>
      <c r="W47" s="7">
        <f>V47*0.0175*R47</f>
        <v>21672.355090925001</v>
      </c>
      <c r="X47" s="5">
        <f>N47/R47</f>
        <v>0.54545454545454541</v>
      </c>
      <c r="Y47" s="7">
        <f>X47*W47</f>
        <v>11821.28459505</v>
      </c>
      <c r="Z47" s="3">
        <f>D81</f>
        <v>12.1</v>
      </c>
      <c r="AA47" s="7">
        <f>Z47*Y47*U47*T47*S47</f>
        <v>2111.9691540975246</v>
      </c>
      <c r="AB47" s="7">
        <f>AA47/N47</f>
        <v>351.99485901625411</v>
      </c>
    </row>
    <row r="48" spans="3:29" x14ac:dyDescent="0.25">
      <c r="C48" s="74" t="s">
        <v>17</v>
      </c>
      <c r="D48" s="75"/>
      <c r="E48" s="114">
        <v>400000</v>
      </c>
      <c r="F48" s="95"/>
      <c r="G48" s="95"/>
      <c r="H48" s="75"/>
      <c r="M48" s="3">
        <f>M47</f>
        <v>40</v>
      </c>
      <c r="N48" s="3">
        <f>N47</f>
        <v>6</v>
      </c>
      <c r="O48" s="3">
        <v>60</v>
      </c>
      <c r="P48" s="3">
        <v>60</v>
      </c>
      <c r="Q48" s="3"/>
      <c r="R48" s="4">
        <f t="shared" ref="R48:R49" si="0">N48+(O48-M48)</f>
        <v>26</v>
      </c>
      <c r="S48" s="5">
        <f t="shared" ref="S48:S49" si="1">1/(1+$E$26)^(P48-M48)</f>
        <v>0.37688948287300061</v>
      </c>
      <c r="T48" s="6">
        <f>G32</f>
        <v>0.7</v>
      </c>
      <c r="U48" s="6">
        <f>U47*(1-T47)</f>
        <v>0.95</v>
      </c>
      <c r="V48" s="7">
        <f>$E$57*((1+$E$28)^(O48-M48)+(1+$E$28)^(O48-M48-1)+(1+$E$28)^(O48-M48-2))/3</f>
        <v>175401.67829954726</v>
      </c>
      <c r="W48" s="7">
        <f>V48*0.0175*R48</f>
        <v>79807.763626294007</v>
      </c>
      <c r="X48" s="5">
        <f t="shared" ref="X48:X49" si="2">N48/R48</f>
        <v>0.23076923076923078</v>
      </c>
      <c r="Y48" s="7">
        <f>X48*W48</f>
        <v>18417.176221452464</v>
      </c>
      <c r="Z48" s="3">
        <f>D77</f>
        <v>13.4</v>
      </c>
      <c r="AA48" s="7">
        <f>Z48*Y48*U48*T48*S48</f>
        <v>61853.389836791786</v>
      </c>
      <c r="AB48" s="7">
        <f>AA48/N48</f>
        <v>10308.898306131965</v>
      </c>
    </row>
    <row r="49" spans="3:42" x14ac:dyDescent="0.25">
      <c r="C49" s="74" t="s">
        <v>13</v>
      </c>
      <c r="D49" s="75"/>
      <c r="E49" s="96" t="s">
        <v>188</v>
      </c>
      <c r="F49" s="95"/>
      <c r="G49" s="95"/>
      <c r="H49" s="75"/>
      <c r="M49" s="3">
        <f>M48</f>
        <v>40</v>
      </c>
      <c r="N49" s="3">
        <f>N48</f>
        <v>6</v>
      </c>
      <c r="O49" s="3">
        <v>65</v>
      </c>
      <c r="P49" s="3">
        <f>O49</f>
        <v>65</v>
      </c>
      <c r="Q49" s="3"/>
      <c r="R49" s="4">
        <f t="shared" si="0"/>
        <v>31</v>
      </c>
      <c r="S49" s="5">
        <f t="shared" si="1"/>
        <v>0.29530277169776209</v>
      </c>
      <c r="T49" s="6">
        <f>G33</f>
        <v>1</v>
      </c>
      <c r="U49" s="6">
        <f>U48*(1-T48)</f>
        <v>0.28500000000000003</v>
      </c>
      <c r="V49" s="7">
        <f>$E$57*((1+$E$28)^(O49-M49)+(1+$E$28)^(O49-M49-1)+(1+$E$28)^(O49-M49-2))/3</f>
        <v>203338.618241374</v>
      </c>
      <c r="W49" s="7">
        <f>V49*0.0175*R49</f>
        <v>110311.2003959454</v>
      </c>
      <c r="X49" s="5">
        <f t="shared" si="2"/>
        <v>0.19354838709677419</v>
      </c>
      <c r="Y49" s="7">
        <f>X49*W49</f>
        <v>21350.55491534427</v>
      </c>
      <c r="Z49" s="3">
        <f>D81</f>
        <v>12.1</v>
      </c>
      <c r="AA49" s="8">
        <f>Z49*Y49*U49*T49*S49</f>
        <v>21742.371933997543</v>
      </c>
      <c r="AB49" s="8">
        <f>AA49/N49</f>
        <v>3623.7286556662571</v>
      </c>
    </row>
    <row r="50" spans="3:42" ht="15.6" x14ac:dyDescent="0.3">
      <c r="E50" s="172"/>
      <c r="F50" s="81"/>
      <c r="G50" s="81"/>
      <c r="H50" s="92"/>
      <c r="M50" s="3"/>
      <c r="N50" s="9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10">
        <f>SUM(AA47:AA49)</f>
        <v>85707.730924886855</v>
      </c>
      <c r="AB50" s="10">
        <f>SUM(AB47:AB49)</f>
        <v>14284.621820814476</v>
      </c>
    </row>
    <row r="51" spans="3:42" ht="15.6" x14ac:dyDescent="0.3">
      <c r="C51" s="146" t="s">
        <v>159</v>
      </c>
      <c r="D51" s="100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 s="228"/>
      <c r="AB51"/>
    </row>
    <row r="52" spans="3:42" ht="15.6" x14ac:dyDescent="0.3">
      <c r="C52" s="69"/>
      <c r="D52" s="100"/>
      <c r="M52" s="193" t="s">
        <v>165</v>
      </c>
    </row>
    <row r="53" spans="3:42" ht="15.6" x14ac:dyDescent="0.3">
      <c r="C53" s="97" t="s">
        <v>31</v>
      </c>
      <c r="D53" s="211" t="s">
        <v>89</v>
      </c>
      <c r="E53" s="211" t="s">
        <v>91</v>
      </c>
      <c r="H53" s="215"/>
      <c r="I53" s="226"/>
      <c r="J53" s="215"/>
      <c r="K53" s="215"/>
      <c r="L53" s="215"/>
      <c r="M53" s="194" t="s">
        <v>92</v>
      </c>
      <c r="N53" s="229"/>
      <c r="O53" s="126"/>
      <c r="P53" s="126"/>
      <c r="Q53" s="126"/>
    </row>
    <row r="54" spans="3:42" ht="15.6" x14ac:dyDescent="0.3">
      <c r="C54" s="208" t="s">
        <v>15</v>
      </c>
      <c r="D54" s="99">
        <v>60</v>
      </c>
      <c r="E54" s="99">
        <v>40</v>
      </c>
      <c r="F54" s="212"/>
      <c r="H54" s="215"/>
      <c r="I54" s="227"/>
      <c r="M54" s="17" t="s">
        <v>112</v>
      </c>
      <c r="N54" s="15">
        <f>1.75%*AVERAGE(D55:D57)*D58</f>
        <v>52266.666666666679</v>
      </c>
      <c r="O54" s="126"/>
      <c r="P54" s="126"/>
      <c r="Q54" s="126"/>
    </row>
    <row r="55" spans="3:42" ht="15.6" x14ac:dyDescent="0.3">
      <c r="C55" s="209" t="s">
        <v>49</v>
      </c>
      <c r="D55" s="110">
        <v>149000</v>
      </c>
      <c r="E55" s="110">
        <v>97000</v>
      </c>
      <c r="F55" s="212"/>
      <c r="H55" s="215"/>
      <c r="I55" s="227"/>
      <c r="M55" s="17" t="s">
        <v>115</v>
      </c>
      <c r="N55" s="15">
        <f>D54</f>
        <v>60</v>
      </c>
      <c r="O55" s="126"/>
      <c r="P55" s="126"/>
      <c r="Q55" s="126"/>
    </row>
    <row r="56" spans="3:42" ht="15.6" x14ac:dyDescent="0.3">
      <c r="C56" s="208" t="s">
        <v>48</v>
      </c>
      <c r="D56" s="110">
        <v>149000</v>
      </c>
      <c r="E56" s="110">
        <v>98000</v>
      </c>
      <c r="F56" s="212"/>
      <c r="H56" s="215"/>
      <c r="I56" s="227"/>
      <c r="J56" s="214"/>
      <c r="K56" s="214"/>
      <c r="L56" s="214"/>
      <c r="M56" s="17" t="s">
        <v>116</v>
      </c>
      <c r="O56" s="126"/>
      <c r="P56" s="126"/>
      <c r="Q56" s="126"/>
    </row>
    <row r="57" spans="3:42" ht="15.6" x14ac:dyDescent="0.3">
      <c r="C57" s="208" t="s">
        <v>47</v>
      </c>
      <c r="D57" s="110">
        <v>150000</v>
      </c>
      <c r="E57" s="110">
        <v>100000</v>
      </c>
      <c r="F57" s="212"/>
      <c r="H57" s="215"/>
      <c r="I57" s="227"/>
      <c r="J57" s="214"/>
      <c r="K57" s="214"/>
      <c r="L57" s="214"/>
      <c r="M57" s="17" t="s">
        <v>166</v>
      </c>
      <c r="N57" s="15">
        <f>D58</f>
        <v>20</v>
      </c>
      <c r="O57" s="126"/>
      <c r="P57" s="126"/>
      <c r="Q57" s="126"/>
    </row>
    <row r="58" spans="3:42" x14ac:dyDescent="0.25">
      <c r="C58" s="209" t="s">
        <v>23</v>
      </c>
      <c r="D58" s="109">
        <v>20</v>
      </c>
      <c r="E58" s="109">
        <v>6</v>
      </c>
      <c r="F58" s="212"/>
      <c r="H58" s="213"/>
      <c r="I58" s="213"/>
      <c r="J58" s="214"/>
      <c r="K58" s="214"/>
      <c r="L58" s="214"/>
      <c r="M58" s="17" t="s">
        <v>123</v>
      </c>
      <c r="N58" s="17">
        <f>E98</f>
        <v>15.81</v>
      </c>
      <c r="O58" s="126"/>
      <c r="P58" s="126"/>
      <c r="Q58" s="126"/>
    </row>
    <row r="59" spans="3:42" x14ac:dyDescent="0.25">
      <c r="C59" s="212"/>
      <c r="D59" s="212"/>
      <c r="E59" s="212"/>
      <c r="F59" s="212"/>
      <c r="G59" s="212"/>
      <c r="H59" s="213"/>
      <c r="I59" s="213"/>
      <c r="J59" s="214"/>
      <c r="K59" s="214"/>
      <c r="L59" s="214"/>
      <c r="M59" s="17" t="s">
        <v>167</v>
      </c>
      <c r="O59" s="126"/>
      <c r="P59" s="40"/>
      <c r="Q59" s="40"/>
      <c r="S59" s="45">
        <f>N54*N58</f>
        <v>826336.00000000023</v>
      </c>
    </row>
    <row r="60" spans="3:42" ht="15.6" x14ac:dyDescent="0.3">
      <c r="C60" s="210" t="s">
        <v>207</v>
      </c>
      <c r="D60" s="211" t="s">
        <v>103</v>
      </c>
      <c r="E60" s="212"/>
      <c r="F60" s="212"/>
      <c r="G60" s="212"/>
      <c r="H60" s="213"/>
      <c r="I60" s="213"/>
      <c r="J60" s="214"/>
      <c r="K60" s="214"/>
      <c r="L60" s="214"/>
    </row>
    <row r="61" spans="3:42" x14ac:dyDescent="0.25">
      <c r="C61" s="208" t="s">
        <v>15</v>
      </c>
      <c r="D61" s="99">
        <v>60</v>
      </c>
      <c r="G61" s="212"/>
      <c r="H61" s="213"/>
      <c r="I61" s="213"/>
      <c r="J61" s="214"/>
      <c r="K61" s="214"/>
      <c r="L61" s="214"/>
      <c r="M61" s="194" t="s">
        <v>93</v>
      </c>
      <c r="N61" s="229"/>
      <c r="O61" s="42"/>
      <c r="P61" s="43"/>
      <c r="Q61" s="43"/>
    </row>
    <row r="62" spans="3:42" x14ac:dyDescent="0.25">
      <c r="C62" s="209" t="s">
        <v>208</v>
      </c>
      <c r="D62" s="216" t="s">
        <v>209</v>
      </c>
      <c r="E62" s="212"/>
      <c r="G62" s="212"/>
      <c r="H62" s="213"/>
      <c r="I62" s="213"/>
      <c r="J62" s="214"/>
      <c r="K62" s="214"/>
      <c r="L62" s="214"/>
      <c r="M62" s="17" t="s">
        <v>112</v>
      </c>
      <c r="N62" s="15">
        <f>1.75%*AVERAGE(E55:E57)*E58</f>
        <v>10325</v>
      </c>
      <c r="O62" s="42"/>
      <c r="P62" s="43"/>
      <c r="Q62" s="43"/>
    </row>
    <row r="63" spans="3:42" x14ac:dyDescent="0.25">
      <c r="C63" s="98" t="s">
        <v>210</v>
      </c>
      <c r="D63" s="110">
        <v>3000</v>
      </c>
      <c r="E63" s="212"/>
      <c r="G63" s="212"/>
      <c r="H63" s="213"/>
      <c r="M63" s="17" t="s">
        <v>115</v>
      </c>
      <c r="N63" s="15">
        <f>E54</f>
        <v>40</v>
      </c>
      <c r="O63" s="42"/>
      <c r="P63" s="43"/>
      <c r="Q63" s="43"/>
    </row>
    <row r="64" spans="3:42" s="70" customFormat="1" x14ac:dyDescent="0.25">
      <c r="C64" s="212"/>
      <c r="D64" s="212"/>
      <c r="E64" s="212"/>
      <c r="G64" s="212"/>
      <c r="H64" s="213"/>
      <c r="I64" s="213"/>
      <c r="J64" s="214"/>
      <c r="K64" s="214"/>
      <c r="L64" s="214"/>
      <c r="M64" s="17" t="s">
        <v>116</v>
      </c>
      <c r="N64" s="15">
        <f>E58</f>
        <v>6</v>
      </c>
      <c r="O64" s="42"/>
      <c r="P64" s="43"/>
      <c r="Q64" s="43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</row>
    <row r="65" spans="3:42" s="70" customFormat="1" ht="15.6" x14ac:dyDescent="0.3">
      <c r="C65" s="210" t="s">
        <v>32</v>
      </c>
      <c r="D65" s="211" t="s">
        <v>211</v>
      </c>
      <c r="E65" s="211" t="s">
        <v>212</v>
      </c>
      <c r="F65" s="211" t="s">
        <v>104</v>
      </c>
      <c r="G65" s="212"/>
      <c r="H65" s="213"/>
      <c r="I65" s="213"/>
      <c r="J65" s="214"/>
      <c r="K65" s="214"/>
      <c r="L65" s="214"/>
      <c r="M65" s="17" t="s">
        <v>113</v>
      </c>
      <c r="N65" s="46">
        <f>N63+N64</f>
        <v>46</v>
      </c>
      <c r="O65" s="42" t="s">
        <v>124</v>
      </c>
      <c r="P65" s="43"/>
      <c r="Q65" s="43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</row>
    <row r="66" spans="3:42" s="70" customFormat="1" x14ac:dyDescent="0.25">
      <c r="C66" s="208" t="s">
        <v>15</v>
      </c>
      <c r="D66" s="99">
        <v>61</v>
      </c>
      <c r="E66" s="99">
        <v>55</v>
      </c>
      <c r="F66" s="99">
        <v>76</v>
      </c>
      <c r="G66" s="212"/>
      <c r="H66" s="213"/>
      <c r="I66" s="213"/>
      <c r="J66" s="214"/>
      <c r="K66" s="214"/>
      <c r="L66" s="214"/>
      <c r="M66" s="17" t="s">
        <v>126</v>
      </c>
      <c r="N66" s="17">
        <f>D96</f>
        <v>5.16</v>
      </c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</row>
    <row r="67" spans="3:42" s="70" customFormat="1" x14ac:dyDescent="0.25">
      <c r="C67" s="208" t="s">
        <v>189</v>
      </c>
      <c r="D67" s="99">
        <v>60</v>
      </c>
      <c r="E67" s="99">
        <v>52</v>
      </c>
      <c r="F67" s="99">
        <v>70</v>
      </c>
      <c r="H67" s="213"/>
      <c r="I67" s="213"/>
      <c r="J67" s="213"/>
      <c r="K67" s="213"/>
      <c r="L67" s="213"/>
      <c r="M67" s="17" t="s">
        <v>125</v>
      </c>
      <c r="N67" s="47"/>
      <c r="O67" s="126"/>
      <c r="P67" s="40"/>
      <c r="Q67" s="40"/>
      <c r="R67" s="47"/>
      <c r="S67" s="45">
        <f>N62*N66</f>
        <v>53277</v>
      </c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</row>
    <row r="68" spans="3:42" s="70" customFormat="1" x14ac:dyDescent="0.25">
      <c r="C68" s="98" t="s">
        <v>213</v>
      </c>
      <c r="D68" s="110">
        <v>2200</v>
      </c>
      <c r="E68" s="110">
        <v>1600</v>
      </c>
      <c r="F68" s="110">
        <v>4000</v>
      </c>
      <c r="I68" s="213"/>
      <c r="J68" s="213"/>
      <c r="K68" s="213"/>
      <c r="L68" s="213"/>
      <c r="M68" s="41"/>
      <c r="N68" s="42"/>
      <c r="O68" s="17"/>
      <c r="P68" s="17"/>
      <c r="Q68" s="1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</row>
    <row r="69" spans="3:42" s="70" customFormat="1" x14ac:dyDescent="0.25">
      <c r="C69" s="98" t="s">
        <v>214</v>
      </c>
      <c r="D69" s="109" t="s">
        <v>196</v>
      </c>
      <c r="E69" s="109" t="s">
        <v>196</v>
      </c>
      <c r="F69" s="109" t="s">
        <v>197</v>
      </c>
      <c r="I69" s="212"/>
      <c r="J69" s="212"/>
      <c r="K69" s="212"/>
      <c r="L69" s="212"/>
      <c r="M69" s="41"/>
      <c r="N69" s="42"/>
      <c r="O69" s="17"/>
      <c r="P69" s="44"/>
      <c r="Q69" s="44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</row>
    <row r="70" spans="3:42" s="70" customFormat="1" x14ac:dyDescent="0.25">
      <c r="I70" s="212"/>
      <c r="J70" s="212"/>
      <c r="K70" s="212"/>
      <c r="L70" s="212"/>
      <c r="M70" s="47" t="s">
        <v>162</v>
      </c>
      <c r="N70" s="282" t="s">
        <v>164</v>
      </c>
      <c r="O70" s="282"/>
      <c r="P70" s="282"/>
      <c r="Q70" s="282"/>
      <c r="R70" s="282"/>
      <c r="S70" s="282"/>
      <c r="T70" s="282"/>
      <c r="U70" s="47"/>
      <c r="V70" s="47"/>
      <c r="W70" s="282" t="s">
        <v>165</v>
      </c>
      <c r="X70" s="282"/>
      <c r="Y70" s="282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</row>
    <row r="71" spans="3:42" s="70" customFormat="1" x14ac:dyDescent="0.25">
      <c r="E71" s="172"/>
      <c r="F71" s="81"/>
      <c r="G71" s="81"/>
      <c r="H71" s="92"/>
      <c r="M71" s="147" t="s">
        <v>18</v>
      </c>
      <c r="N71" s="2" t="s">
        <v>71</v>
      </c>
      <c r="O71" s="2" t="s">
        <v>74</v>
      </c>
      <c r="P71" s="2" t="s">
        <v>76</v>
      </c>
      <c r="Q71" s="2"/>
      <c r="R71" s="2" t="s">
        <v>86</v>
      </c>
      <c r="S71" s="2" t="s">
        <v>87</v>
      </c>
      <c r="T71" s="2" t="s">
        <v>84</v>
      </c>
      <c r="U71" s="47"/>
      <c r="V71" s="47"/>
      <c r="W71" s="2" t="s">
        <v>76</v>
      </c>
      <c r="X71" s="2" t="s">
        <v>87</v>
      </c>
      <c r="Y71" s="2" t="s">
        <v>84</v>
      </c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</row>
    <row r="72" spans="3:42" s="70" customFormat="1" ht="15.6" x14ac:dyDescent="0.3">
      <c r="C72" s="69" t="s">
        <v>151</v>
      </c>
      <c r="D72" s="115"/>
      <c r="E72" s="115"/>
      <c r="F72" s="115"/>
      <c r="G72" s="115"/>
      <c r="H72" s="115"/>
      <c r="M72" s="147" t="s">
        <v>163</v>
      </c>
      <c r="N72" s="3">
        <f>D61</f>
        <v>60</v>
      </c>
      <c r="O72" s="3">
        <v>65</v>
      </c>
      <c r="P72" s="5">
        <f>1/(1+$E$26)^(O72-N72)</f>
        <v>0.78352616646845896</v>
      </c>
      <c r="Q72" s="5"/>
      <c r="R72" s="7">
        <f>D63*12</f>
        <v>36000</v>
      </c>
      <c r="S72" s="3">
        <f>D81</f>
        <v>12.1</v>
      </c>
      <c r="T72" s="10">
        <f>R72*S72*P72</f>
        <v>341303.99811366072</v>
      </c>
      <c r="U72" s="229"/>
      <c r="V72" s="47"/>
      <c r="W72" s="5">
        <f>1/(1+E47)^(O72-N72)</f>
        <v>0.80053405968821079</v>
      </c>
      <c r="X72" s="3">
        <f>E103</f>
        <v>14.38</v>
      </c>
      <c r="Y72" s="10">
        <f>R72*X72*W72</f>
        <v>414420.47201939294</v>
      </c>
      <c r="Z72" s="229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</row>
    <row r="73" spans="3:42" s="70" customFormat="1" x14ac:dyDescent="0.25">
      <c r="C73" s="112"/>
      <c r="D73" s="115"/>
      <c r="E73" s="115"/>
      <c r="F73" s="115"/>
      <c r="G73" s="115"/>
      <c r="H73" s="115"/>
      <c r="I73" s="187"/>
      <c r="M73" s="147">
        <v>4</v>
      </c>
      <c r="N73" s="3">
        <f>D66</f>
        <v>61</v>
      </c>
      <c r="O73" s="47">
        <f>N73</f>
        <v>61</v>
      </c>
      <c r="P73" s="5">
        <f t="shared" ref="P73:P75" si="3">1/(1+$E$26)^(O73-N73)</f>
        <v>1</v>
      </c>
      <c r="Q73" s="5"/>
      <c r="R73" s="7">
        <f>D68*12</f>
        <v>26400</v>
      </c>
      <c r="S73" s="47">
        <f>D79</f>
        <v>14.2</v>
      </c>
      <c r="T73" s="10">
        <f t="shared" ref="T73:T75" si="4">R73*S73</f>
        <v>374880</v>
      </c>
      <c r="U73" s="229"/>
      <c r="V73" s="47"/>
      <c r="W73" s="47"/>
      <c r="X73" s="47">
        <f>E99</f>
        <v>15.5</v>
      </c>
      <c r="Y73" s="10">
        <f t="shared" ref="Y73:Y75" si="5">R73*X73</f>
        <v>409200</v>
      </c>
      <c r="Z73" s="229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</row>
    <row r="74" spans="3:42" s="70" customFormat="1" ht="15.6" x14ac:dyDescent="0.3">
      <c r="C74" s="160"/>
      <c r="D74" s="195" t="s">
        <v>178</v>
      </c>
      <c r="E74" s="197"/>
      <c r="F74" s="115"/>
      <c r="G74" s="115"/>
      <c r="H74" s="115"/>
      <c r="I74" s="187"/>
      <c r="M74" s="147">
        <v>5</v>
      </c>
      <c r="N74" s="3">
        <f>E66</f>
        <v>55</v>
      </c>
      <c r="O74" s="47">
        <f t="shared" ref="O74:O75" si="6">N74</f>
        <v>55</v>
      </c>
      <c r="P74" s="5">
        <f t="shared" si="3"/>
        <v>1</v>
      </c>
      <c r="Q74" s="5"/>
      <c r="R74" s="7">
        <f>E68*12</f>
        <v>19200</v>
      </c>
      <c r="S74" s="47">
        <f>D75</f>
        <v>15.4</v>
      </c>
      <c r="T74" s="10">
        <f t="shared" si="4"/>
        <v>295680</v>
      </c>
      <c r="U74" s="229"/>
      <c r="V74" s="47"/>
      <c r="W74" s="47"/>
      <c r="X74" s="47">
        <f>E97</f>
        <v>17.14</v>
      </c>
      <c r="Y74" s="10">
        <f t="shared" si="5"/>
        <v>329088</v>
      </c>
      <c r="Z74" s="229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</row>
    <row r="75" spans="3:42" s="70" customFormat="1" ht="18.600000000000001" x14ac:dyDescent="0.25">
      <c r="C75" s="162" t="s">
        <v>226</v>
      </c>
      <c r="D75" s="118">
        <v>15.4</v>
      </c>
      <c r="E75" s="115"/>
      <c r="F75" s="115"/>
      <c r="H75" s="115"/>
      <c r="I75" s="187"/>
      <c r="M75" s="147">
        <v>6</v>
      </c>
      <c r="N75" s="3">
        <f>F66</f>
        <v>76</v>
      </c>
      <c r="O75" s="47">
        <f t="shared" si="6"/>
        <v>76</v>
      </c>
      <c r="P75" s="5">
        <f t="shared" si="3"/>
        <v>1</v>
      </c>
      <c r="Q75" s="5"/>
      <c r="R75" s="7">
        <f>F68*12</f>
        <v>48000</v>
      </c>
      <c r="S75" s="47">
        <f>D82</f>
        <v>10.6</v>
      </c>
      <c r="T75" s="10">
        <f t="shared" si="4"/>
        <v>508800</v>
      </c>
      <c r="U75" s="229"/>
      <c r="V75" s="47"/>
      <c r="W75" s="47"/>
      <c r="X75" s="47">
        <f>E106</f>
        <v>10.199999999999999</v>
      </c>
      <c r="Y75" s="10">
        <f t="shared" si="5"/>
        <v>489599.99999999994</v>
      </c>
      <c r="Z75" s="229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</row>
    <row r="76" spans="3:42" s="70" customFormat="1" ht="18.600000000000001" x14ac:dyDescent="0.25">
      <c r="C76" s="162" t="s">
        <v>229</v>
      </c>
      <c r="D76" s="118">
        <v>15.3</v>
      </c>
      <c r="E76" s="115"/>
      <c r="F76" s="115"/>
      <c r="H76" s="115"/>
      <c r="I76" s="18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</row>
    <row r="77" spans="3:42" s="70" customFormat="1" ht="18.600000000000001" x14ac:dyDescent="0.25">
      <c r="C77" s="162" t="s">
        <v>177</v>
      </c>
      <c r="D77" s="118">
        <v>13.4</v>
      </c>
      <c r="E77" s="115"/>
      <c r="F77" s="115"/>
      <c r="G77" s="115"/>
      <c r="H77" s="115"/>
      <c r="I77" s="187"/>
      <c r="M77" s="58" t="s">
        <v>28</v>
      </c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</row>
    <row r="78" spans="3:42" s="70" customFormat="1" ht="19.2" thickBot="1" x14ac:dyDescent="0.3">
      <c r="C78" s="162" t="s">
        <v>117</v>
      </c>
      <c r="D78" s="118">
        <v>13.2</v>
      </c>
      <c r="E78" s="115"/>
      <c r="F78" s="115"/>
      <c r="G78" s="115"/>
      <c r="H78" s="115"/>
      <c r="I78" s="187"/>
      <c r="M78" s="47"/>
      <c r="N78" s="126" t="s">
        <v>136</v>
      </c>
      <c r="O78" s="126"/>
      <c r="P78" s="47"/>
      <c r="Q78" s="47"/>
      <c r="R78" s="47"/>
      <c r="S78" s="47" t="s">
        <v>138</v>
      </c>
      <c r="T78" s="47" t="s">
        <v>139</v>
      </c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</row>
    <row r="79" spans="3:42" s="70" customFormat="1" ht="18.600000000000001" x14ac:dyDescent="0.25">
      <c r="C79" s="162" t="s">
        <v>227</v>
      </c>
      <c r="D79" s="118">
        <v>14.2</v>
      </c>
      <c r="E79" s="115"/>
      <c r="F79" s="115"/>
      <c r="G79" s="115"/>
      <c r="H79" s="115"/>
      <c r="I79" s="187"/>
      <c r="M79" s="47"/>
      <c r="N79" s="60" t="s">
        <v>127</v>
      </c>
      <c r="O79" s="61">
        <f>E26</f>
        <v>0.05</v>
      </c>
      <c r="P79" s="47"/>
      <c r="Q79" s="47"/>
      <c r="R79" s="17" t="s">
        <v>114</v>
      </c>
      <c r="S79" s="63">
        <v>4.4999999999999998E-2</v>
      </c>
      <c r="T79" s="64">
        <f>S67</f>
        <v>53277</v>
      </c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</row>
    <row r="80" spans="3:42" s="70" customFormat="1" ht="19.2" thickBot="1" x14ac:dyDescent="0.3">
      <c r="C80" s="162" t="s">
        <v>230</v>
      </c>
      <c r="D80" s="118">
        <v>14</v>
      </c>
      <c r="E80" s="115"/>
      <c r="F80" s="115"/>
      <c r="G80" s="115"/>
      <c r="H80" s="115"/>
      <c r="I80" s="187"/>
      <c r="M80" s="47"/>
      <c r="N80" s="62" t="s">
        <v>140</v>
      </c>
      <c r="O80" s="67">
        <f>SUMPRODUCT(S79:S80,T79:T80)/SUM(T79:T80)</f>
        <v>4.5489437220668623E-2</v>
      </c>
      <c r="P80" s="231"/>
      <c r="Q80" s="47"/>
      <c r="R80" s="17" t="s">
        <v>137</v>
      </c>
      <c r="S80" s="65">
        <v>4.5499999999999999E-2</v>
      </c>
      <c r="T80" s="66">
        <f>S59+SUM(Y72:Y75)</f>
        <v>2468644.472019393</v>
      </c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</row>
    <row r="81" spans="3:29" ht="19.2" thickBot="1" x14ac:dyDescent="0.3">
      <c r="C81" s="162" t="s">
        <v>121</v>
      </c>
      <c r="D81" s="118">
        <v>12.1</v>
      </c>
      <c r="E81" s="115"/>
      <c r="F81" s="115"/>
      <c r="G81" s="115"/>
      <c r="H81" s="115"/>
      <c r="I81" s="187"/>
      <c r="R81" s="17"/>
      <c r="S81" s="17"/>
      <c r="T81" s="188"/>
    </row>
    <row r="82" spans="3:29" ht="18.600000000000001" x14ac:dyDescent="0.25">
      <c r="C82" s="162" t="s">
        <v>258</v>
      </c>
      <c r="D82" s="118">
        <v>10.6</v>
      </c>
      <c r="E82" s="115"/>
      <c r="F82" s="115"/>
      <c r="G82" s="115"/>
      <c r="H82" s="115"/>
      <c r="I82" s="187"/>
      <c r="N82" s="139" t="s">
        <v>141</v>
      </c>
      <c r="O82" s="140">
        <f>E132</f>
        <v>76724.401854208671</v>
      </c>
      <c r="P82" s="231"/>
      <c r="Q82" s="186"/>
      <c r="R82" s="17" t="s">
        <v>143</v>
      </c>
      <c r="S82" s="68">
        <f>E136</f>
        <v>2100000</v>
      </c>
      <c r="T82" s="231"/>
    </row>
    <row r="83" spans="3:29" ht="19.2" thickBot="1" x14ac:dyDescent="0.3">
      <c r="C83" s="162" t="s">
        <v>259</v>
      </c>
      <c r="D83" s="118">
        <v>10.199999999999999</v>
      </c>
      <c r="E83" s="115"/>
      <c r="F83" s="115"/>
      <c r="G83" s="115"/>
      <c r="H83" s="115"/>
      <c r="I83" s="187"/>
      <c r="N83" s="141" t="s">
        <v>142</v>
      </c>
      <c r="O83" s="142">
        <f>S82-S83</f>
        <v>-43633.251216483768</v>
      </c>
      <c r="P83" s="231"/>
      <c r="R83" s="17" t="s">
        <v>144</v>
      </c>
      <c r="S83" s="59">
        <f>85%*E142</f>
        <v>2143633.2512164838</v>
      </c>
      <c r="T83" s="231"/>
    </row>
    <row r="84" spans="3:29" x14ac:dyDescent="0.25">
      <c r="C84" s="112"/>
      <c r="D84" s="115"/>
      <c r="E84" s="115"/>
      <c r="F84" s="115"/>
      <c r="G84" s="115"/>
      <c r="H84" s="115"/>
      <c r="I84" s="187"/>
      <c r="O84" s="143"/>
      <c r="R84" s="17"/>
      <c r="S84" s="17"/>
      <c r="T84" s="17"/>
    </row>
    <row r="85" spans="3:29" ht="15.6" x14ac:dyDescent="0.3">
      <c r="C85" s="69" t="s">
        <v>150</v>
      </c>
      <c r="D85" s="115"/>
      <c r="E85" s="115"/>
      <c r="F85" s="115"/>
      <c r="G85" s="115"/>
      <c r="H85" s="115"/>
      <c r="M85" s="47" t="s">
        <v>146</v>
      </c>
      <c r="O85" s="143"/>
      <c r="P85" s="231"/>
      <c r="R85" s="17"/>
      <c r="S85" s="17"/>
      <c r="T85" s="17"/>
    </row>
    <row r="86" spans="3:29" ht="15.6" x14ac:dyDescent="0.3">
      <c r="C86" s="160"/>
      <c r="D86" s="161" t="s">
        <v>157</v>
      </c>
      <c r="E86" s="161" t="s">
        <v>156</v>
      </c>
      <c r="F86" s="115"/>
      <c r="G86" s="115"/>
      <c r="H86" s="115"/>
      <c r="M86" s="47" t="s">
        <v>147</v>
      </c>
      <c r="O86" s="143"/>
      <c r="R86" s="17"/>
      <c r="S86" s="17"/>
      <c r="T86" s="231"/>
    </row>
    <row r="87" spans="3:29" ht="27.6" x14ac:dyDescent="0.25">
      <c r="C87" s="196" t="s">
        <v>244</v>
      </c>
      <c r="D87" s="163">
        <v>9.39</v>
      </c>
      <c r="E87" s="163">
        <v>9.27</v>
      </c>
      <c r="F87" s="197"/>
      <c r="G87" s="197"/>
      <c r="H87" s="115"/>
      <c r="M87" s="48" t="s">
        <v>52</v>
      </c>
      <c r="N87" s="49" t="s">
        <v>129</v>
      </c>
      <c r="O87" s="49" t="s">
        <v>130</v>
      </c>
      <c r="P87" s="50" t="s">
        <v>131</v>
      </c>
      <c r="Q87" s="50"/>
      <c r="R87" s="51" t="s">
        <v>132</v>
      </c>
      <c r="S87" s="52" t="s">
        <v>133</v>
      </c>
      <c r="T87" s="51" t="s">
        <v>134</v>
      </c>
      <c r="U87" s="53" t="s">
        <v>135</v>
      </c>
    </row>
    <row r="88" spans="3:29" ht="18.600000000000001" x14ac:dyDescent="0.25">
      <c r="C88" s="196" t="s">
        <v>246</v>
      </c>
      <c r="D88" s="203">
        <v>8.8699999999999992</v>
      </c>
      <c r="E88" s="163">
        <v>8.75</v>
      </c>
      <c r="F88" s="197"/>
      <c r="G88" s="197"/>
      <c r="H88" s="115"/>
    </row>
    <row r="89" spans="3:29" ht="18.600000000000001" x14ac:dyDescent="0.25">
      <c r="C89" s="196" t="s">
        <v>247</v>
      </c>
      <c r="D89" s="163">
        <v>8.3800000000000008</v>
      </c>
      <c r="E89" s="163">
        <v>8.26</v>
      </c>
      <c r="F89" s="197"/>
      <c r="G89" s="197"/>
      <c r="H89" s="115"/>
      <c r="M89" s="20" t="s">
        <v>145</v>
      </c>
      <c r="N89" s="55" t="s">
        <v>58</v>
      </c>
      <c r="O89" s="57">
        <v>45869</v>
      </c>
      <c r="P89" s="56">
        <v>2400</v>
      </c>
      <c r="Q89" s="56"/>
      <c r="R89" s="54"/>
      <c r="S89" s="58">
        <f>NPER((1+O80)^(1/12)-1,P89,O83)</f>
        <v>18.858356080482476</v>
      </c>
      <c r="T89" s="54"/>
      <c r="U89" s="54">
        <f>-PV((1+$O$80)^(1/12)-1,S89,P89)</f>
        <v>43633.251216483841</v>
      </c>
      <c r="V89" s="231"/>
    </row>
    <row r="90" spans="3:29" ht="18.600000000000001" x14ac:dyDescent="0.25">
      <c r="C90" s="196" t="s">
        <v>248</v>
      </c>
      <c r="D90" s="163">
        <v>7.91</v>
      </c>
      <c r="E90" s="163">
        <v>7.79</v>
      </c>
      <c r="F90" s="197"/>
      <c r="G90" s="197"/>
      <c r="H90" s="115"/>
    </row>
    <row r="91" spans="3:29" ht="18.600000000000001" x14ac:dyDescent="0.25">
      <c r="C91" s="196" t="s">
        <v>249</v>
      </c>
      <c r="D91" s="163">
        <v>7.46</v>
      </c>
      <c r="E91" s="163">
        <v>7.35</v>
      </c>
      <c r="F91" s="197"/>
      <c r="G91" s="197"/>
      <c r="H91" s="115"/>
    </row>
    <row r="92" spans="3:29" ht="18.600000000000001" x14ac:dyDescent="0.25">
      <c r="C92" s="196" t="s">
        <v>250</v>
      </c>
      <c r="D92" s="163">
        <v>7.03</v>
      </c>
      <c r="E92" s="163">
        <v>6.93</v>
      </c>
      <c r="F92" s="197"/>
      <c r="G92" s="197"/>
      <c r="H92" s="115"/>
    </row>
    <row r="93" spans="3:29" ht="18.600000000000001" x14ac:dyDescent="0.25">
      <c r="C93" s="196" t="s">
        <v>251</v>
      </c>
      <c r="D93" s="163">
        <v>6.62</v>
      </c>
      <c r="E93" s="163">
        <v>6.52</v>
      </c>
      <c r="F93" s="197"/>
      <c r="G93" s="197"/>
      <c r="H93" s="115"/>
    </row>
    <row r="94" spans="3:29" ht="18.600000000000001" x14ac:dyDescent="0.25">
      <c r="C94" s="196" t="s">
        <v>252</v>
      </c>
      <c r="D94" s="163">
        <v>6.23</v>
      </c>
      <c r="E94" s="163">
        <v>6.13</v>
      </c>
      <c r="F94" s="197"/>
      <c r="G94" s="197"/>
      <c r="H94" s="115"/>
      <c r="M94" s="10" t="s">
        <v>161</v>
      </c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3:29" ht="18.600000000000001" x14ac:dyDescent="0.25">
      <c r="C95" s="196" t="s">
        <v>253</v>
      </c>
      <c r="D95" s="163">
        <v>5.85</v>
      </c>
      <c r="E95" s="163">
        <v>5.76</v>
      </c>
      <c r="F95" s="197"/>
      <c r="G95" s="197"/>
      <c r="H95" s="115"/>
      <c r="N95" s="1" t="s">
        <v>92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3:29" ht="18.600000000000001" x14ac:dyDescent="0.25">
      <c r="C96" s="196" t="s">
        <v>245</v>
      </c>
      <c r="D96" s="163">
        <v>5.16</v>
      </c>
      <c r="E96" s="163">
        <v>5.08</v>
      </c>
      <c r="F96" s="197"/>
      <c r="G96" s="197"/>
      <c r="H96" s="115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3:29" ht="18.600000000000001" x14ac:dyDescent="0.25">
      <c r="C97" s="162" t="s">
        <v>226</v>
      </c>
      <c r="D97" s="203">
        <v>17.239999999999998</v>
      </c>
      <c r="E97" s="203">
        <v>17.14</v>
      </c>
      <c r="F97" s="197"/>
      <c r="G97" s="197"/>
      <c r="H97" s="115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3:29" ht="18.600000000000001" x14ac:dyDescent="0.25">
      <c r="C98" s="162" t="s">
        <v>177</v>
      </c>
      <c r="D98" s="203">
        <v>15.91</v>
      </c>
      <c r="E98" s="203">
        <v>15.81</v>
      </c>
      <c r="F98" s="197"/>
      <c r="G98" s="197"/>
      <c r="H98" s="115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3:29" ht="18.600000000000001" x14ac:dyDescent="0.25">
      <c r="C99" s="162" t="s">
        <v>254</v>
      </c>
      <c r="D99" s="203">
        <v>15.61</v>
      </c>
      <c r="E99" s="203">
        <v>15.5</v>
      </c>
      <c r="F99" s="197"/>
      <c r="G99" s="197"/>
      <c r="H99" s="115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3:29" ht="20.55" customHeight="1" x14ac:dyDescent="0.25">
      <c r="C100" s="162" t="s">
        <v>118</v>
      </c>
      <c r="D100" s="203">
        <v>15.3</v>
      </c>
      <c r="E100" s="203">
        <v>15.3</v>
      </c>
      <c r="F100" s="197"/>
      <c r="G100" s="197"/>
      <c r="H100" s="115"/>
      <c r="N100" s="2" t="s">
        <v>71</v>
      </c>
      <c r="O100" s="2" t="s">
        <v>72</v>
      </c>
      <c r="P100" s="2" t="s">
        <v>73</v>
      </c>
      <c r="Q100" s="2"/>
      <c r="R100" s="2" t="s">
        <v>74</v>
      </c>
      <c r="S100" s="2" t="s">
        <v>75</v>
      </c>
      <c r="T100" s="2" t="s">
        <v>76</v>
      </c>
      <c r="U100" s="2" t="s">
        <v>77</v>
      </c>
      <c r="V100" s="2" t="s">
        <v>78</v>
      </c>
      <c r="W100" s="2" t="s">
        <v>79</v>
      </c>
      <c r="X100" s="2" t="s">
        <v>80</v>
      </c>
      <c r="Y100" s="2" t="s">
        <v>81</v>
      </c>
      <c r="Z100" s="2" t="s">
        <v>82</v>
      </c>
      <c r="AA100" s="2" t="s">
        <v>83</v>
      </c>
      <c r="AB100" s="2" t="s">
        <v>84</v>
      </c>
      <c r="AC100" s="2" t="s">
        <v>85</v>
      </c>
    </row>
    <row r="101" spans="3:29" ht="18.600000000000001" x14ac:dyDescent="0.25">
      <c r="C101" s="162" t="s">
        <v>119</v>
      </c>
      <c r="D101" s="203">
        <v>15.1</v>
      </c>
      <c r="E101" s="203">
        <v>14.99</v>
      </c>
      <c r="F101" s="197"/>
      <c r="G101" s="197"/>
      <c r="H101" s="115"/>
      <c r="N101" s="3">
        <f>E179</f>
        <v>61</v>
      </c>
      <c r="O101" s="12">
        <f>G179</f>
        <v>21</v>
      </c>
      <c r="P101" s="3">
        <f>E33</f>
        <v>65</v>
      </c>
      <c r="Q101" s="3"/>
      <c r="R101" s="3">
        <v>65</v>
      </c>
      <c r="S101" s="4">
        <f>O101+(P101-N101)</f>
        <v>25</v>
      </c>
      <c r="T101" s="5">
        <f>1/(1+$E$26)^(R101-N101)</f>
        <v>0.82270247479188197</v>
      </c>
      <c r="U101" s="6">
        <f>$G$33</f>
        <v>1</v>
      </c>
      <c r="V101" s="6">
        <v>1</v>
      </c>
      <c r="W101" s="233">
        <f>(H179*((1+$E$28)^(P101-N101-1)+(1+$E$28)^(P101-N101-2)+(1+$E$28)^(P101-N101-3))/3)*0+V43*1</f>
        <v>168875.49421499998</v>
      </c>
      <c r="X101" s="7">
        <f>W101*0.0175*S101</f>
        <v>73883.028719062495</v>
      </c>
      <c r="Y101" s="5">
        <f>O101/S101</f>
        <v>0.84</v>
      </c>
      <c r="Z101" s="7">
        <f>Y101*X101</f>
        <v>62061.74412401249</v>
      </c>
      <c r="AA101" s="3">
        <f>D81</f>
        <v>12.1</v>
      </c>
      <c r="AB101" s="13">
        <f>AA101*Z101*V101*U101*T101</f>
        <v>617806.04081677995</v>
      </c>
      <c r="AC101" s="13">
        <f>AB101/O101</f>
        <v>29419.335276989521</v>
      </c>
    </row>
    <row r="102" spans="3:29" ht="15" customHeight="1" x14ac:dyDescent="0.25">
      <c r="C102" s="162" t="s">
        <v>120</v>
      </c>
      <c r="D102" s="203">
        <v>14.79</v>
      </c>
      <c r="E102" s="203">
        <v>14.69</v>
      </c>
      <c r="F102" s="197"/>
      <c r="G102" s="197"/>
      <c r="H102" s="115"/>
      <c r="AB102" s="10">
        <f>AB101</f>
        <v>617806.04081677995</v>
      </c>
      <c r="AC102" s="10">
        <f>AC101</f>
        <v>29419.335276989521</v>
      </c>
    </row>
    <row r="103" spans="3:29" ht="18.600000000000001" x14ac:dyDescent="0.25">
      <c r="C103" s="162" t="s">
        <v>121</v>
      </c>
      <c r="D103" s="203">
        <v>14.38</v>
      </c>
      <c r="E103" s="203">
        <v>14.38</v>
      </c>
      <c r="F103" s="197"/>
      <c r="G103" s="197"/>
      <c r="H103" s="115"/>
      <c r="N103" s="3"/>
      <c r="O103" s="3"/>
      <c r="P103" s="3"/>
      <c r="Q103" s="3"/>
      <c r="R103" s="3"/>
      <c r="S103" s="4"/>
      <c r="T103" s="5"/>
      <c r="U103" s="6"/>
      <c r="V103" s="6"/>
      <c r="W103" s="7"/>
      <c r="X103" s="7"/>
      <c r="Y103" s="5"/>
      <c r="Z103" s="7"/>
      <c r="AA103" s="3"/>
      <c r="AB103" s="3"/>
      <c r="AC103" s="3"/>
    </row>
    <row r="104" spans="3:29" ht="18.600000000000001" x14ac:dyDescent="0.25">
      <c r="C104" s="162" t="s">
        <v>122</v>
      </c>
      <c r="D104" s="203">
        <v>14.08</v>
      </c>
      <c r="E104" s="203">
        <v>14.08</v>
      </c>
      <c r="F104" s="197"/>
      <c r="G104" s="197"/>
      <c r="H104" s="115"/>
      <c r="N104" s="47" t="s">
        <v>94</v>
      </c>
      <c r="T104" s="5"/>
      <c r="U104" s="6"/>
      <c r="V104" s="6"/>
      <c r="W104" s="7"/>
      <c r="X104" s="7"/>
      <c r="Y104" s="5"/>
      <c r="Z104" s="7"/>
      <c r="AA104" s="3"/>
      <c r="AB104" s="3"/>
      <c r="AC104" s="3"/>
    </row>
    <row r="105" spans="3:29" ht="18.600000000000001" x14ac:dyDescent="0.25">
      <c r="C105" s="162" t="s">
        <v>255</v>
      </c>
      <c r="D105" s="203">
        <v>12.65</v>
      </c>
      <c r="E105" s="203">
        <v>12.65</v>
      </c>
      <c r="F105" s="197"/>
      <c r="G105" s="197"/>
      <c r="H105" s="115"/>
      <c r="N105" s="2" t="s">
        <v>71</v>
      </c>
      <c r="O105" s="2" t="s">
        <v>74</v>
      </c>
      <c r="P105" s="2" t="s">
        <v>86</v>
      </c>
      <c r="Q105" s="2"/>
      <c r="R105" s="2" t="s">
        <v>87</v>
      </c>
      <c r="S105" s="2" t="s">
        <v>84</v>
      </c>
      <c r="T105" s="5"/>
      <c r="U105" s="6"/>
      <c r="V105" s="6"/>
      <c r="W105" s="7"/>
      <c r="X105" s="7"/>
      <c r="Y105" s="5"/>
      <c r="Z105" s="7"/>
      <c r="AA105" s="3"/>
      <c r="AB105" s="3"/>
      <c r="AC105" s="3"/>
    </row>
    <row r="106" spans="3:29" ht="18.600000000000001" x14ac:dyDescent="0.25">
      <c r="C106" s="162" t="s">
        <v>258</v>
      </c>
      <c r="D106" s="203">
        <v>10.3</v>
      </c>
      <c r="E106" s="203">
        <v>10.199999999999999</v>
      </c>
      <c r="F106" s="197"/>
      <c r="G106" s="197"/>
      <c r="H106" s="115"/>
      <c r="N106" s="3">
        <f>E181</f>
        <v>61</v>
      </c>
      <c r="O106" s="3">
        <f>N106</f>
        <v>61</v>
      </c>
      <c r="P106" s="7">
        <f>F181*12</f>
        <v>28800</v>
      </c>
      <c r="Q106" s="7"/>
      <c r="R106" s="3">
        <f>D78</f>
        <v>13.2</v>
      </c>
      <c r="S106" s="7">
        <f>P106*R106</f>
        <v>380160</v>
      </c>
      <c r="T106" s="5"/>
      <c r="U106" s="6"/>
      <c r="V106" s="6"/>
      <c r="W106" s="7"/>
      <c r="X106" s="7"/>
      <c r="Y106" s="5"/>
      <c r="Z106" s="7"/>
      <c r="AA106" s="3"/>
      <c r="AB106" s="3"/>
      <c r="AC106" s="3"/>
    </row>
    <row r="107" spans="3:29" x14ac:dyDescent="0.25">
      <c r="E107" s="172"/>
      <c r="F107" s="81"/>
      <c r="G107" s="81"/>
      <c r="H107" s="92"/>
      <c r="S107" s="10">
        <f>S106</f>
        <v>380160</v>
      </c>
      <c r="T107" s="5"/>
      <c r="U107" s="6"/>
      <c r="V107" s="6"/>
      <c r="W107" s="7"/>
      <c r="X107" s="7"/>
      <c r="Y107" s="5"/>
      <c r="Z107" s="7"/>
      <c r="AA107" s="3"/>
      <c r="AB107" s="3"/>
      <c r="AC107" s="3"/>
    </row>
    <row r="108" spans="3:29" ht="15.6" x14ac:dyDescent="0.3">
      <c r="C108" s="69" t="s">
        <v>148</v>
      </c>
      <c r="F108" s="81"/>
      <c r="G108" s="81"/>
      <c r="H108" s="92"/>
      <c r="S108" s="4"/>
      <c r="T108" s="5"/>
      <c r="U108" s="6"/>
      <c r="V108" s="6"/>
      <c r="W108" s="7"/>
      <c r="X108" s="7"/>
      <c r="Y108" s="5"/>
      <c r="Z108" s="7"/>
      <c r="AA108" s="3"/>
      <c r="AB108" s="3"/>
      <c r="AC108" s="3"/>
    </row>
    <row r="109" spans="3:29" ht="15.6" x14ac:dyDescent="0.3">
      <c r="C109" s="73"/>
      <c r="F109" s="81"/>
      <c r="G109" s="81"/>
      <c r="H109" s="92"/>
      <c r="N109" s="47" t="s">
        <v>231</v>
      </c>
      <c r="T109" s="5"/>
      <c r="U109" s="6"/>
      <c r="V109" s="6"/>
      <c r="W109" s="7"/>
      <c r="X109" s="7"/>
      <c r="Y109" s="5"/>
      <c r="Z109" s="7"/>
      <c r="AA109" s="3"/>
      <c r="AB109" s="3"/>
      <c r="AC109" s="3"/>
    </row>
    <row r="110" spans="3:29" x14ac:dyDescent="0.25">
      <c r="C110" s="290" t="s">
        <v>22</v>
      </c>
      <c r="D110" s="291"/>
      <c r="E110" s="144">
        <v>2500000</v>
      </c>
      <c r="F110" s="81"/>
      <c r="G110" s="81"/>
      <c r="H110" s="92"/>
      <c r="N110" s="2" t="s">
        <v>71</v>
      </c>
      <c r="O110" s="2" t="s">
        <v>74</v>
      </c>
      <c r="P110" s="2" t="s">
        <v>86</v>
      </c>
      <c r="Q110" s="2"/>
      <c r="R110" s="2" t="s">
        <v>87</v>
      </c>
      <c r="S110" s="2" t="s">
        <v>84</v>
      </c>
      <c r="T110" s="5"/>
      <c r="U110" s="6"/>
      <c r="V110" s="6"/>
      <c r="W110" s="7"/>
      <c r="X110" s="7"/>
      <c r="Y110" s="5"/>
      <c r="Z110" s="7"/>
      <c r="AA110" s="3"/>
      <c r="AB110" s="3"/>
      <c r="AC110" s="3"/>
    </row>
    <row r="111" spans="3:29" x14ac:dyDescent="0.25">
      <c r="C111" s="172"/>
      <c r="D111" s="172"/>
      <c r="E111" s="204"/>
      <c r="F111" s="81"/>
      <c r="G111" s="81"/>
      <c r="H111" s="92"/>
      <c r="N111" s="3">
        <v>62</v>
      </c>
      <c r="O111" s="3">
        <f>N111</f>
        <v>62</v>
      </c>
      <c r="P111" s="7">
        <f>D68*12</f>
        <v>26400</v>
      </c>
      <c r="Q111" s="7"/>
      <c r="R111" s="3">
        <f>D80</f>
        <v>14</v>
      </c>
      <c r="S111" s="7">
        <f>P111*R111</f>
        <v>369600</v>
      </c>
      <c r="T111" s="5"/>
      <c r="U111" s="6"/>
      <c r="V111" s="6"/>
      <c r="W111" s="7"/>
      <c r="X111" s="7"/>
      <c r="Y111" s="5"/>
      <c r="Z111" s="7"/>
      <c r="AA111" s="3"/>
      <c r="AB111" s="3"/>
      <c r="AC111" s="3"/>
    </row>
    <row r="112" spans="3:29" x14ac:dyDescent="0.25">
      <c r="C112" s="160" t="s">
        <v>190</v>
      </c>
      <c r="E112" s="172"/>
      <c r="F112" s="81"/>
      <c r="G112" s="81"/>
      <c r="H112" s="92"/>
      <c r="S112" s="10">
        <f>S111</f>
        <v>369600</v>
      </c>
      <c r="T112" s="5"/>
      <c r="U112" s="6"/>
      <c r="V112" s="6"/>
      <c r="W112" s="7"/>
      <c r="X112" s="7"/>
      <c r="Y112" s="5"/>
      <c r="Z112" s="7"/>
      <c r="AA112" s="3"/>
      <c r="AB112" s="3"/>
      <c r="AC112" s="3"/>
    </row>
    <row r="113" spans="2:29" x14ac:dyDescent="0.25">
      <c r="C113" s="119"/>
      <c r="S113" s="4"/>
      <c r="T113" s="5"/>
      <c r="U113" s="6"/>
      <c r="V113" s="6"/>
      <c r="W113" s="7"/>
      <c r="X113" s="7"/>
      <c r="Y113" s="5"/>
      <c r="Z113" s="7"/>
      <c r="AA113" s="3"/>
      <c r="AB113" s="3"/>
      <c r="AC113" s="3"/>
    </row>
    <row r="114" spans="2:29" ht="15.6" x14ac:dyDescent="0.3">
      <c r="B114" s="69" t="s">
        <v>26</v>
      </c>
      <c r="C114" s="160" t="s">
        <v>216</v>
      </c>
      <c r="D114" s="149"/>
      <c r="N114" s="47" t="s">
        <v>232</v>
      </c>
      <c r="T114" s="5"/>
      <c r="U114" s="6"/>
      <c r="V114" s="6"/>
      <c r="W114" s="7"/>
      <c r="X114" s="7"/>
      <c r="Y114" s="5"/>
      <c r="Z114" s="7"/>
      <c r="AA114" s="3"/>
      <c r="AB114" s="3"/>
      <c r="AC114" s="3"/>
    </row>
    <row r="115" spans="2:29" x14ac:dyDescent="0.25">
      <c r="C115" s="119"/>
      <c r="N115" s="2" t="s">
        <v>71</v>
      </c>
      <c r="O115" s="2" t="s">
        <v>74</v>
      </c>
      <c r="P115" s="2" t="s">
        <v>86</v>
      </c>
      <c r="Q115" s="2"/>
      <c r="R115" s="2" t="s">
        <v>87</v>
      </c>
      <c r="S115" s="2" t="s">
        <v>84</v>
      </c>
      <c r="T115" s="5"/>
      <c r="U115" s="6"/>
      <c r="V115" s="6"/>
      <c r="W115" s="7"/>
      <c r="X115" s="7"/>
      <c r="Y115" s="5"/>
      <c r="Z115" s="7"/>
      <c r="AA115" s="3"/>
      <c r="AB115" s="3"/>
      <c r="AC115" s="3"/>
    </row>
    <row r="116" spans="2:29" x14ac:dyDescent="0.25">
      <c r="C116" s="119"/>
      <c r="N116" s="3">
        <v>56</v>
      </c>
      <c r="O116" s="3">
        <f>N116</f>
        <v>56</v>
      </c>
      <c r="P116" s="7">
        <f>E68*12</f>
        <v>19200</v>
      </c>
      <c r="Q116" s="7"/>
      <c r="R116" s="3">
        <f>D76</f>
        <v>15.3</v>
      </c>
      <c r="S116" s="7">
        <f>P116*R116</f>
        <v>293760</v>
      </c>
      <c r="T116" s="5"/>
      <c r="U116" s="6"/>
      <c r="V116" s="6"/>
      <c r="W116" s="7"/>
      <c r="X116" s="7"/>
      <c r="Y116" s="5"/>
      <c r="Z116" s="7"/>
      <c r="AA116" s="3"/>
      <c r="AB116" s="3"/>
      <c r="AC116" s="3"/>
    </row>
    <row r="117" spans="2:29" ht="15.6" x14ac:dyDescent="0.3">
      <c r="C117" s="165" t="s">
        <v>27</v>
      </c>
      <c r="D117" s="166"/>
      <c r="E117" s="167"/>
      <c r="F117" s="167"/>
      <c r="G117" s="167"/>
      <c r="H117" s="167"/>
      <c r="I117" s="168"/>
      <c r="S117" s="10">
        <f>S116</f>
        <v>293760</v>
      </c>
      <c r="T117" s="5"/>
      <c r="U117" s="6"/>
      <c r="V117" s="6"/>
      <c r="W117" s="7"/>
      <c r="X117" s="7"/>
      <c r="Y117" s="5"/>
      <c r="Z117" s="7"/>
      <c r="AA117" s="3"/>
      <c r="AB117" s="3"/>
      <c r="AC117" s="3"/>
    </row>
    <row r="118" spans="2:29" ht="15.6" x14ac:dyDescent="0.3">
      <c r="C118" s="72"/>
      <c r="D118" s="72"/>
      <c r="E118" s="164"/>
      <c r="F118" s="164"/>
      <c r="G118" s="164"/>
      <c r="H118" s="164"/>
      <c r="I118" s="164"/>
      <c r="N118" s="3"/>
      <c r="O118" s="3"/>
      <c r="P118" s="3"/>
      <c r="Q118" s="3"/>
      <c r="R118" s="3"/>
      <c r="S118" s="4"/>
      <c r="T118" s="5"/>
      <c r="U118" s="6"/>
      <c r="V118" s="6"/>
      <c r="W118" s="7"/>
      <c r="X118" s="7"/>
      <c r="Y118" s="5"/>
      <c r="Z118" s="7"/>
      <c r="AA118" s="3"/>
      <c r="AB118" s="3"/>
      <c r="AC118" s="3"/>
    </row>
    <row r="119" spans="2:29" ht="15.6" x14ac:dyDescent="0.3">
      <c r="E119" s="185"/>
      <c r="N119" s="47" t="s">
        <v>172</v>
      </c>
      <c r="T119" s="5"/>
      <c r="U119" s="6"/>
      <c r="V119" s="6"/>
      <c r="W119" s="7"/>
      <c r="X119" s="7"/>
      <c r="Y119" s="5"/>
      <c r="Z119" s="7"/>
      <c r="AA119" s="3"/>
      <c r="AB119" s="3"/>
      <c r="AC119" s="3"/>
    </row>
    <row r="120" spans="2:29" ht="15.6" x14ac:dyDescent="0.3">
      <c r="C120" s="169" t="s">
        <v>215</v>
      </c>
      <c r="E120" s="217">
        <f>E110</f>
        <v>2500000</v>
      </c>
      <c r="F120" s="120"/>
      <c r="H120" s="120"/>
      <c r="I120" s="120"/>
      <c r="J120" s="120"/>
      <c r="K120" s="120"/>
      <c r="L120" s="120"/>
      <c r="N120" s="2" t="s">
        <v>71</v>
      </c>
      <c r="O120" s="2" t="s">
        <v>74</v>
      </c>
      <c r="P120" s="2" t="s">
        <v>86</v>
      </c>
      <c r="Q120" s="2"/>
      <c r="R120" s="2" t="s">
        <v>87</v>
      </c>
      <c r="S120" s="2" t="s">
        <v>84</v>
      </c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2:29" ht="15.6" x14ac:dyDescent="0.3">
      <c r="C121" s="120"/>
      <c r="E121" s="120"/>
      <c r="F121" s="120"/>
      <c r="H121" s="120"/>
      <c r="I121" s="120"/>
      <c r="J121" s="120"/>
      <c r="K121" s="120"/>
      <c r="L121" s="120"/>
      <c r="N121" s="3">
        <f>E184</f>
        <v>77</v>
      </c>
      <c r="O121" s="3">
        <f>N121</f>
        <v>77</v>
      </c>
      <c r="P121" s="7">
        <f>F184*12</f>
        <v>48000</v>
      </c>
      <c r="Q121" s="7"/>
      <c r="R121" s="3">
        <f>D83</f>
        <v>10.199999999999999</v>
      </c>
      <c r="S121" s="7">
        <f>P121*R121</f>
        <v>489599.99999999994</v>
      </c>
    </row>
    <row r="122" spans="2:29" ht="15.6" x14ac:dyDescent="0.3">
      <c r="C122" s="69" t="s">
        <v>29</v>
      </c>
      <c r="S122" s="10">
        <f>S121</f>
        <v>489599.99999999994</v>
      </c>
    </row>
    <row r="123" spans="2:29" x14ac:dyDescent="0.25">
      <c r="C123" s="70" t="s">
        <v>30</v>
      </c>
    </row>
    <row r="124" spans="2:29" x14ac:dyDescent="0.25">
      <c r="C124" s="121" t="s">
        <v>31</v>
      </c>
      <c r="E124" s="170">
        <f>AA44+AA50</f>
        <v>744079.55155530327</v>
      </c>
    </row>
    <row r="125" spans="2:29" x14ac:dyDescent="0.25">
      <c r="C125" s="121" t="s">
        <v>160</v>
      </c>
      <c r="E125" s="170">
        <f>T72</f>
        <v>341303.99811366072</v>
      </c>
      <c r="S125" s="124"/>
    </row>
    <row r="126" spans="2:29" ht="15.6" x14ac:dyDescent="0.3">
      <c r="C126" s="121" t="s">
        <v>32</v>
      </c>
      <c r="E126" s="170">
        <f>SUM(T73:T75)</f>
        <v>1179360</v>
      </c>
      <c r="F126" s="184"/>
      <c r="H126" s="120"/>
      <c r="I126" s="120"/>
      <c r="J126" s="120"/>
      <c r="K126" s="120"/>
      <c r="L126" s="120"/>
      <c r="S126" s="124"/>
    </row>
    <row r="127" spans="2:29" ht="15.6" x14ac:dyDescent="0.3">
      <c r="C127" s="70" t="s">
        <v>33</v>
      </c>
      <c r="E127" s="111">
        <f>SUM(E124:E126)</f>
        <v>2264743.549668964</v>
      </c>
      <c r="F127" s="120"/>
      <c r="H127" s="120"/>
      <c r="I127" s="120"/>
      <c r="J127" s="120"/>
      <c r="K127" s="120"/>
      <c r="L127" s="120"/>
      <c r="N127" s="14" t="s">
        <v>95</v>
      </c>
      <c r="O127" s="14" t="s">
        <v>176</v>
      </c>
      <c r="P127" s="14" t="s">
        <v>224</v>
      </c>
      <c r="Q127" s="14" t="s">
        <v>225</v>
      </c>
      <c r="R127" s="14" t="s">
        <v>96</v>
      </c>
      <c r="S127" s="14" t="s">
        <v>97</v>
      </c>
      <c r="T127" s="14" t="s">
        <v>98</v>
      </c>
      <c r="U127" s="14" t="s">
        <v>106</v>
      </c>
    </row>
    <row r="128" spans="2:29" x14ac:dyDescent="0.25">
      <c r="C128" s="70" t="s">
        <v>34</v>
      </c>
      <c r="E128" s="170">
        <f>E127*E27</f>
        <v>158532.04847682751</v>
      </c>
      <c r="N128" s="1" t="s">
        <v>89</v>
      </c>
      <c r="O128" s="190">
        <f>AA44</f>
        <v>658371.82063041639</v>
      </c>
      <c r="P128" s="190">
        <f>AB44</f>
        <v>32918.591031520824</v>
      </c>
      <c r="Q128" s="190"/>
      <c r="R128" s="15">
        <f>SUM(O128:P128)*(1+$E$26)</f>
        <v>725854.93224503414</v>
      </c>
      <c r="S128" s="16">
        <f>AB101</f>
        <v>617806.04081677995</v>
      </c>
      <c r="T128" s="15">
        <f>+S128-R128</f>
        <v>-108048.8914282542</v>
      </c>
      <c r="U128" s="47" t="s">
        <v>107</v>
      </c>
    </row>
    <row r="129" spans="3:23" ht="15.6" x14ac:dyDescent="0.3">
      <c r="C129" s="69" t="s">
        <v>35</v>
      </c>
      <c r="E129" s="171">
        <f>E128+E127</f>
        <v>2423275.5981457913</v>
      </c>
      <c r="J129" s="123"/>
      <c r="K129" s="123"/>
      <c r="L129" s="123"/>
      <c r="N129" s="1" t="s">
        <v>91</v>
      </c>
      <c r="O129" s="190">
        <f>AA50</f>
        <v>85707.730924886855</v>
      </c>
      <c r="P129" s="190">
        <f>AB50</f>
        <v>14284.621820814476</v>
      </c>
      <c r="Q129" s="190">
        <v>-60000</v>
      </c>
      <c r="R129" s="235">
        <f>SUM(O129:P129)*(1+$E$26)+Q129</f>
        <v>44991.970382986401</v>
      </c>
      <c r="S129" s="16">
        <v>0</v>
      </c>
      <c r="T129" s="15">
        <f>+S129-R129</f>
        <v>-44991.970382986401</v>
      </c>
      <c r="U129" s="47" t="s">
        <v>173</v>
      </c>
    </row>
    <row r="130" spans="3:23" x14ac:dyDescent="0.25">
      <c r="N130" s="1" t="s">
        <v>103</v>
      </c>
      <c r="O130" s="190">
        <f>T72</f>
        <v>341303.99811366072</v>
      </c>
      <c r="P130" s="1"/>
      <c r="Q130" s="1"/>
      <c r="R130" s="15">
        <f>T72*(1+$E$26)</f>
        <v>358369.19801934378</v>
      </c>
      <c r="S130" s="16">
        <f>S107</f>
        <v>380160</v>
      </c>
      <c r="T130" s="15">
        <f>+S130-R130</f>
        <v>21790.801980656222</v>
      </c>
      <c r="U130" s="47" t="s">
        <v>110</v>
      </c>
      <c r="V130" s="126"/>
      <c r="W130" s="126"/>
    </row>
    <row r="131" spans="3:23" x14ac:dyDescent="0.25">
      <c r="F131" s="125"/>
      <c r="N131" s="1" t="s">
        <v>211</v>
      </c>
      <c r="O131" s="190">
        <f>T73</f>
        <v>374880</v>
      </c>
      <c r="P131" s="1"/>
      <c r="Q131" s="191">
        <f>-D68*12</f>
        <v>-26400</v>
      </c>
      <c r="R131" s="15">
        <f>O131*(1+$E$26)+Q131*(1+$E$26/2)</f>
        <v>366564</v>
      </c>
      <c r="S131" s="16">
        <f>S112</f>
        <v>369600</v>
      </c>
      <c r="T131" s="15">
        <f>+S131-R131</f>
        <v>3036</v>
      </c>
      <c r="U131" s="47" t="s">
        <v>174</v>
      </c>
      <c r="V131" s="126"/>
      <c r="W131" s="126"/>
    </row>
    <row r="132" spans="3:23" x14ac:dyDescent="0.25">
      <c r="C132" s="70" t="s">
        <v>36</v>
      </c>
      <c r="E132" s="170">
        <f>E120-E129</f>
        <v>76724.401854208671</v>
      </c>
      <c r="F132" s="125"/>
      <c r="N132" s="1" t="s">
        <v>212</v>
      </c>
      <c r="O132" s="190">
        <f>+T74</f>
        <v>295680</v>
      </c>
      <c r="P132" s="191"/>
      <c r="Q132" s="191">
        <f>(-E68)*12</f>
        <v>-19200</v>
      </c>
      <c r="R132" s="15">
        <f>O132*(1+$E$26)+Q132*(1+$E$26/2)</f>
        <v>290784</v>
      </c>
      <c r="S132" s="35">
        <f>S117</f>
        <v>293760</v>
      </c>
      <c r="T132" s="15">
        <f>+S132-R132</f>
        <v>2976</v>
      </c>
      <c r="U132" s="47" t="s">
        <v>174</v>
      </c>
      <c r="V132" s="124"/>
    </row>
    <row r="133" spans="3:23" x14ac:dyDescent="0.25">
      <c r="C133" s="70" t="s">
        <v>168</v>
      </c>
      <c r="E133" s="170">
        <f>(AB44+AB50)*(1+E27)</f>
        <v>50507.437751998776</v>
      </c>
      <c r="F133" s="125"/>
      <c r="N133" s="11" t="s">
        <v>104</v>
      </c>
      <c r="O133" s="223">
        <f>T75</f>
        <v>508800</v>
      </c>
      <c r="P133" s="192"/>
      <c r="Q133" s="192">
        <f>-F68*12</f>
        <v>-48000</v>
      </c>
      <c r="R133" s="18">
        <f>O133*(1+$E$26)+Q133*(1+$E$26/2)</f>
        <v>485040</v>
      </c>
      <c r="S133" s="19">
        <f>S122</f>
        <v>489599.99999999994</v>
      </c>
      <c r="T133" s="18">
        <f t="shared" ref="T133" si="7">+S133-R133</f>
        <v>4559.9999999999418</v>
      </c>
      <c r="U133" s="47" t="s">
        <v>174</v>
      </c>
    </row>
    <row r="134" spans="3:23" x14ac:dyDescent="0.25">
      <c r="N134" s="20" t="s">
        <v>35</v>
      </c>
      <c r="O134" s="16">
        <f>SUM(O128:O133)</f>
        <v>2264743.549668964</v>
      </c>
      <c r="P134" s="20"/>
      <c r="Q134" s="16">
        <f>SUM(Q129:Q133)</f>
        <v>-153600</v>
      </c>
      <c r="R134" s="16">
        <f>SUM(R128:R133)</f>
        <v>2271604.1006473643</v>
      </c>
      <c r="S134" s="16">
        <f>SUM(S128:S133)</f>
        <v>2150926.0408167797</v>
      </c>
      <c r="T134" s="16">
        <f>SUM(T128:T133)</f>
        <v>-120678.05983058445</v>
      </c>
    </row>
    <row r="135" spans="3:23" x14ac:dyDescent="0.25">
      <c r="T135" s="126"/>
      <c r="U135" s="127"/>
    </row>
    <row r="136" spans="3:23" ht="15.6" x14ac:dyDescent="0.3">
      <c r="C136" s="169" t="s">
        <v>152</v>
      </c>
      <c r="E136" s="170">
        <f>E120-E48</f>
        <v>2100000</v>
      </c>
      <c r="N136" s="47" t="s">
        <v>236</v>
      </c>
      <c r="S136" s="132">
        <f>S134-S132-S131</f>
        <v>1487566.0408167797</v>
      </c>
      <c r="T136" s="128"/>
    </row>
    <row r="137" spans="3:23" x14ac:dyDescent="0.25">
      <c r="N137" s="17"/>
      <c r="O137" s="17"/>
      <c r="P137" s="17"/>
      <c r="Q137" s="17"/>
      <c r="R137" s="17"/>
      <c r="S137" s="126"/>
    </row>
    <row r="138" spans="3:23" ht="15.6" x14ac:dyDescent="0.3">
      <c r="C138" s="69" t="s">
        <v>153</v>
      </c>
      <c r="N138" s="47" t="s">
        <v>237</v>
      </c>
      <c r="S138" s="234">
        <f>F192*(1+E26)+(F193+F194)*(1+E26/2)+F196+F195</f>
        <v>1856697.5</v>
      </c>
      <c r="T138" s="128"/>
    </row>
    <row r="139" spans="3:23" ht="15.6" x14ac:dyDescent="0.3">
      <c r="C139" s="121" t="s">
        <v>31</v>
      </c>
      <c r="E139" s="170">
        <f>S59+S67</f>
        <v>879613.00000000023</v>
      </c>
      <c r="F139" s="184"/>
      <c r="N139" s="47" t="s">
        <v>238</v>
      </c>
      <c r="S139" s="224">
        <f>F200</f>
        <v>1600000</v>
      </c>
      <c r="T139" s="128"/>
    </row>
    <row r="140" spans="3:23" ht="15.6" x14ac:dyDescent="0.3">
      <c r="C140" s="121" t="s">
        <v>160</v>
      </c>
      <c r="E140" s="170">
        <f>Y72</f>
        <v>414420.47201939294</v>
      </c>
      <c r="F140" s="184"/>
      <c r="N140" s="47" t="s">
        <v>239</v>
      </c>
      <c r="S140" s="189">
        <f>S139-S138</f>
        <v>-256697.5</v>
      </c>
      <c r="T140" s="232"/>
      <c r="U140" s="189"/>
    </row>
    <row r="141" spans="3:23" x14ac:dyDescent="0.25">
      <c r="C141" s="121" t="s">
        <v>32</v>
      </c>
      <c r="E141" s="170">
        <f>SUM(Y73:Y75)</f>
        <v>1227888</v>
      </c>
      <c r="S141" s="189"/>
    </row>
    <row r="142" spans="3:23" ht="15.6" x14ac:dyDescent="0.3">
      <c r="C142" s="69" t="s">
        <v>42</v>
      </c>
      <c r="E142" s="171">
        <f>SUM(E139:E141)</f>
        <v>2521921.472019393</v>
      </c>
      <c r="N142" s="47" t="s">
        <v>241</v>
      </c>
      <c r="S142" s="225">
        <f>ROUND((P129+P128)*1.025,0)</f>
        <v>48383</v>
      </c>
      <c r="T142" s="189"/>
    </row>
    <row r="143" spans="3:23" ht="15" customHeight="1" x14ac:dyDescent="0.25">
      <c r="N143" s="47" t="s">
        <v>256</v>
      </c>
      <c r="S143" s="127">
        <f>F193-D159*12</f>
        <v>56700</v>
      </c>
      <c r="T143" s="189"/>
    </row>
    <row r="144" spans="3:23" ht="15" customHeight="1" x14ac:dyDescent="0.3">
      <c r="C144" s="69" t="s">
        <v>43</v>
      </c>
      <c r="E144" s="171">
        <f>E136-E142</f>
        <v>-421921.472019393</v>
      </c>
    </row>
    <row r="145" spans="2:20" x14ac:dyDescent="0.25">
      <c r="S145" s="126"/>
      <c r="T145" s="186"/>
    </row>
    <row r="146" spans="2:20" x14ac:dyDescent="0.25">
      <c r="N146" s="21"/>
      <c r="O146" s="22"/>
      <c r="P146" s="22"/>
      <c r="Q146" s="22"/>
      <c r="R146" s="23" t="s">
        <v>99</v>
      </c>
      <c r="S146" s="126"/>
      <c r="T146" s="189"/>
    </row>
    <row r="147" spans="2:20" x14ac:dyDescent="0.25">
      <c r="C147" s="102" t="s">
        <v>169</v>
      </c>
      <c r="D147" s="102"/>
      <c r="E147" s="102"/>
      <c r="F147" s="102"/>
      <c r="G147" s="102"/>
      <c r="N147" s="24">
        <v>45291</v>
      </c>
      <c r="O147" s="25"/>
      <c r="P147" s="25"/>
      <c r="Q147" s="25"/>
      <c r="R147" s="26">
        <f>E110-E127</f>
        <v>235256.450331036</v>
      </c>
      <c r="S147" s="126"/>
      <c r="T147" s="189"/>
    </row>
    <row r="148" spans="2:20" ht="15.6" x14ac:dyDescent="0.3">
      <c r="C148" s="101"/>
      <c r="D148" s="102"/>
      <c r="E148" s="102"/>
      <c r="F148" s="102"/>
      <c r="G148" s="102"/>
      <c r="N148" s="27" t="s">
        <v>111</v>
      </c>
      <c r="O148" s="25"/>
      <c r="P148" s="28"/>
      <c r="Q148" s="28"/>
      <c r="R148" s="26">
        <f>P89*12*(1+E26/2)</f>
        <v>29519.999999999996</v>
      </c>
      <c r="S148" s="232"/>
    </row>
    <row r="149" spans="2:20" ht="30" x14ac:dyDescent="0.25">
      <c r="C149" s="103" t="s">
        <v>52</v>
      </c>
      <c r="D149" s="104" t="s">
        <v>53</v>
      </c>
      <c r="E149" s="104" t="s">
        <v>54</v>
      </c>
      <c r="F149" s="104" t="s">
        <v>55</v>
      </c>
      <c r="G149" s="104" t="s">
        <v>56</v>
      </c>
      <c r="N149" s="27" t="s">
        <v>100</v>
      </c>
      <c r="O149" s="29"/>
      <c r="P149" s="29"/>
      <c r="Q149" s="29"/>
      <c r="R149" s="26">
        <f>R147*0.05</f>
        <v>11762.822516551802</v>
      </c>
      <c r="S149" s="232"/>
    </row>
    <row r="150" spans="2:20" x14ac:dyDescent="0.25">
      <c r="C150" s="105" t="s">
        <v>164</v>
      </c>
      <c r="D150" s="219">
        <v>500</v>
      </c>
      <c r="E150" s="106" t="s">
        <v>57</v>
      </c>
      <c r="F150" s="103" t="s">
        <v>58</v>
      </c>
      <c r="G150" s="218">
        <v>48944</v>
      </c>
      <c r="N150" s="27" t="s">
        <v>234</v>
      </c>
      <c r="O150" s="29"/>
      <c r="P150" s="29"/>
      <c r="Q150" s="29"/>
      <c r="R150" s="26">
        <f>SUM(R147:R149)</f>
        <v>276539.27284758782</v>
      </c>
      <c r="S150" s="232"/>
    </row>
    <row r="151" spans="2:20" x14ac:dyDescent="0.25">
      <c r="C151" s="105" t="s">
        <v>165</v>
      </c>
      <c r="D151" s="219">
        <v>2400</v>
      </c>
      <c r="E151" s="106" t="s">
        <v>57</v>
      </c>
      <c r="F151" s="103" t="s">
        <v>58</v>
      </c>
      <c r="G151" s="218">
        <v>47118</v>
      </c>
      <c r="H151" s="230">
        <f>PV(1.0455^(1/12)-1,60,-D151)</f>
        <v>128867.16276978278</v>
      </c>
      <c r="N151" s="27"/>
      <c r="O151" s="25"/>
      <c r="P151" s="25"/>
      <c r="Q151" s="25"/>
      <c r="R151" s="26"/>
      <c r="S151" s="126"/>
    </row>
    <row r="152" spans="2:20" x14ac:dyDescent="0.25">
      <c r="N152" s="27" t="s">
        <v>240</v>
      </c>
      <c r="O152" s="25"/>
      <c r="P152" s="28"/>
      <c r="Q152" s="28"/>
      <c r="R152" s="26">
        <f>S143-S142</f>
        <v>8317</v>
      </c>
      <c r="S152" s="232"/>
    </row>
    <row r="153" spans="2:20" ht="15.6" x14ac:dyDescent="0.3">
      <c r="B153" s="69" t="s">
        <v>28</v>
      </c>
      <c r="C153" s="102" t="s">
        <v>192</v>
      </c>
      <c r="N153" s="27" t="s">
        <v>175</v>
      </c>
      <c r="O153" s="25"/>
      <c r="P153" s="25"/>
      <c r="Q153" s="25"/>
      <c r="R153" s="26">
        <f>-T129</f>
        <v>44991.970382986401</v>
      </c>
      <c r="S153" s="232"/>
    </row>
    <row r="154" spans="2:20" x14ac:dyDescent="0.25">
      <c r="N154" s="27" t="s">
        <v>101</v>
      </c>
      <c r="O154" s="25"/>
      <c r="P154" s="30"/>
      <c r="Q154" s="30"/>
      <c r="R154" s="26">
        <f>-SUM(T131:T133)</f>
        <v>-10571.999999999942</v>
      </c>
      <c r="S154" s="232"/>
      <c r="T154" s="231"/>
    </row>
    <row r="155" spans="2:20" ht="15.6" x14ac:dyDescent="0.3">
      <c r="C155" s="283" t="s">
        <v>27</v>
      </c>
      <c r="D155" s="284"/>
      <c r="E155" s="284"/>
      <c r="F155" s="284"/>
      <c r="G155" s="284"/>
      <c r="H155" s="285"/>
      <c r="N155" s="27" t="s">
        <v>108</v>
      </c>
      <c r="O155" s="25"/>
      <c r="P155" s="30"/>
      <c r="Q155" s="30"/>
      <c r="R155" s="26">
        <f>-T128</f>
        <v>108048.8914282542</v>
      </c>
      <c r="S155" s="232"/>
    </row>
    <row r="156" spans="2:20" x14ac:dyDescent="0.25">
      <c r="N156" s="27" t="s">
        <v>109</v>
      </c>
      <c r="O156" s="25"/>
      <c r="P156" s="30"/>
      <c r="Q156" s="30"/>
      <c r="R156" s="26">
        <f>-T130</f>
        <v>-21790.801980656222</v>
      </c>
      <c r="S156" s="232"/>
    </row>
    <row r="157" spans="2:20" x14ac:dyDescent="0.25">
      <c r="C157" s="70" t="s">
        <v>88</v>
      </c>
      <c r="N157" s="27" t="s">
        <v>69</v>
      </c>
      <c r="O157" s="25"/>
      <c r="P157" s="39"/>
      <c r="Q157" s="39"/>
      <c r="R157" s="26">
        <f>F196+(S132+S131)</f>
        <v>-36640</v>
      </c>
      <c r="S157" s="232"/>
      <c r="T157" s="231"/>
    </row>
    <row r="158" spans="2:20" ht="30" x14ac:dyDescent="0.25">
      <c r="C158" s="103" t="s">
        <v>52</v>
      </c>
      <c r="D158" s="104" t="s">
        <v>53</v>
      </c>
      <c r="E158" s="104" t="s">
        <v>54</v>
      </c>
      <c r="F158" s="104" t="s">
        <v>55</v>
      </c>
      <c r="G158" s="104" t="s">
        <v>56</v>
      </c>
      <c r="N158" s="31" t="s">
        <v>233</v>
      </c>
      <c r="O158" s="25"/>
      <c r="P158" s="25"/>
      <c r="Q158" s="25"/>
      <c r="R158" s="26">
        <f>S140</f>
        <v>-256697.5</v>
      </c>
      <c r="S158" s="232"/>
    </row>
    <row r="159" spans="2:20" x14ac:dyDescent="0.25">
      <c r="C159" s="133" t="s">
        <v>128</v>
      </c>
      <c r="D159" s="134">
        <f>P89</f>
        <v>2400</v>
      </c>
      <c r="E159" s="135" t="s">
        <v>170</v>
      </c>
      <c r="F159" s="136" t="str">
        <f>N89</f>
        <v>1/1/2024</v>
      </c>
      <c r="G159" s="137">
        <f>O89</f>
        <v>45869</v>
      </c>
      <c r="N159" s="32" t="s">
        <v>102</v>
      </c>
      <c r="O159" s="33"/>
      <c r="P159" s="33"/>
      <c r="Q159" s="33"/>
      <c r="R159" s="34">
        <f>R160-SUM(R150:R158)</f>
        <v>237.12650504801422</v>
      </c>
      <c r="S159" s="126"/>
    </row>
    <row r="160" spans="2:20" x14ac:dyDescent="0.25">
      <c r="C160" s="133"/>
      <c r="D160" s="134"/>
      <c r="E160" s="135"/>
      <c r="F160" s="138"/>
      <c r="G160" s="135"/>
      <c r="N160" s="24">
        <v>45657</v>
      </c>
      <c r="O160" s="25"/>
      <c r="P160" s="25"/>
      <c r="Q160" s="25"/>
      <c r="R160" s="26">
        <f>F200-S136</f>
        <v>112433.95918322029</v>
      </c>
    </row>
    <row r="161" spans="2:15" x14ac:dyDescent="0.25">
      <c r="C161" s="133"/>
      <c r="D161" s="134"/>
      <c r="E161" s="135"/>
      <c r="F161" s="138"/>
      <c r="G161" s="135"/>
    </row>
    <row r="162" spans="2:15" x14ac:dyDescent="0.25">
      <c r="C162" s="133"/>
      <c r="D162" s="134"/>
      <c r="E162" s="135"/>
      <c r="F162" s="138"/>
      <c r="G162" s="135"/>
    </row>
    <row r="163" spans="2:15" x14ac:dyDescent="0.25">
      <c r="C163" s="133"/>
      <c r="D163" s="134"/>
      <c r="E163" s="135"/>
      <c r="F163" s="138"/>
      <c r="G163" s="135"/>
    </row>
    <row r="165" spans="2:15" x14ac:dyDescent="0.25">
      <c r="C165" s="70" t="s">
        <v>59</v>
      </c>
      <c r="G165" s="122">
        <f>E133+D159*12</f>
        <v>79307.437751998776</v>
      </c>
    </row>
    <row r="166" spans="2:15" x14ac:dyDescent="0.25">
      <c r="C166" s="70" t="s">
        <v>60</v>
      </c>
      <c r="G166" s="122">
        <f>E133+(-E144)</f>
        <v>472428.90977139177</v>
      </c>
      <c r="H166" s="111"/>
    </row>
    <row r="167" spans="2:15" x14ac:dyDescent="0.25">
      <c r="O167" s="189"/>
    </row>
    <row r="169" spans="2:15" ht="15.6" x14ac:dyDescent="0.3">
      <c r="B169" s="69"/>
    </row>
    <row r="170" spans="2:15" x14ac:dyDescent="0.25">
      <c r="C170" s="148" t="s">
        <v>158</v>
      </c>
    </row>
    <row r="171" spans="2:15" x14ac:dyDescent="0.25">
      <c r="C171" s="174" t="s">
        <v>154</v>
      </c>
    </row>
    <row r="172" spans="2:15" x14ac:dyDescent="0.25">
      <c r="C172" s="173" t="s">
        <v>219</v>
      </c>
    </row>
    <row r="173" spans="2:15" x14ac:dyDescent="0.25">
      <c r="C173" s="173" t="s">
        <v>218</v>
      </c>
    </row>
    <row r="174" spans="2:15" x14ac:dyDescent="0.25">
      <c r="C174" s="173" t="s">
        <v>217</v>
      </c>
      <c r="D174" s="100"/>
    </row>
    <row r="176" spans="2:15" ht="15.6" x14ac:dyDescent="0.3">
      <c r="C176" s="220" t="s">
        <v>220</v>
      </c>
      <c r="D176" s="100"/>
    </row>
    <row r="178" spans="3:18" ht="15.6" x14ac:dyDescent="0.3">
      <c r="C178" s="97" t="s">
        <v>18</v>
      </c>
      <c r="D178" s="97" t="s">
        <v>19</v>
      </c>
      <c r="E178" s="97" t="s">
        <v>15</v>
      </c>
      <c r="F178" s="97" t="s">
        <v>105</v>
      </c>
      <c r="G178" s="107" t="s">
        <v>23</v>
      </c>
      <c r="H178" s="107" t="s">
        <v>46</v>
      </c>
    </row>
    <row r="179" spans="3:18" x14ac:dyDescent="0.25">
      <c r="C179" s="99">
        <v>1</v>
      </c>
      <c r="D179" s="108" t="s">
        <v>20</v>
      </c>
      <c r="E179" s="99">
        <f>D54+1</f>
        <v>61</v>
      </c>
      <c r="F179" s="99" t="s">
        <v>24</v>
      </c>
      <c r="G179" s="109">
        <v>21</v>
      </c>
      <c r="H179" s="110">
        <v>154500</v>
      </c>
    </row>
    <row r="180" spans="3:18" x14ac:dyDescent="0.25">
      <c r="C180" s="98">
        <v>2</v>
      </c>
      <c r="D180" s="99" t="s">
        <v>171</v>
      </c>
      <c r="E180" s="99">
        <f>E54+1</f>
        <v>41</v>
      </c>
      <c r="F180" s="99" t="s">
        <v>24</v>
      </c>
      <c r="G180" s="109" t="s">
        <v>24</v>
      </c>
      <c r="H180" s="110">
        <v>110000</v>
      </c>
    </row>
    <row r="181" spans="3:18" x14ac:dyDescent="0.25">
      <c r="C181" s="98">
        <v>3</v>
      </c>
      <c r="D181" s="99" t="s">
        <v>21</v>
      </c>
      <c r="E181" s="99">
        <f>D61+1</f>
        <v>61</v>
      </c>
      <c r="F181" s="110">
        <v>2400</v>
      </c>
      <c r="G181" s="109" t="s">
        <v>24</v>
      </c>
      <c r="H181" s="109" t="s">
        <v>24</v>
      </c>
    </row>
    <row r="182" spans="3:18" x14ac:dyDescent="0.25">
      <c r="C182" s="98">
        <v>4</v>
      </c>
      <c r="D182" s="99" t="s">
        <v>70</v>
      </c>
      <c r="E182" s="99">
        <f>D66+1</f>
        <v>62</v>
      </c>
      <c r="F182" s="110">
        <f>D68</f>
        <v>2200</v>
      </c>
      <c r="G182" s="99" t="s">
        <v>25</v>
      </c>
      <c r="H182" s="99" t="s">
        <v>25</v>
      </c>
    </row>
    <row r="183" spans="3:18" x14ac:dyDescent="0.25">
      <c r="C183" s="98">
        <v>5</v>
      </c>
      <c r="D183" s="99" t="s">
        <v>70</v>
      </c>
      <c r="E183" s="99">
        <f>E66+1</f>
        <v>56</v>
      </c>
      <c r="F183" s="110">
        <f>E68</f>
        <v>1600</v>
      </c>
      <c r="G183" s="99" t="s">
        <v>25</v>
      </c>
      <c r="H183" s="99" t="s">
        <v>25</v>
      </c>
    </row>
    <row r="184" spans="3:18" x14ac:dyDescent="0.25">
      <c r="C184" s="98">
        <v>6</v>
      </c>
      <c r="D184" s="99" t="s">
        <v>21</v>
      </c>
      <c r="E184" s="99">
        <f>F66+1</f>
        <v>77</v>
      </c>
      <c r="F184" s="110">
        <f>F68</f>
        <v>4000</v>
      </c>
      <c r="G184" s="99" t="s">
        <v>25</v>
      </c>
      <c r="H184" s="99" t="s">
        <v>25</v>
      </c>
    </row>
    <row r="186" spans="3:18" ht="15.6" x14ac:dyDescent="0.3">
      <c r="C186" s="73" t="s">
        <v>221</v>
      </c>
    </row>
    <row r="187" spans="3:18" x14ac:dyDescent="0.25">
      <c r="C187" s="70" t="s">
        <v>193</v>
      </c>
    </row>
    <row r="189" spans="3:18" ht="15.6" x14ac:dyDescent="0.25">
      <c r="C189" s="221" t="s">
        <v>222</v>
      </c>
      <c r="D189" s="115"/>
      <c r="E189" s="115"/>
      <c r="F189" s="115"/>
    </row>
    <row r="190" spans="3:18" ht="15.6" x14ac:dyDescent="0.3">
      <c r="C190" s="73"/>
      <c r="E190" s="115"/>
      <c r="F190" s="115"/>
    </row>
    <row r="191" spans="3:18" ht="15.6" x14ac:dyDescent="0.25">
      <c r="C191" s="296"/>
      <c r="D191" s="297"/>
      <c r="E191" s="156"/>
      <c r="F191" s="152">
        <v>2024</v>
      </c>
    </row>
    <row r="192" spans="3:18" x14ac:dyDescent="0.25">
      <c r="C192" s="294" t="s">
        <v>62</v>
      </c>
      <c r="D192" s="295"/>
      <c r="E192" s="159"/>
      <c r="F192" s="153">
        <f>E110</f>
        <v>2500000</v>
      </c>
      <c r="N192" s="126"/>
      <c r="O192" s="126"/>
      <c r="P192" s="126"/>
      <c r="Q192" s="126"/>
      <c r="R192" s="126"/>
    </row>
    <row r="193" spans="2:20" x14ac:dyDescent="0.25">
      <c r="C193" s="157" t="s">
        <v>235</v>
      </c>
      <c r="D193" s="154"/>
      <c r="E193" s="150"/>
      <c r="F193" s="153">
        <v>85500</v>
      </c>
      <c r="G193" s="92"/>
    </row>
    <row r="194" spans="2:20" x14ac:dyDescent="0.25">
      <c r="C194" s="294" t="s">
        <v>63</v>
      </c>
      <c r="D194" s="295"/>
      <c r="E194" s="159"/>
      <c r="F194" s="153">
        <f>-SUM(F182:F184)*12</f>
        <v>-93600</v>
      </c>
    </row>
    <row r="195" spans="2:20" x14ac:dyDescent="0.25">
      <c r="C195" s="294" t="s">
        <v>64</v>
      </c>
      <c r="D195" s="295"/>
      <c r="E195" s="159"/>
      <c r="F195" s="153">
        <v>-60000</v>
      </c>
    </row>
    <row r="196" spans="2:20" x14ac:dyDescent="0.25">
      <c r="C196" s="158" t="s">
        <v>156</v>
      </c>
      <c r="D196" s="155"/>
      <c r="E196" s="150"/>
      <c r="F196" s="153">
        <v>-700000</v>
      </c>
    </row>
    <row r="197" spans="2:20" x14ac:dyDescent="0.25">
      <c r="C197" s="294" t="s">
        <v>65</v>
      </c>
      <c r="D197" s="295"/>
      <c r="E197" s="159"/>
      <c r="F197" s="153">
        <v>-65120</v>
      </c>
    </row>
    <row r="198" spans="2:20" x14ac:dyDescent="0.25">
      <c r="C198" s="315" t="s">
        <v>66</v>
      </c>
      <c r="D198" s="316"/>
      <c r="E198" s="150"/>
      <c r="F198" s="153">
        <v>80000</v>
      </c>
    </row>
    <row r="199" spans="2:20" x14ac:dyDescent="0.25">
      <c r="C199" s="294" t="s">
        <v>67</v>
      </c>
      <c r="D199" s="295"/>
      <c r="E199" s="159"/>
      <c r="F199" s="153">
        <f>F200-SUM(F192:F198)</f>
        <v>-146780</v>
      </c>
    </row>
    <row r="200" spans="2:20" x14ac:dyDescent="0.25">
      <c r="C200" s="317" t="s">
        <v>68</v>
      </c>
      <c r="D200" s="318"/>
      <c r="E200" s="151"/>
      <c r="F200" s="153">
        <v>1600000</v>
      </c>
    </row>
    <row r="201" spans="2:20" x14ac:dyDescent="0.25">
      <c r="C201" s="102"/>
      <c r="D201" s="102"/>
      <c r="E201" s="102"/>
      <c r="F201" s="116"/>
    </row>
    <row r="202" spans="2:20" x14ac:dyDescent="0.25">
      <c r="C202" s="117"/>
      <c r="D202" s="102"/>
      <c r="E202" s="102"/>
      <c r="F202" s="115"/>
    </row>
    <row r="204" spans="2:20" ht="15.6" customHeight="1" x14ac:dyDescent="0.3">
      <c r="B204" s="69" t="s">
        <v>37</v>
      </c>
      <c r="C204" s="70" t="s">
        <v>223</v>
      </c>
    </row>
    <row r="206" spans="2:20" ht="15.6" x14ac:dyDescent="0.3">
      <c r="C206" s="283" t="s">
        <v>27</v>
      </c>
      <c r="D206" s="284"/>
      <c r="E206" s="284"/>
      <c r="F206" s="284"/>
      <c r="G206" s="284"/>
      <c r="H206" s="285"/>
      <c r="O206" s="143"/>
      <c r="R206" s="17"/>
      <c r="S206" s="17"/>
      <c r="T206" s="17"/>
    </row>
    <row r="207" spans="2:20" ht="15.6" x14ac:dyDescent="0.3">
      <c r="C207" s="222"/>
      <c r="D207" s="222"/>
      <c r="E207" s="222"/>
      <c r="F207" s="222"/>
      <c r="G207" s="222"/>
      <c r="H207" s="222"/>
      <c r="O207" s="143"/>
      <c r="R207" s="17"/>
      <c r="S207" s="17"/>
      <c r="T207" s="17"/>
    </row>
    <row r="208" spans="2:20" ht="15.6" x14ac:dyDescent="0.3">
      <c r="C208" s="72"/>
      <c r="D208" s="72"/>
      <c r="E208" s="164"/>
      <c r="F208" s="164"/>
      <c r="G208" s="164"/>
      <c r="H208" s="164"/>
      <c r="I208" s="164"/>
      <c r="O208" s="143"/>
      <c r="R208" s="17"/>
      <c r="S208" s="17"/>
      <c r="T208" s="17"/>
    </row>
    <row r="209" spans="3:20" x14ac:dyDescent="0.25">
      <c r="C209" s="70" t="s">
        <v>61</v>
      </c>
      <c r="G209" s="111">
        <f>E110-E127</f>
        <v>235256.450331036</v>
      </c>
      <c r="O209" s="143"/>
      <c r="R209" s="17"/>
      <c r="S209" s="17"/>
      <c r="T209" s="17"/>
    </row>
    <row r="210" spans="3:20" x14ac:dyDescent="0.25">
      <c r="O210" s="143"/>
      <c r="R210" s="17"/>
      <c r="S210" s="17"/>
      <c r="T210" s="17"/>
    </row>
    <row r="211" spans="3:20" x14ac:dyDescent="0.25">
      <c r="C211" s="70" t="s">
        <v>38</v>
      </c>
      <c r="O211" s="143"/>
      <c r="R211" s="17"/>
      <c r="S211" s="17"/>
      <c r="T211" s="17"/>
    </row>
    <row r="212" spans="3:20" x14ac:dyDescent="0.25">
      <c r="C212" s="129" t="s">
        <v>39</v>
      </c>
      <c r="D212" s="130"/>
      <c r="E212" s="130"/>
      <c r="F212" s="131"/>
      <c r="G212" s="122">
        <f>G209*E26</f>
        <v>11762.822516551802</v>
      </c>
      <c r="O212" s="143"/>
      <c r="R212" s="17"/>
      <c r="S212" s="17"/>
      <c r="T212" s="17"/>
    </row>
    <row r="213" spans="3:20" x14ac:dyDescent="0.25">
      <c r="C213" s="129" t="s">
        <v>242</v>
      </c>
      <c r="D213" s="130"/>
      <c r="E213" s="130"/>
      <c r="F213" s="131"/>
      <c r="G213" s="122">
        <f>R148</f>
        <v>29519.999999999996</v>
      </c>
      <c r="O213" s="143"/>
      <c r="R213" s="17"/>
      <c r="S213" s="17"/>
      <c r="T213" s="17"/>
    </row>
    <row r="214" spans="3:20" x14ac:dyDescent="0.25">
      <c r="C214" s="129" t="s">
        <v>257</v>
      </c>
      <c r="D214" s="130"/>
      <c r="E214" s="130"/>
      <c r="F214" s="131"/>
      <c r="G214" s="122">
        <f>R152</f>
        <v>8317</v>
      </c>
      <c r="O214" s="143"/>
      <c r="R214" s="17"/>
      <c r="S214" s="17"/>
      <c r="T214" s="17"/>
    </row>
    <row r="215" spans="3:20" x14ac:dyDescent="0.25">
      <c r="C215" s="129" t="s">
        <v>40</v>
      </c>
      <c r="D215" s="130"/>
      <c r="E215" s="130"/>
      <c r="F215" s="131"/>
      <c r="G215" s="122">
        <f>R158</f>
        <v>-256697.5</v>
      </c>
    </row>
    <row r="216" spans="3:20" x14ac:dyDescent="0.25">
      <c r="C216" s="129" t="s">
        <v>175</v>
      </c>
      <c r="D216" s="130"/>
      <c r="E216" s="130"/>
      <c r="F216" s="131"/>
      <c r="G216" s="122">
        <f>R153</f>
        <v>44991.970382986401</v>
      </c>
    </row>
    <row r="217" spans="3:20" x14ac:dyDescent="0.25">
      <c r="C217" s="129" t="s">
        <v>41</v>
      </c>
      <c r="D217" s="130"/>
      <c r="E217" s="130"/>
      <c r="F217" s="131"/>
      <c r="G217" s="122">
        <f>R155+R156</f>
        <v>86258.089447597973</v>
      </c>
    </row>
    <row r="218" spans="3:20" x14ac:dyDescent="0.25">
      <c r="C218" s="129" t="s">
        <v>228</v>
      </c>
      <c r="D218" s="130"/>
      <c r="E218" s="130"/>
      <c r="F218" s="131"/>
      <c r="G218" s="122">
        <f>R154</f>
        <v>-10571.999999999942</v>
      </c>
    </row>
    <row r="219" spans="3:20" x14ac:dyDescent="0.25">
      <c r="C219" s="129" t="s">
        <v>69</v>
      </c>
      <c r="D219" s="130"/>
      <c r="E219" s="130"/>
      <c r="F219" s="131"/>
      <c r="G219" s="122">
        <f>R157</f>
        <v>-36640</v>
      </c>
    </row>
    <row r="220" spans="3:20" x14ac:dyDescent="0.25">
      <c r="C220" s="129" t="s">
        <v>243</v>
      </c>
      <c r="D220" s="130"/>
      <c r="E220" s="130"/>
      <c r="F220" s="131"/>
      <c r="G220" s="122">
        <f>R159</f>
        <v>237.12650504801422</v>
      </c>
    </row>
    <row r="222" spans="3:20" x14ac:dyDescent="0.25">
      <c r="C222" s="70" t="s">
        <v>149</v>
      </c>
      <c r="G222" s="111">
        <f>SUM(G209:G220)</f>
        <v>112433.95918322023</v>
      </c>
    </row>
    <row r="239" spans="13:29" s="70" customFormat="1" x14ac:dyDescent="0.25"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1" spans="13:29" s="70" customFormat="1" x14ac:dyDescent="0.25"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spans="13:29" s="70" customFormat="1" x14ac:dyDescent="0.25"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spans="13:29" s="70" customFormat="1" x14ac:dyDescent="0.25"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spans="13:29" s="70" customFormat="1" x14ac:dyDescent="0.25"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</row>
    <row r="245" spans="13:29" s="70" customFormat="1" x14ac:dyDescent="0.25"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</row>
    <row r="246" spans="13:29" s="70" customFormat="1" x14ac:dyDescent="0.25"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</row>
    <row r="247" spans="13:29" s="70" customFormat="1" x14ac:dyDescent="0.25"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</row>
    <row r="249" spans="13:29" s="70" customFormat="1" x14ac:dyDescent="0.25"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</row>
    <row r="250" spans="13:29" s="70" customFormat="1" x14ac:dyDescent="0.25"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</row>
  </sheetData>
  <mergeCells count="32">
    <mergeCell ref="C206:H206"/>
    <mergeCell ref="C33:D33"/>
    <mergeCell ref="E33:F33"/>
    <mergeCell ref="G33:H33"/>
    <mergeCell ref="C34:D36"/>
    <mergeCell ref="E34:F34"/>
    <mergeCell ref="G34:H34"/>
    <mergeCell ref="E35:F35"/>
    <mergeCell ref="G35:H35"/>
    <mergeCell ref="E36:F36"/>
    <mergeCell ref="G36:H36"/>
    <mergeCell ref="C198:D198"/>
    <mergeCell ref="C199:D199"/>
    <mergeCell ref="C200:D200"/>
    <mergeCell ref="C194:D194"/>
    <mergeCell ref="C195:D195"/>
    <mergeCell ref="C197:D197"/>
    <mergeCell ref="C191:D191"/>
    <mergeCell ref="C192:D192"/>
    <mergeCell ref="N70:T70"/>
    <mergeCell ref="C26:D26"/>
    <mergeCell ref="C30:D30"/>
    <mergeCell ref="C31:D31"/>
    <mergeCell ref="E31:F31"/>
    <mergeCell ref="G31:H31"/>
    <mergeCell ref="C47:D47"/>
    <mergeCell ref="W70:Y70"/>
    <mergeCell ref="C155:H155"/>
    <mergeCell ref="E32:F32"/>
    <mergeCell ref="G32:H32"/>
    <mergeCell ref="C110:D110"/>
    <mergeCell ref="C37:D37"/>
  </mergeCells>
  <phoneticPr fontId="30" type="noConversion"/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8586-2672-4A49-B75F-C970FD30DE48}">
  <dimension ref="A1:AN1048547"/>
  <sheetViews>
    <sheetView topLeftCell="D1" zoomScale="90" zoomScaleNormal="90" workbookViewId="0">
      <selection activeCell="N87" sqref="N87"/>
    </sheetView>
  </sheetViews>
  <sheetFormatPr defaultColWidth="8.88671875" defaultRowHeight="15.6" x14ac:dyDescent="0.3"/>
  <cols>
    <col min="1" max="1" width="3.5546875" style="336" customWidth="1"/>
    <col min="2" max="2" width="11.109375" style="336" customWidth="1"/>
    <col min="3" max="3" width="11.44140625" style="336" customWidth="1"/>
    <col min="4" max="5" width="18.5546875" style="336" customWidth="1"/>
    <col min="6" max="6" width="19.44140625" style="336" customWidth="1"/>
    <col min="7" max="8" width="12.88671875" style="336" customWidth="1"/>
    <col min="9" max="9" width="8.88671875" style="336"/>
    <col min="10" max="10" width="2.5546875" style="336" customWidth="1"/>
    <col min="11" max="11" width="27.33203125" style="335" customWidth="1"/>
    <col min="12" max="12" width="26" style="335" customWidth="1"/>
    <col min="13" max="13" width="25.44140625" style="335" customWidth="1"/>
    <col min="14" max="14" width="26.109375" style="335" customWidth="1"/>
    <col min="15" max="15" width="14.44140625" style="335" bestFit="1" customWidth="1"/>
    <col min="16" max="16" width="23.88671875" style="335" bestFit="1" customWidth="1"/>
    <col min="17" max="17" width="11.33203125" style="335" customWidth="1"/>
    <col min="18" max="18" width="13.109375" style="335" bestFit="1" customWidth="1"/>
    <col min="19" max="19" width="8.88671875" style="335"/>
    <col min="20" max="20" width="15" style="335" bestFit="1" customWidth="1"/>
    <col min="21" max="26" width="8.88671875" style="335"/>
    <col min="27" max="30" width="8.88671875" style="236"/>
    <col min="31" max="16384" width="8.88671875" style="334"/>
  </cols>
  <sheetData>
    <row r="1" spans="1:40" x14ac:dyDescent="0.3">
      <c r="A1" s="428"/>
      <c r="B1" s="358" t="s">
        <v>590</v>
      </c>
      <c r="C1" s="336" t="s">
        <v>589</v>
      </c>
      <c r="K1" s="347" t="s">
        <v>588</v>
      </c>
    </row>
    <row r="2" spans="1:40" x14ac:dyDescent="0.3">
      <c r="A2" s="428"/>
      <c r="B2" s="384"/>
      <c r="C2" s="336" t="s">
        <v>587</v>
      </c>
      <c r="K2" s="347" t="s">
        <v>586</v>
      </c>
    </row>
    <row r="3" spans="1:40" x14ac:dyDescent="0.3">
      <c r="K3" s="341"/>
    </row>
    <row r="4" spans="1:40" x14ac:dyDescent="0.3">
      <c r="C4" s="419" t="s">
        <v>585</v>
      </c>
      <c r="K4" s="347"/>
    </row>
    <row r="5" spans="1:40" x14ac:dyDescent="0.3">
      <c r="C5" s="417" t="s">
        <v>584</v>
      </c>
      <c r="D5" s="416"/>
      <c r="E5" s="409">
        <v>55</v>
      </c>
      <c r="F5" s="408"/>
      <c r="K5" s="348"/>
    </row>
    <row r="6" spans="1:40" x14ac:dyDescent="0.3">
      <c r="C6" s="427" t="s">
        <v>583</v>
      </c>
      <c r="D6" s="426"/>
      <c r="E6" s="425" t="s">
        <v>582</v>
      </c>
      <c r="F6" s="424"/>
      <c r="K6" s="348"/>
    </row>
    <row r="7" spans="1:40" x14ac:dyDescent="0.3">
      <c r="C7" s="423"/>
      <c r="D7" s="422"/>
      <c r="E7" s="421"/>
      <c r="F7" s="420"/>
      <c r="K7" s="348"/>
    </row>
    <row r="8" spans="1:40" x14ac:dyDescent="0.3">
      <c r="C8" s="417" t="s">
        <v>581</v>
      </c>
      <c r="D8" s="416"/>
      <c r="E8" s="409" t="s">
        <v>580</v>
      </c>
      <c r="F8" s="408"/>
      <c r="K8" s="348"/>
    </row>
    <row r="9" spans="1:40" x14ac:dyDescent="0.3">
      <c r="C9" s="417" t="s">
        <v>579</v>
      </c>
      <c r="D9" s="416"/>
      <c r="E9" s="409" t="s">
        <v>578</v>
      </c>
      <c r="F9" s="408"/>
      <c r="K9" s="348"/>
    </row>
    <row r="10" spans="1:40" x14ac:dyDescent="0.3">
      <c r="C10" s="417" t="s">
        <v>453</v>
      </c>
      <c r="D10" s="416"/>
      <c r="E10" s="409">
        <v>65</v>
      </c>
      <c r="F10" s="408"/>
      <c r="K10" s="348"/>
    </row>
    <row r="11" spans="1:40" x14ac:dyDescent="0.3">
      <c r="C11" s="417" t="s">
        <v>577</v>
      </c>
      <c r="D11" s="416"/>
      <c r="E11" s="409" t="s">
        <v>10</v>
      </c>
      <c r="F11" s="408"/>
      <c r="K11" s="348"/>
    </row>
    <row r="12" spans="1:40" x14ac:dyDescent="0.3">
      <c r="C12" s="379"/>
      <c r="D12" s="379"/>
      <c r="E12" s="379"/>
      <c r="F12" s="379"/>
      <c r="K12" s="348"/>
    </row>
    <row r="13" spans="1:40" x14ac:dyDescent="0.3">
      <c r="C13" s="336" t="s">
        <v>576</v>
      </c>
      <c r="K13" s="335" t="s">
        <v>575</v>
      </c>
    </row>
    <row r="14" spans="1:40" x14ac:dyDescent="0.3">
      <c r="K14" s="335" t="s">
        <v>574</v>
      </c>
    </row>
    <row r="15" spans="1:40" x14ac:dyDescent="0.3">
      <c r="C15" s="419" t="s">
        <v>573</v>
      </c>
    </row>
    <row r="16" spans="1:40" ht="15.6" customHeight="1" x14ac:dyDescent="0.3">
      <c r="C16" s="417" t="s">
        <v>572</v>
      </c>
      <c r="D16" s="416"/>
      <c r="E16" s="418">
        <v>29252</v>
      </c>
      <c r="K16" s="414" t="s">
        <v>554</v>
      </c>
      <c r="L16" s="402" t="s">
        <v>567</v>
      </c>
      <c r="M16" s="402" t="s">
        <v>566</v>
      </c>
      <c r="N16" s="402" t="s">
        <v>565</v>
      </c>
      <c r="S16" s="412"/>
      <c r="T16" s="412"/>
      <c r="U16" s="412"/>
      <c r="V16" s="412"/>
      <c r="W16" s="412"/>
      <c r="X16" s="412"/>
      <c r="Y16" s="412"/>
      <c r="Z16" s="412"/>
      <c r="AA16" s="411"/>
      <c r="AB16" s="411"/>
      <c r="AC16" s="411"/>
      <c r="AD16" s="411"/>
      <c r="AE16" s="410"/>
      <c r="AF16" s="410"/>
      <c r="AG16" s="410"/>
      <c r="AH16" s="410"/>
      <c r="AI16" s="410"/>
      <c r="AJ16" s="410"/>
      <c r="AK16" s="410"/>
      <c r="AL16" s="410"/>
      <c r="AM16" s="410"/>
      <c r="AN16" s="410"/>
    </row>
    <row r="17" spans="3:40" x14ac:dyDescent="0.3">
      <c r="C17" s="417" t="s">
        <v>571</v>
      </c>
      <c r="D17" s="416"/>
      <c r="E17" s="415">
        <v>45323</v>
      </c>
      <c r="K17" s="414"/>
      <c r="L17" s="402"/>
      <c r="M17" s="402"/>
      <c r="N17" s="402"/>
      <c r="S17" s="412"/>
      <c r="T17" s="412"/>
      <c r="U17" s="412"/>
      <c r="V17" s="412"/>
      <c r="W17" s="412"/>
      <c r="X17" s="412"/>
      <c r="Y17" s="412"/>
      <c r="Z17" s="412"/>
      <c r="AA17" s="411"/>
      <c r="AB17" s="411"/>
      <c r="AC17" s="411"/>
      <c r="AD17" s="411"/>
      <c r="AE17" s="410"/>
      <c r="AF17" s="410"/>
      <c r="AG17" s="410"/>
      <c r="AH17" s="410"/>
      <c r="AI17" s="410"/>
      <c r="AJ17" s="410"/>
      <c r="AK17" s="410"/>
      <c r="AL17" s="410"/>
      <c r="AM17" s="410"/>
      <c r="AN17" s="410"/>
    </row>
    <row r="18" spans="3:40" x14ac:dyDescent="0.3">
      <c r="C18" s="366" t="s">
        <v>208</v>
      </c>
      <c r="D18" s="364"/>
      <c r="E18" s="415" t="s">
        <v>209</v>
      </c>
      <c r="K18" s="414"/>
      <c r="L18" s="402"/>
      <c r="M18" s="402"/>
      <c r="N18" s="402"/>
      <c r="S18" s="412"/>
      <c r="T18" s="412"/>
      <c r="U18" s="412"/>
      <c r="V18" s="412"/>
      <c r="W18" s="412"/>
      <c r="X18" s="412"/>
      <c r="Y18" s="412"/>
      <c r="Z18" s="412"/>
      <c r="AA18" s="411"/>
      <c r="AB18" s="411"/>
      <c r="AC18" s="411"/>
      <c r="AD18" s="411"/>
      <c r="AE18" s="410"/>
      <c r="AF18" s="410"/>
      <c r="AG18" s="410"/>
      <c r="AH18" s="410"/>
      <c r="AI18" s="410"/>
      <c r="AJ18" s="410"/>
      <c r="AK18" s="410"/>
      <c r="AL18" s="410"/>
      <c r="AM18" s="410"/>
      <c r="AN18" s="410"/>
    </row>
    <row r="19" spans="3:40" x14ac:dyDescent="0.3">
      <c r="C19" s="366" t="s">
        <v>570</v>
      </c>
      <c r="D19" s="364"/>
      <c r="E19" s="413">
        <v>23</v>
      </c>
      <c r="K19" s="401">
        <v>45292</v>
      </c>
      <c r="L19" s="400">
        <f>(1+D28/2)^2-1</f>
        <v>3.3475559999999849E-2</v>
      </c>
      <c r="M19" s="400">
        <f>(1+E28/2)^2-1</f>
        <v>3.2967322500000229E-2</v>
      </c>
      <c r="N19" s="400">
        <f>(1+F28/2)^2-1</f>
        <v>1.6366422500000199E-2</v>
      </c>
      <c r="S19" s="412"/>
      <c r="T19" s="412"/>
      <c r="U19" s="412"/>
      <c r="V19" s="412"/>
      <c r="W19" s="412"/>
      <c r="X19" s="412"/>
      <c r="Y19" s="412"/>
      <c r="Z19" s="412"/>
      <c r="AA19" s="411"/>
      <c r="AB19" s="411"/>
      <c r="AC19" s="411"/>
      <c r="AD19" s="411"/>
      <c r="AE19" s="410"/>
      <c r="AF19" s="410"/>
      <c r="AG19" s="410"/>
      <c r="AH19" s="410"/>
      <c r="AI19" s="410"/>
      <c r="AJ19" s="410"/>
      <c r="AK19" s="410"/>
      <c r="AL19" s="410"/>
      <c r="AM19" s="410"/>
      <c r="AN19" s="410"/>
    </row>
    <row r="20" spans="3:40" x14ac:dyDescent="0.3">
      <c r="C20" s="409" t="s">
        <v>569</v>
      </c>
      <c r="D20" s="408"/>
      <c r="E20" s="407">
        <v>17500</v>
      </c>
      <c r="S20" s="412"/>
      <c r="T20" s="412"/>
      <c r="U20" s="412"/>
      <c r="V20" s="412"/>
      <c r="W20" s="412"/>
      <c r="X20" s="412"/>
      <c r="Y20" s="412"/>
      <c r="Z20" s="412"/>
      <c r="AA20" s="411"/>
      <c r="AB20" s="411"/>
      <c r="AC20" s="411"/>
      <c r="AD20" s="411"/>
      <c r="AE20" s="410"/>
      <c r="AF20" s="410"/>
      <c r="AG20" s="410"/>
      <c r="AH20" s="410"/>
      <c r="AI20" s="410"/>
      <c r="AJ20" s="410"/>
      <c r="AK20" s="410"/>
      <c r="AL20" s="410"/>
      <c r="AM20" s="410"/>
      <c r="AN20" s="410"/>
    </row>
    <row r="21" spans="3:40" x14ac:dyDescent="0.3">
      <c r="C21" s="409" t="s">
        <v>388</v>
      </c>
      <c r="D21" s="408"/>
      <c r="E21" s="407" t="s">
        <v>387</v>
      </c>
      <c r="K21" s="406" t="s">
        <v>554</v>
      </c>
      <c r="L21" s="402" t="s">
        <v>563</v>
      </c>
      <c r="M21" s="402" t="s">
        <v>562</v>
      </c>
      <c r="N21" s="402" t="s">
        <v>561</v>
      </c>
    </row>
    <row r="22" spans="3:40" x14ac:dyDescent="0.3">
      <c r="K22" s="404"/>
      <c r="L22" s="402"/>
      <c r="M22" s="402"/>
      <c r="N22" s="402"/>
    </row>
    <row r="23" spans="3:40" x14ac:dyDescent="0.3">
      <c r="C23" s="336" t="s">
        <v>568</v>
      </c>
      <c r="K23" s="403"/>
      <c r="L23" s="402"/>
      <c r="M23" s="402"/>
      <c r="N23" s="402"/>
    </row>
    <row r="24" spans="3:40" x14ac:dyDescent="0.3">
      <c r="K24" s="401">
        <v>45292</v>
      </c>
      <c r="L24" s="400">
        <f>(1+D35/2)^2-1</f>
        <v>3.9482202499999897E-2</v>
      </c>
      <c r="M24" s="400">
        <f>(1+E35/2)^2-1</f>
        <v>4.9600249999999901E-2</v>
      </c>
      <c r="N24" s="400">
        <f>(1+F35/2)^2-1</f>
        <v>3.3780562500000055E-2</v>
      </c>
    </row>
    <row r="25" spans="3:40" x14ac:dyDescent="0.3">
      <c r="C25" s="405" t="s">
        <v>554</v>
      </c>
      <c r="D25" s="392" t="s">
        <v>567</v>
      </c>
      <c r="E25" s="392" t="s">
        <v>566</v>
      </c>
      <c r="F25" s="392" t="s">
        <v>565</v>
      </c>
    </row>
    <row r="26" spans="3:40" x14ac:dyDescent="0.3">
      <c r="C26" s="405"/>
      <c r="D26" s="392"/>
      <c r="E26" s="392"/>
      <c r="F26" s="392"/>
      <c r="K26" s="406" t="s">
        <v>554</v>
      </c>
      <c r="L26" s="402" t="s">
        <v>553</v>
      </c>
      <c r="M26" s="402" t="s">
        <v>552</v>
      </c>
      <c r="N26" s="402" t="s">
        <v>551</v>
      </c>
    </row>
    <row r="27" spans="3:40" x14ac:dyDescent="0.3">
      <c r="C27" s="405"/>
      <c r="D27" s="392"/>
      <c r="E27" s="392"/>
      <c r="F27" s="392"/>
      <c r="K27" s="404"/>
      <c r="L27" s="402"/>
      <c r="M27" s="402"/>
      <c r="N27" s="402"/>
    </row>
    <row r="28" spans="3:40" x14ac:dyDescent="0.3">
      <c r="C28" s="389">
        <v>45292</v>
      </c>
      <c r="D28" s="388">
        <v>3.32E-2</v>
      </c>
      <c r="E28" s="388">
        <v>3.27E-2</v>
      </c>
      <c r="F28" s="388">
        <v>1.6299999999999999E-2</v>
      </c>
      <c r="K28" s="403"/>
      <c r="L28" s="402"/>
      <c r="M28" s="402"/>
      <c r="N28" s="402"/>
    </row>
    <row r="29" spans="3:40" x14ac:dyDescent="0.3">
      <c r="C29" s="389">
        <v>45324</v>
      </c>
      <c r="D29" s="388">
        <v>3.5200000000000002E-2</v>
      </c>
      <c r="E29" s="388">
        <v>3.4000000000000002E-2</v>
      </c>
      <c r="F29" s="388">
        <v>1.66E-2</v>
      </c>
      <c r="K29" s="401">
        <v>45292</v>
      </c>
      <c r="L29" s="400">
        <f>(1+D42/2)^2-1</f>
        <v>4.3053690000000255E-2</v>
      </c>
      <c r="M29" s="400">
        <f>(1+E42/2)^2-1</f>
        <v>5.1240090000000293E-2</v>
      </c>
      <c r="N29" s="400">
        <f>(1+F42/2)^2-1</f>
        <v>3.3272250000000003E-2</v>
      </c>
    </row>
    <row r="30" spans="3:40" x14ac:dyDescent="0.3">
      <c r="C30" s="389">
        <v>45352</v>
      </c>
      <c r="D30" s="388">
        <v>3.4099999999999998E-2</v>
      </c>
      <c r="E30" s="388">
        <v>3.3500000000000002E-2</v>
      </c>
      <c r="F30" s="388">
        <v>1.5100000000000001E-2</v>
      </c>
    </row>
    <row r="31" spans="3:40" x14ac:dyDescent="0.3">
      <c r="C31" s="396"/>
      <c r="D31" s="387"/>
      <c r="E31" s="387"/>
      <c r="F31" s="387"/>
      <c r="G31" s="387"/>
      <c r="H31" s="387"/>
      <c r="K31" s="357" t="s">
        <v>564</v>
      </c>
    </row>
    <row r="32" spans="3:40" x14ac:dyDescent="0.3">
      <c r="C32" s="399" t="s">
        <v>554</v>
      </c>
      <c r="D32" s="392" t="s">
        <v>563</v>
      </c>
      <c r="E32" s="392" t="s">
        <v>562</v>
      </c>
      <c r="F32" s="392" t="s">
        <v>561</v>
      </c>
      <c r="G32" s="387"/>
      <c r="H32" s="387"/>
      <c r="K32" t="s">
        <v>560</v>
      </c>
      <c r="L32" s="337">
        <f>L24-N24</f>
        <v>5.7016399999998413E-3</v>
      </c>
    </row>
    <row r="33" spans="2:19" x14ac:dyDescent="0.3">
      <c r="C33" s="398"/>
      <c r="D33" s="392"/>
      <c r="E33" s="392"/>
      <c r="F33" s="392"/>
      <c r="G33" s="387"/>
      <c r="H33" s="387"/>
      <c r="K33" t="s">
        <v>559</v>
      </c>
      <c r="L33" s="337">
        <f>M24-N24</f>
        <v>1.5819687499999846E-2</v>
      </c>
      <c r="M33" s="347"/>
    </row>
    <row r="34" spans="2:19" x14ac:dyDescent="0.3">
      <c r="C34" s="397"/>
      <c r="D34" s="392"/>
      <c r="E34" s="392"/>
      <c r="F34" s="392"/>
      <c r="G34" s="387"/>
      <c r="H34" s="387"/>
      <c r="K34" t="s">
        <v>558</v>
      </c>
      <c r="L34" s="337">
        <f>L29-N29</f>
        <v>9.7814400000002522E-3</v>
      </c>
    </row>
    <row r="35" spans="2:19" x14ac:dyDescent="0.3">
      <c r="C35" s="389">
        <v>45292</v>
      </c>
      <c r="D35" s="388">
        <v>3.9100000000000003E-2</v>
      </c>
      <c r="E35" s="388">
        <v>4.9000000000000002E-2</v>
      </c>
      <c r="F35" s="388">
        <v>3.3500000000000002E-2</v>
      </c>
      <c r="G35" s="387"/>
      <c r="H35" s="387"/>
      <c r="K35" t="s">
        <v>557</v>
      </c>
      <c r="L35" s="337">
        <f>M29-N29</f>
        <v>1.796784000000029E-2</v>
      </c>
    </row>
    <row r="36" spans="2:19" x14ac:dyDescent="0.3">
      <c r="C36" s="389">
        <v>45324</v>
      </c>
      <c r="D36" s="388">
        <v>4.0899999999999999E-2</v>
      </c>
      <c r="E36" s="388">
        <v>5.0099999999999999E-2</v>
      </c>
      <c r="F36" s="388">
        <v>3.5400000000000001E-2</v>
      </c>
      <c r="G36" s="387"/>
      <c r="H36" s="387"/>
      <c r="K36"/>
    </row>
    <row r="37" spans="2:19" x14ac:dyDescent="0.3">
      <c r="C37" s="389">
        <v>45352</v>
      </c>
      <c r="D37" s="388">
        <v>3.9899999999999998E-2</v>
      </c>
      <c r="E37" s="388">
        <v>4.9099999999999998E-2</v>
      </c>
      <c r="F37" s="388">
        <v>3.4299999999999997E-2</v>
      </c>
      <c r="G37" s="387"/>
      <c r="H37" s="387"/>
      <c r="K37" t="s">
        <v>556</v>
      </c>
      <c r="L37" s="395">
        <f>ROUND(L32*2/3+L33/3,4)</f>
        <v>9.1000000000000004E-3</v>
      </c>
    </row>
    <row r="38" spans="2:19" x14ac:dyDescent="0.3">
      <c r="C38" s="396"/>
      <c r="D38" s="387"/>
      <c r="E38" s="387"/>
      <c r="F38" s="387"/>
      <c r="G38" s="387"/>
      <c r="H38" s="387"/>
      <c r="K38" t="s">
        <v>555</v>
      </c>
      <c r="L38" s="395">
        <f>ROUND(L34*2/3+L35/3,4)</f>
        <v>1.2500000000000001E-2</v>
      </c>
    </row>
    <row r="39" spans="2:19" x14ac:dyDescent="0.3">
      <c r="C39" s="393" t="s">
        <v>554</v>
      </c>
      <c r="D39" s="392" t="s">
        <v>553</v>
      </c>
      <c r="E39" s="392" t="s">
        <v>552</v>
      </c>
      <c r="F39" s="392" t="s">
        <v>551</v>
      </c>
      <c r="G39" s="387"/>
      <c r="H39" s="387"/>
      <c r="K39"/>
    </row>
    <row r="40" spans="2:19" x14ac:dyDescent="0.3">
      <c r="C40" s="393"/>
      <c r="D40" s="392"/>
      <c r="E40" s="392"/>
      <c r="F40" s="392"/>
      <c r="G40" s="387"/>
      <c r="H40" s="387"/>
      <c r="K40"/>
      <c r="L40" t="s">
        <v>550</v>
      </c>
      <c r="M40" s="394" t="s">
        <v>549</v>
      </c>
    </row>
    <row r="41" spans="2:19" x14ac:dyDescent="0.3">
      <c r="C41" s="393"/>
      <c r="D41" s="392"/>
      <c r="E41" s="392"/>
      <c r="F41" s="392"/>
      <c r="G41" s="387"/>
      <c r="H41" s="387"/>
      <c r="K41"/>
      <c r="L41" t="s">
        <v>548</v>
      </c>
      <c r="M41" s="391" t="s">
        <v>547</v>
      </c>
    </row>
    <row r="42" spans="2:19" x14ac:dyDescent="0.3">
      <c r="C42" s="389">
        <v>45292</v>
      </c>
      <c r="D42" s="388">
        <v>4.2599999999999999E-2</v>
      </c>
      <c r="E42" s="388">
        <v>5.0599999999999999E-2</v>
      </c>
      <c r="F42" s="388">
        <v>3.3000000000000002E-2</v>
      </c>
      <c r="G42" s="387"/>
      <c r="H42" s="387"/>
      <c r="K42" t="s">
        <v>546</v>
      </c>
      <c r="L42" s="386">
        <f>L19+L37</f>
        <v>4.2575559999999846E-2</v>
      </c>
      <c r="M42" s="390">
        <f>ROUND(L42,3)</f>
        <v>4.2999999999999997E-2</v>
      </c>
    </row>
    <row r="43" spans="2:19" x14ac:dyDescent="0.3">
      <c r="C43" s="389">
        <v>45324</v>
      </c>
      <c r="D43" s="388">
        <v>4.3799999999999999E-2</v>
      </c>
      <c r="E43" s="388">
        <v>5.11E-2</v>
      </c>
      <c r="F43" s="388">
        <v>3.44E-2</v>
      </c>
      <c r="G43" s="387"/>
      <c r="H43" s="387"/>
      <c r="L43" s="335">
        <v>10</v>
      </c>
      <c r="M43" s="335">
        <v>10</v>
      </c>
      <c r="N43"/>
      <c r="R43"/>
      <c r="S43"/>
    </row>
    <row r="44" spans="2:19" x14ac:dyDescent="0.3">
      <c r="C44" s="389">
        <v>45352</v>
      </c>
      <c r="D44" s="388">
        <v>4.3499999999999997E-2</v>
      </c>
      <c r="E44" s="388">
        <v>5.0799999999999998E-2</v>
      </c>
      <c r="F44" s="388">
        <v>3.3799999999999997E-2</v>
      </c>
      <c r="G44" s="387"/>
      <c r="H44" s="387"/>
      <c r="K44" t="s">
        <v>545</v>
      </c>
      <c r="L44" s="386">
        <f>M19+(M19-L19)*0.5+L38</f>
        <v>4.5213203750000416E-2</v>
      </c>
      <c r="M44" s="385">
        <f>ROUND(L44,3)</f>
        <v>4.4999999999999998E-2</v>
      </c>
      <c r="N44"/>
      <c r="O44"/>
      <c r="P44"/>
      <c r="Q44"/>
      <c r="R44"/>
      <c r="S44"/>
    </row>
    <row r="45" spans="2:19" x14ac:dyDescent="0.3">
      <c r="K45"/>
      <c r="L45" s="376"/>
      <c r="M45"/>
      <c r="N45"/>
      <c r="O45" s="376"/>
      <c r="P45"/>
      <c r="Q45"/>
      <c r="R45" s="376"/>
      <c r="S45"/>
    </row>
    <row r="46" spans="2:19" x14ac:dyDescent="0.3">
      <c r="K46"/>
      <c r="L46" s="376"/>
      <c r="M46"/>
      <c r="N46"/>
      <c r="O46" s="376"/>
      <c r="P46"/>
      <c r="Q46"/>
      <c r="R46" s="376"/>
      <c r="S46"/>
    </row>
    <row r="47" spans="2:19" x14ac:dyDescent="0.3">
      <c r="B47" s="336" t="s">
        <v>26</v>
      </c>
      <c r="C47" s="358" t="s">
        <v>347</v>
      </c>
      <c r="D47" s="336" t="s">
        <v>544</v>
      </c>
      <c r="K47"/>
      <c r="L47" s="376"/>
      <c r="M47"/>
      <c r="N47"/>
      <c r="O47" s="376"/>
      <c r="P47"/>
      <c r="Q47"/>
      <c r="R47" s="376"/>
      <c r="S47"/>
    </row>
    <row r="48" spans="2:19" ht="18.75" customHeight="1" x14ac:dyDescent="0.3">
      <c r="C48" s="384"/>
      <c r="D48" s="359" t="s">
        <v>543</v>
      </c>
      <c r="K48"/>
      <c r="L48" s="376"/>
      <c r="M48"/>
      <c r="N48"/>
      <c r="O48" s="376"/>
      <c r="P48"/>
      <c r="Q48"/>
      <c r="R48" s="376"/>
      <c r="S48"/>
    </row>
    <row r="49" spans="3:19" ht="18.75" customHeight="1" x14ac:dyDescent="0.3">
      <c r="K49"/>
      <c r="M49"/>
      <c r="N49"/>
      <c r="O49" s="376"/>
      <c r="P49"/>
      <c r="Q49"/>
      <c r="R49" s="376"/>
      <c r="S49"/>
    </row>
    <row r="50" spans="3:19" ht="18.75" customHeight="1" x14ac:dyDescent="0.3">
      <c r="D50" s="378" t="s">
        <v>528</v>
      </c>
      <c r="E50" s="377"/>
      <c r="F50" s="377"/>
      <c r="G50" s="377"/>
      <c r="H50" s="377"/>
      <c r="I50" s="377"/>
      <c r="J50" s="377"/>
      <c r="K50"/>
      <c r="L50" s="383"/>
      <c r="M50"/>
      <c r="N50"/>
      <c r="O50" s="376"/>
      <c r="P50"/>
      <c r="Q50"/>
      <c r="R50" s="376"/>
      <c r="S50"/>
    </row>
    <row r="51" spans="3:19" ht="18.75" customHeight="1" x14ac:dyDescent="0.3">
      <c r="D51" s="375"/>
      <c r="E51" s="374"/>
      <c r="F51" s="374"/>
      <c r="G51" s="374"/>
      <c r="H51" s="374"/>
      <c r="I51" s="374"/>
      <c r="J51" s="374"/>
      <c r="K51"/>
      <c r="L51" s="383"/>
      <c r="M51"/>
      <c r="N51"/>
      <c r="O51"/>
      <c r="P51"/>
      <c r="Q51"/>
      <c r="R51" s="376"/>
      <c r="S51"/>
    </row>
    <row r="52" spans="3:19" ht="18.75" customHeight="1" x14ac:dyDescent="0.3">
      <c r="K52"/>
      <c r="L52" s="383"/>
      <c r="M52"/>
      <c r="N52"/>
      <c r="O52" s="376"/>
      <c r="P52"/>
      <c r="Q52"/>
      <c r="R52" s="376"/>
      <c r="S52"/>
    </row>
    <row r="53" spans="3:19" ht="18.75" customHeight="1" x14ac:dyDescent="0.3">
      <c r="C53" s="336" t="s">
        <v>542</v>
      </c>
      <c r="K53"/>
      <c r="L53" s="383"/>
      <c r="M53"/>
      <c r="N53"/>
      <c r="O53" s="376"/>
      <c r="P53"/>
      <c r="Q53"/>
      <c r="R53" s="376"/>
      <c r="S53"/>
    </row>
    <row r="54" spans="3:19" ht="18.75" customHeight="1" x14ac:dyDescent="0.3">
      <c r="K54"/>
      <c r="L54" s="383"/>
      <c r="M54"/>
      <c r="N54"/>
      <c r="O54" s="376"/>
      <c r="P54"/>
      <c r="Q54"/>
      <c r="R54" s="376"/>
      <c r="S54"/>
    </row>
    <row r="55" spans="3:19" ht="18.75" customHeight="1" x14ac:dyDescent="0.3">
      <c r="C55" s="380" t="s">
        <v>541</v>
      </c>
      <c r="D55" s="381">
        <v>10.7</v>
      </c>
      <c r="K55"/>
      <c r="L55" s="383"/>
      <c r="M55"/>
      <c r="N55"/>
      <c r="O55" s="376"/>
      <c r="P55"/>
      <c r="Q55"/>
      <c r="R55" s="376"/>
      <c r="S55"/>
    </row>
    <row r="56" spans="3:19" ht="18.75" customHeight="1" x14ac:dyDescent="0.3">
      <c r="C56" s="380" t="s">
        <v>540</v>
      </c>
      <c r="D56" s="381">
        <v>10.1</v>
      </c>
      <c r="K56"/>
      <c r="L56" s="383"/>
      <c r="M56"/>
      <c r="N56"/>
      <c r="O56" s="376"/>
      <c r="P56"/>
      <c r="Q56"/>
      <c r="R56" s="376"/>
      <c r="S56"/>
    </row>
    <row r="57" spans="3:19" ht="18.75" customHeight="1" x14ac:dyDescent="0.3">
      <c r="C57" s="380" t="s">
        <v>539</v>
      </c>
      <c r="D57" s="381">
        <v>9.5</v>
      </c>
      <c r="K57"/>
      <c r="L57" s="383"/>
      <c r="M57"/>
      <c r="N57"/>
      <c r="O57" s="376"/>
      <c r="P57"/>
      <c r="Q57"/>
      <c r="R57" s="376"/>
      <c r="S57"/>
    </row>
    <row r="58" spans="3:19" ht="18.75" customHeight="1" x14ac:dyDescent="0.3">
      <c r="C58" s="380" t="s">
        <v>538</v>
      </c>
      <c r="D58" s="381">
        <v>9</v>
      </c>
      <c r="K58"/>
      <c r="L58" s="383"/>
      <c r="M58"/>
      <c r="N58"/>
      <c r="O58" s="376"/>
      <c r="P58"/>
      <c r="Q58"/>
      <c r="R58" s="376"/>
      <c r="S58"/>
    </row>
    <row r="59" spans="3:19" ht="19.8" x14ac:dyDescent="0.3">
      <c r="C59" s="380" t="s">
        <v>537</v>
      </c>
      <c r="D59" s="381">
        <v>8.5</v>
      </c>
      <c r="K59"/>
      <c r="L59" s="383"/>
      <c r="M59"/>
      <c r="N59"/>
      <c r="O59" s="376"/>
      <c r="P59"/>
      <c r="Q59"/>
      <c r="R59" s="376"/>
      <c r="S59"/>
    </row>
    <row r="60" spans="3:19" ht="19.8" x14ac:dyDescent="0.3">
      <c r="C60" s="380" t="s">
        <v>536</v>
      </c>
      <c r="D60" s="381">
        <v>8</v>
      </c>
      <c r="K60"/>
      <c r="L60" s="383"/>
      <c r="M60"/>
      <c r="N60"/>
      <c r="O60" s="376"/>
      <c r="P60"/>
      <c r="Q60"/>
      <c r="R60" s="376"/>
      <c r="S60"/>
    </row>
    <row r="61" spans="3:19" ht="19.8" x14ac:dyDescent="0.3">
      <c r="C61" s="380" t="s">
        <v>535</v>
      </c>
      <c r="D61" s="381">
        <v>7.5</v>
      </c>
    </row>
    <row r="62" spans="3:19" ht="19.8" x14ac:dyDescent="0.3">
      <c r="C62" s="380" t="s">
        <v>534</v>
      </c>
      <c r="D62" s="381">
        <v>7.1</v>
      </c>
      <c r="K62"/>
      <c r="L62" s="353"/>
      <c r="M62" s="382"/>
      <c r="N62" s="382"/>
      <c r="O62" s="382"/>
      <c r="P62" s="382"/>
      <c r="Q62" s="382"/>
      <c r="R62" s="382"/>
      <c r="S62"/>
    </row>
    <row r="63" spans="3:19" ht="19.8" x14ac:dyDescent="0.3">
      <c r="C63" s="380" t="s">
        <v>533</v>
      </c>
      <c r="D63" s="381">
        <v>6.7</v>
      </c>
      <c r="K63" s="341"/>
      <c r="N63"/>
      <c r="O63"/>
      <c r="P63"/>
      <c r="Q63"/>
      <c r="R63"/>
      <c r="S63"/>
    </row>
    <row r="64" spans="3:19" ht="19.8" x14ac:dyDescent="0.3">
      <c r="C64" s="380" t="s">
        <v>532</v>
      </c>
      <c r="D64" s="381">
        <v>6.3</v>
      </c>
      <c r="K64" s="347"/>
      <c r="N64"/>
      <c r="O64" s="376"/>
      <c r="P64"/>
      <c r="Q64"/>
      <c r="R64" s="376"/>
      <c r="S64"/>
    </row>
    <row r="65" spans="2:22" ht="19.8" x14ac:dyDescent="0.3">
      <c r="C65" s="380" t="s">
        <v>531</v>
      </c>
      <c r="D65" s="379">
        <v>5.9</v>
      </c>
      <c r="K65" s="348"/>
      <c r="N65"/>
      <c r="O65" s="376"/>
      <c r="P65"/>
      <c r="Q65"/>
      <c r="R65" s="376"/>
      <c r="S65"/>
    </row>
    <row r="66" spans="2:22" x14ac:dyDescent="0.3">
      <c r="K66" s="348"/>
      <c r="N66"/>
      <c r="O66" s="376"/>
      <c r="P66"/>
      <c r="Q66"/>
      <c r="R66" s="376"/>
      <c r="S66"/>
    </row>
    <row r="67" spans="2:22" x14ac:dyDescent="0.3">
      <c r="K67" s="348"/>
      <c r="N67"/>
      <c r="O67" s="376"/>
      <c r="P67"/>
      <c r="Q67"/>
      <c r="R67" s="376"/>
      <c r="S67"/>
    </row>
    <row r="68" spans="2:22" x14ac:dyDescent="0.3">
      <c r="B68" s="336" t="s">
        <v>28</v>
      </c>
      <c r="C68" s="358" t="s">
        <v>347</v>
      </c>
      <c r="D68" s="336" t="s">
        <v>530</v>
      </c>
      <c r="K68" s="348"/>
      <c r="N68"/>
      <c r="O68" s="376"/>
      <c r="P68"/>
      <c r="Q68"/>
      <c r="R68" s="376"/>
      <c r="S68"/>
    </row>
    <row r="69" spans="2:22" x14ac:dyDescent="0.3">
      <c r="K69" s="347" t="s">
        <v>529</v>
      </c>
      <c r="N69"/>
      <c r="O69" s="376"/>
      <c r="P69"/>
      <c r="Q69"/>
      <c r="R69" s="376"/>
      <c r="S69"/>
    </row>
    <row r="70" spans="2:22" x14ac:dyDescent="0.3">
      <c r="D70" s="378" t="s">
        <v>528</v>
      </c>
      <c r="E70" s="377"/>
      <c r="F70" s="377"/>
      <c r="G70" s="377"/>
      <c r="H70" s="377"/>
      <c r="I70" s="377"/>
      <c r="J70" s="377"/>
      <c r="K70"/>
      <c r="L70" s="376"/>
      <c r="M70"/>
      <c r="N70"/>
      <c r="O70" s="376"/>
      <c r="P70"/>
      <c r="Q70"/>
      <c r="R70" s="376"/>
      <c r="S70"/>
    </row>
    <row r="71" spans="2:22" x14ac:dyDescent="0.3">
      <c r="D71" s="375"/>
      <c r="E71" s="374"/>
      <c r="F71" s="374"/>
      <c r="G71" s="374"/>
      <c r="H71" s="374"/>
      <c r="I71" s="374"/>
      <c r="J71" s="374"/>
      <c r="K71" s="335" t="s">
        <v>527</v>
      </c>
    </row>
    <row r="73" spans="2:22" x14ac:dyDescent="0.3">
      <c r="C73" s="336" t="s">
        <v>526</v>
      </c>
      <c r="K73" s="335" t="s">
        <v>525</v>
      </c>
      <c r="L73" s="335">
        <v>44</v>
      </c>
    </row>
    <row r="74" spans="2:22" x14ac:dyDescent="0.3">
      <c r="K74" s="357"/>
      <c r="L74" s="373" t="s">
        <v>524</v>
      </c>
      <c r="M74" s="373" t="s">
        <v>523</v>
      </c>
      <c r="N74" s="373" t="s">
        <v>522</v>
      </c>
      <c r="O74" s="373" t="s">
        <v>521</v>
      </c>
      <c r="P74" s="373" t="s">
        <v>520</v>
      </c>
      <c r="Q74" s="373" t="s">
        <v>519</v>
      </c>
      <c r="R74" s="373" t="s">
        <v>518</v>
      </c>
    </row>
    <row r="75" spans="2:22" x14ac:dyDescent="0.3">
      <c r="C75" s="366" t="s">
        <v>517</v>
      </c>
      <c r="D75" s="364"/>
      <c r="E75" s="372">
        <v>2500000</v>
      </c>
      <c r="F75" s="364"/>
      <c r="K75" t="s">
        <v>516</v>
      </c>
      <c r="L75" s="335">
        <v>55</v>
      </c>
      <c r="M75" s="335">
        <f>L75-$L$73</f>
        <v>11</v>
      </c>
      <c r="N75" s="363">
        <f>D55</f>
        <v>10.7</v>
      </c>
      <c r="O75" s="362">
        <f>0.05*MAX(0,65-L75)</f>
        <v>0.5</v>
      </c>
      <c r="P75" s="362">
        <f>(1-$N$85/N75)</f>
        <v>0.44859813084112143</v>
      </c>
      <c r="Q75" s="360">
        <f>$E$20*(1-MIN(O75,P75))</f>
        <v>9649.5327102803749</v>
      </c>
      <c r="R75" s="361">
        <f>Q75*N75</f>
        <v>103250</v>
      </c>
      <c r="S75" s="346"/>
      <c r="T75" s="346"/>
      <c r="U75" s="346"/>
      <c r="V75" s="360"/>
    </row>
    <row r="76" spans="2:22" x14ac:dyDescent="0.3">
      <c r="C76" s="366" t="s">
        <v>515</v>
      </c>
      <c r="D76" s="364"/>
      <c r="E76" s="372">
        <v>100000</v>
      </c>
      <c r="F76" s="364"/>
      <c r="K76" t="s">
        <v>514</v>
      </c>
      <c r="L76" s="335">
        <f>L75+1</f>
        <v>56</v>
      </c>
      <c r="M76" s="335">
        <f>L76-$L$73</f>
        <v>12</v>
      </c>
      <c r="N76" s="363">
        <f>D56</f>
        <v>10.1</v>
      </c>
      <c r="O76" s="362">
        <f>0.05*MAX(0,65-L76)</f>
        <v>0.45</v>
      </c>
      <c r="P76" s="362">
        <f>(1-$N$85/N76)</f>
        <v>0.41584158415841577</v>
      </c>
      <c r="Q76" s="360">
        <f>$E$20*(1-MIN(O76,P76))</f>
        <v>10222.772277227725</v>
      </c>
      <c r="R76" s="361">
        <f>Q76*N76</f>
        <v>103250.00000000001</v>
      </c>
      <c r="S76" s="346"/>
      <c r="T76" s="346"/>
      <c r="U76" s="346"/>
      <c r="V76" s="360"/>
    </row>
    <row r="77" spans="2:22" ht="15.6" customHeight="1" x14ac:dyDescent="0.3">
      <c r="C77" s="366" t="s">
        <v>513</v>
      </c>
      <c r="D77" s="364"/>
      <c r="E77" s="372">
        <v>2400000</v>
      </c>
      <c r="F77" s="364"/>
      <c r="K77" t="s">
        <v>512</v>
      </c>
      <c r="L77" s="335">
        <f>L76+1</f>
        <v>57</v>
      </c>
      <c r="M77" s="335">
        <f>L77-$L$73</f>
        <v>13</v>
      </c>
      <c r="N77" s="363">
        <f>D57</f>
        <v>9.5</v>
      </c>
      <c r="O77" s="362">
        <f>0.05*MAX(0,65-L77)</f>
        <v>0.4</v>
      </c>
      <c r="P77" s="362">
        <f>(1-$N$85/N77)</f>
        <v>0.37894736842105259</v>
      </c>
      <c r="Q77" s="360">
        <f>$E$20*(1-MIN(O77,P77))</f>
        <v>10868.42105263158</v>
      </c>
      <c r="R77" s="361">
        <f>Q77*N77</f>
        <v>103250.00000000001</v>
      </c>
      <c r="S77" s="346"/>
      <c r="T77" s="346"/>
      <c r="U77" s="346"/>
      <c r="V77" s="360"/>
    </row>
    <row r="78" spans="2:22" ht="31.2" x14ac:dyDescent="0.3">
      <c r="C78" s="371" t="s">
        <v>511</v>
      </c>
      <c r="D78" s="369"/>
      <c r="E78" s="370">
        <v>3250000</v>
      </c>
      <c r="F78" s="369"/>
      <c r="K78" t="s">
        <v>510</v>
      </c>
      <c r="L78" s="335">
        <f>L77+1</f>
        <v>58</v>
      </c>
      <c r="M78" s="335">
        <f>L78-$L$73</f>
        <v>14</v>
      </c>
      <c r="N78" s="363">
        <f>D58</f>
        <v>9</v>
      </c>
      <c r="O78" s="362">
        <f>0.05*MAX(0,65-L78)</f>
        <v>0.35000000000000003</v>
      </c>
      <c r="P78" s="362">
        <f>(1-$N$85/N78)</f>
        <v>0.34444444444444444</v>
      </c>
      <c r="Q78" s="360">
        <f>$E$20*(1-MIN(O78,P78))</f>
        <v>11472.222222222223</v>
      </c>
      <c r="R78" s="361">
        <f>Q78*N78</f>
        <v>103250</v>
      </c>
      <c r="S78" s="346"/>
      <c r="T78" s="346"/>
      <c r="U78" s="346"/>
      <c r="V78" s="360"/>
    </row>
    <row r="79" spans="2:22" x14ac:dyDescent="0.3">
      <c r="C79" s="368"/>
      <c r="D79" s="367"/>
      <c r="E79" s="368"/>
      <c r="F79" s="367"/>
      <c r="K79" t="s">
        <v>509</v>
      </c>
      <c r="L79" s="335">
        <f>L78+1</f>
        <v>59</v>
      </c>
      <c r="M79" s="335">
        <f>L79-$L$73</f>
        <v>15</v>
      </c>
      <c r="N79" s="363">
        <f>D59</f>
        <v>8.5</v>
      </c>
      <c r="O79" s="362">
        <f>0.05*MAX(0,65-L79)</f>
        <v>0.30000000000000004</v>
      </c>
      <c r="P79" s="362">
        <f>(1-$N$85/N79)</f>
        <v>0.30588235294117638</v>
      </c>
      <c r="Q79" s="360">
        <f>$E$20*(1-MIN(O79,P79))</f>
        <v>12250</v>
      </c>
      <c r="R79" s="361">
        <f>Q79*N79</f>
        <v>104125</v>
      </c>
      <c r="S79" s="346"/>
      <c r="T79" s="346"/>
      <c r="U79" s="346"/>
      <c r="V79" s="360"/>
    </row>
    <row r="80" spans="2:22" x14ac:dyDescent="0.3">
      <c r="C80" s="366" t="s">
        <v>486</v>
      </c>
      <c r="D80" s="364"/>
      <c r="E80" s="365">
        <v>0.77</v>
      </c>
      <c r="F80" s="364"/>
      <c r="K80" t="s">
        <v>508</v>
      </c>
      <c r="L80" s="335">
        <f>L79+1</f>
        <v>60</v>
      </c>
      <c r="M80" s="335">
        <f>L80-$L$73</f>
        <v>16</v>
      </c>
      <c r="N80" s="363">
        <f>D60</f>
        <v>8</v>
      </c>
      <c r="O80" s="362">
        <f>0.05*MAX(0,65-L80)</f>
        <v>0.25</v>
      </c>
      <c r="P80" s="362">
        <f>(1-$N$85/N80)</f>
        <v>0.26249999999999996</v>
      </c>
      <c r="Q80" s="360">
        <f>$E$20*(1-MIN(O80,P80))</f>
        <v>13125</v>
      </c>
      <c r="R80" s="361">
        <f>Q80*N80</f>
        <v>105000</v>
      </c>
      <c r="S80" s="346"/>
      <c r="T80" s="346"/>
      <c r="U80" s="346"/>
      <c r="V80" s="360"/>
    </row>
    <row r="81" spans="2:22" x14ac:dyDescent="0.3">
      <c r="K81" t="s">
        <v>507</v>
      </c>
      <c r="L81" s="335">
        <f>L80+1</f>
        <v>61</v>
      </c>
      <c r="M81" s="335">
        <f>L81-$L$73</f>
        <v>17</v>
      </c>
      <c r="N81" s="363">
        <f>D61</f>
        <v>7.5</v>
      </c>
      <c r="O81" s="362">
        <f>0.05*MAX(0,65-L81)</f>
        <v>0.2</v>
      </c>
      <c r="P81" s="362">
        <f>(1-$N$85/N81)</f>
        <v>0.21333333333333326</v>
      </c>
      <c r="Q81" s="360">
        <f>$E$20*(1-MIN(O81,P81))</f>
        <v>14000</v>
      </c>
      <c r="R81" s="361">
        <f>Q81*N81</f>
        <v>105000</v>
      </c>
      <c r="S81" s="346"/>
      <c r="T81" s="346"/>
      <c r="U81" s="346"/>
      <c r="V81" s="360"/>
    </row>
    <row r="82" spans="2:22" x14ac:dyDescent="0.3">
      <c r="C82" s="336" t="s">
        <v>506</v>
      </c>
      <c r="K82" t="s">
        <v>505</v>
      </c>
      <c r="L82" s="335">
        <f>L81+1</f>
        <v>62</v>
      </c>
      <c r="M82" s="335">
        <f>L82-$L$73</f>
        <v>18</v>
      </c>
      <c r="N82" s="363">
        <f>D62</f>
        <v>7.1</v>
      </c>
      <c r="O82" s="362">
        <f>0.05*MAX(0,65-L82)</f>
        <v>0.15000000000000002</v>
      </c>
      <c r="P82" s="362">
        <f>(1-$N$85/N82)</f>
        <v>0.16901408450704214</v>
      </c>
      <c r="Q82" s="360">
        <f>$E$20*(1-MIN(O82,P82))</f>
        <v>14875</v>
      </c>
      <c r="R82" s="361">
        <f>Q82*N82</f>
        <v>105612.5</v>
      </c>
      <c r="S82" s="346"/>
      <c r="T82" s="346"/>
      <c r="U82" s="346"/>
      <c r="V82" s="360"/>
    </row>
    <row r="83" spans="2:22" x14ac:dyDescent="0.3">
      <c r="C83" s="336" t="s">
        <v>504</v>
      </c>
      <c r="K83" t="s">
        <v>503</v>
      </c>
      <c r="L83" s="335">
        <f>L82+1</f>
        <v>63</v>
      </c>
      <c r="M83" s="335">
        <f>L83-$L$73</f>
        <v>19</v>
      </c>
      <c r="N83" s="363">
        <f>D63</f>
        <v>6.7</v>
      </c>
      <c r="O83" s="362">
        <f>0.05*MAX(0,65-L83)</f>
        <v>0.1</v>
      </c>
      <c r="P83" s="362">
        <f>(1-$N$85/N83)</f>
        <v>0.11940298507462688</v>
      </c>
      <c r="Q83" s="360">
        <f>$E$20*(1-MIN(O83,P83))</f>
        <v>15750</v>
      </c>
      <c r="R83" s="361">
        <f>Q83*N83</f>
        <v>105525</v>
      </c>
      <c r="S83" s="346"/>
      <c r="T83" s="346"/>
      <c r="U83" s="346"/>
      <c r="V83" s="360"/>
    </row>
    <row r="84" spans="2:22" ht="15.6" customHeight="1" x14ac:dyDescent="0.3">
      <c r="C84" s="336" t="s">
        <v>502</v>
      </c>
      <c r="K84" t="s">
        <v>501</v>
      </c>
      <c r="L84" s="335">
        <f>L83+1</f>
        <v>64</v>
      </c>
      <c r="M84" s="335">
        <f>L84-$L$73</f>
        <v>20</v>
      </c>
      <c r="N84" s="363">
        <f>D64</f>
        <v>6.3</v>
      </c>
      <c r="O84" s="362">
        <f>0.05*MAX(0,65-L84)</f>
        <v>0.05</v>
      </c>
      <c r="P84" s="362">
        <f>(1-$N$85/N84)</f>
        <v>6.3492063492063378E-2</v>
      </c>
      <c r="Q84" s="360">
        <f>$E$20*(1-MIN(O84,P84))</f>
        <v>16625</v>
      </c>
      <c r="R84" s="361">
        <f>Q84*N84</f>
        <v>104737.5</v>
      </c>
      <c r="S84" s="346"/>
      <c r="T84" s="346"/>
      <c r="U84" s="346"/>
      <c r="V84" s="360"/>
    </row>
    <row r="85" spans="2:22" x14ac:dyDescent="0.3">
      <c r="K85" t="s">
        <v>500</v>
      </c>
      <c r="L85" s="335">
        <f>L84+1</f>
        <v>65</v>
      </c>
      <c r="M85" s="335">
        <f>L85-$L$73</f>
        <v>21</v>
      </c>
      <c r="N85" s="363">
        <f>D65</f>
        <v>5.9</v>
      </c>
      <c r="O85" s="362">
        <f>0.05*MAX(0,65-L85)</f>
        <v>0</v>
      </c>
      <c r="P85" s="362">
        <f>(1-$N$85/N85)</f>
        <v>0</v>
      </c>
      <c r="Q85" s="360">
        <f>$E$20*(1-MIN(O85,P85))</f>
        <v>17500</v>
      </c>
      <c r="R85" s="361">
        <f>Q85*N85</f>
        <v>103250</v>
      </c>
      <c r="S85" s="346"/>
      <c r="T85" s="346"/>
      <c r="U85" s="346"/>
      <c r="V85" s="360"/>
    </row>
    <row r="86" spans="2:22" x14ac:dyDescent="0.3">
      <c r="C86" s="336" t="s">
        <v>499</v>
      </c>
      <c r="K86"/>
      <c r="L86"/>
      <c r="M86"/>
      <c r="N86"/>
      <c r="O86"/>
      <c r="P86"/>
      <c r="Q86"/>
      <c r="R86"/>
      <c r="S86"/>
    </row>
    <row r="87" spans="2:22" x14ac:dyDescent="0.3">
      <c r="K87" t="s">
        <v>498</v>
      </c>
      <c r="L87" s="344">
        <f>MAX(R75:R85)</f>
        <v>105612.5</v>
      </c>
      <c r="M87" t="s">
        <v>497</v>
      </c>
      <c r="N87" t="s">
        <v>496</v>
      </c>
      <c r="O87"/>
      <c r="P87"/>
      <c r="Q87"/>
      <c r="R87" s="228"/>
      <c r="S87"/>
    </row>
    <row r="88" spans="2:22" x14ac:dyDescent="0.3">
      <c r="B88" s="359" t="s">
        <v>495</v>
      </c>
      <c r="C88" s="358" t="s">
        <v>494</v>
      </c>
      <c r="D88" s="336" t="s">
        <v>493</v>
      </c>
      <c r="K88" t="s">
        <v>492</v>
      </c>
      <c r="L88" s="344">
        <f>R85</f>
        <v>103250</v>
      </c>
      <c r="M88" t="s">
        <v>491</v>
      </c>
      <c r="N88"/>
      <c r="O88"/>
      <c r="P88"/>
      <c r="Q88"/>
      <c r="R88"/>
      <c r="S88"/>
    </row>
    <row r="89" spans="2:22" x14ac:dyDescent="0.3">
      <c r="K89" s="357" t="s">
        <v>114</v>
      </c>
      <c r="L89" s="344">
        <f>L87*0.5+L88*0.5</f>
        <v>104431.25</v>
      </c>
      <c r="M89"/>
      <c r="N89"/>
      <c r="O89"/>
      <c r="P89"/>
      <c r="Q89"/>
      <c r="R89"/>
      <c r="S89"/>
    </row>
    <row r="90" spans="2:22" ht="77.400000000000006" customHeight="1" x14ac:dyDescent="0.3">
      <c r="D90" s="356" t="s">
        <v>490</v>
      </c>
      <c r="E90" s="355"/>
      <c r="F90" s="355"/>
      <c r="G90" s="354"/>
      <c r="K90"/>
      <c r="L90" s="353"/>
      <c r="M90"/>
      <c r="N90"/>
      <c r="O90"/>
      <c r="P90"/>
      <c r="Q90"/>
      <c r="R90"/>
      <c r="S90"/>
    </row>
    <row r="91" spans="2:22" x14ac:dyDescent="0.3">
      <c r="D91" s="352"/>
      <c r="E91" s="351"/>
      <c r="F91" s="351"/>
      <c r="G91" s="350"/>
    </row>
    <row r="93" spans="2:22" x14ac:dyDescent="0.3">
      <c r="K93" s="341"/>
    </row>
    <row r="94" spans="2:22" x14ac:dyDescent="0.3">
      <c r="K94" s="347"/>
    </row>
    <row r="95" spans="2:22" x14ac:dyDescent="0.3">
      <c r="K95" s="349"/>
      <c r="L95" s="349"/>
      <c r="M95" s="349"/>
      <c r="N95" s="349"/>
    </row>
    <row r="96" spans="2:22" x14ac:dyDescent="0.3">
      <c r="K96" s="348"/>
    </row>
    <row r="97" spans="11:16" ht="46.5" customHeight="1" x14ac:dyDescent="0.3">
      <c r="K97" s="348"/>
    </row>
    <row r="98" spans="11:16" x14ac:dyDescent="0.3">
      <c r="K98" s="348"/>
    </row>
    <row r="99" spans="11:16" x14ac:dyDescent="0.3">
      <c r="K99" s="348"/>
    </row>
    <row r="100" spans="11:16" x14ac:dyDescent="0.3">
      <c r="K100" s="347" t="s">
        <v>489</v>
      </c>
    </row>
    <row r="101" spans="11:16" ht="31.2" x14ac:dyDescent="0.3">
      <c r="K101" s="345" t="s">
        <v>488</v>
      </c>
      <c r="L101" s="344">
        <f>E75*0.05</f>
        <v>125000</v>
      </c>
    </row>
    <row r="102" spans="11:16" ht="31.2" x14ac:dyDescent="0.3">
      <c r="K102" s="345" t="s">
        <v>487</v>
      </c>
      <c r="L102" s="344">
        <v>540000</v>
      </c>
    </row>
    <row r="103" spans="11:16" x14ac:dyDescent="0.3">
      <c r="K103" s="345" t="s">
        <v>486</v>
      </c>
      <c r="L103" s="346">
        <f>E80</f>
        <v>0.77</v>
      </c>
    </row>
    <row r="104" spans="11:16" x14ac:dyDescent="0.3">
      <c r="K104" s="345" t="s">
        <v>485</v>
      </c>
      <c r="L104" s="344">
        <f>L102*(1-L103)</f>
        <v>124199.99999999999</v>
      </c>
      <c r="M104" s="344"/>
      <c r="O104" s="344"/>
    </row>
    <row r="105" spans="11:16" ht="31.2" x14ac:dyDescent="0.3">
      <c r="K105" s="343" t="s">
        <v>481</v>
      </c>
      <c r="L105" s="342" t="str">
        <f>IF(L104&gt;L101,"Yes","No")</f>
        <v>No</v>
      </c>
      <c r="O105" s="344"/>
      <c r="P105" s="344"/>
    </row>
    <row r="108" spans="11:16" x14ac:dyDescent="0.3">
      <c r="K108" s="345" t="s">
        <v>484</v>
      </c>
      <c r="L108" s="344">
        <f>L89</f>
        <v>104431.25</v>
      </c>
    </row>
    <row r="109" spans="11:16" ht="31.2" x14ac:dyDescent="0.3">
      <c r="K109" s="345" t="s">
        <v>483</v>
      </c>
      <c r="L109" s="344">
        <f>L108*(1-L103)</f>
        <v>24019.187499999996</v>
      </c>
      <c r="M109" s="344">
        <f>L108-L109</f>
        <v>80412.0625</v>
      </c>
      <c r="N109" s="344">
        <f>0.23*L108</f>
        <v>24019.1875</v>
      </c>
    </row>
    <row r="110" spans="11:16" ht="31.2" x14ac:dyDescent="0.3">
      <c r="K110" s="345" t="s">
        <v>482</v>
      </c>
      <c r="L110" s="344">
        <f>L104+L109</f>
        <v>148219.18749999997</v>
      </c>
    </row>
    <row r="111" spans="11:16" ht="31.2" x14ac:dyDescent="0.3">
      <c r="K111" s="343" t="s">
        <v>481</v>
      </c>
      <c r="L111" s="342" t="str">
        <f>IF(L110&gt;L101,"Yes","No")</f>
        <v>Yes</v>
      </c>
    </row>
    <row r="113" spans="11:32" x14ac:dyDescent="0.3">
      <c r="K113" s="341" t="s">
        <v>480</v>
      </c>
    </row>
    <row r="114" spans="11:32" x14ac:dyDescent="0.3">
      <c r="K114" s="340" t="s">
        <v>479</v>
      </c>
    </row>
    <row r="115" spans="11:32" x14ac:dyDescent="0.3">
      <c r="K115" s="340" t="s">
        <v>478</v>
      </c>
    </row>
    <row r="116" spans="11:32" x14ac:dyDescent="0.3">
      <c r="K116" s="339" t="s">
        <v>477</v>
      </c>
    </row>
    <row r="117" spans="11:32" x14ac:dyDescent="0.3">
      <c r="K117" s="339" t="s">
        <v>476</v>
      </c>
    </row>
    <row r="118" spans="11:32" x14ac:dyDescent="0.3">
      <c r="K118" s="340" t="s">
        <v>475</v>
      </c>
    </row>
    <row r="119" spans="11:32" x14ac:dyDescent="0.3">
      <c r="K119" s="340" t="s">
        <v>474</v>
      </c>
    </row>
    <row r="120" spans="11:32" x14ac:dyDescent="0.3">
      <c r="K120" s="340" t="s">
        <v>473</v>
      </c>
    </row>
    <row r="121" spans="11:32" x14ac:dyDescent="0.3">
      <c r="K121" s="340" t="s">
        <v>472</v>
      </c>
    </row>
    <row r="122" spans="11:32" x14ac:dyDescent="0.3">
      <c r="K122" s="339" t="s">
        <v>471</v>
      </c>
    </row>
    <row r="123" spans="11:32" x14ac:dyDescent="0.3">
      <c r="K123" s="339" t="s">
        <v>470</v>
      </c>
    </row>
    <row r="124" spans="11:32" x14ac:dyDescent="0.3">
      <c r="K124" s="339" t="s">
        <v>469</v>
      </c>
    </row>
    <row r="125" spans="11:32" x14ac:dyDescent="0.3">
      <c r="K125" s="339" t="s">
        <v>468</v>
      </c>
      <c r="AA125" s="335"/>
      <c r="AB125" s="335"/>
      <c r="AC125" s="335"/>
      <c r="AD125" s="335"/>
      <c r="AE125" s="338"/>
      <c r="AF125" s="338"/>
    </row>
    <row r="1048547" spans="15:15" x14ac:dyDescent="0.3">
      <c r="O1048547" s="337"/>
    </row>
  </sheetData>
  <mergeCells count="46">
    <mergeCell ref="D90:G90"/>
    <mergeCell ref="K95:N95"/>
    <mergeCell ref="M62:O62"/>
    <mergeCell ref="P62:R62"/>
    <mergeCell ref="K26:K28"/>
    <mergeCell ref="L26:L28"/>
    <mergeCell ref="M26:M28"/>
    <mergeCell ref="N26:N28"/>
    <mergeCell ref="D50:J51"/>
    <mergeCell ref="D70:J71"/>
    <mergeCell ref="K16:K18"/>
    <mergeCell ref="L16:L18"/>
    <mergeCell ref="M16:M18"/>
    <mergeCell ref="N16:N18"/>
    <mergeCell ref="K21:K23"/>
    <mergeCell ref="L21:L23"/>
    <mergeCell ref="M21:M23"/>
    <mergeCell ref="N21:N23"/>
    <mergeCell ref="C32:C34"/>
    <mergeCell ref="D32:D34"/>
    <mergeCell ref="E32:E34"/>
    <mergeCell ref="F32:F34"/>
    <mergeCell ref="C39:C41"/>
    <mergeCell ref="D39:D41"/>
    <mergeCell ref="E39:E41"/>
    <mergeCell ref="F39:F41"/>
    <mergeCell ref="C25:C27"/>
    <mergeCell ref="D25:D27"/>
    <mergeCell ref="E25:E27"/>
    <mergeCell ref="F25:F27"/>
    <mergeCell ref="C20:D20"/>
    <mergeCell ref="C21:D21"/>
    <mergeCell ref="C16:D16"/>
    <mergeCell ref="C17:D17"/>
    <mergeCell ref="C8:D8"/>
    <mergeCell ref="E8:F8"/>
    <mergeCell ref="C9:D9"/>
    <mergeCell ref="E9:F9"/>
    <mergeCell ref="C11:D11"/>
    <mergeCell ref="E11:F11"/>
    <mergeCell ref="C5:D5"/>
    <mergeCell ref="E5:F5"/>
    <mergeCell ref="C6:D7"/>
    <mergeCell ref="E6:F7"/>
    <mergeCell ref="C10:D10"/>
    <mergeCell ref="E10:F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9070-280C-4DB0-965B-9758FC7156E4}">
  <sheetPr>
    <tabColor theme="7"/>
  </sheetPr>
  <dimension ref="A1:AQ101"/>
  <sheetViews>
    <sheetView zoomScale="90" zoomScaleNormal="90" workbookViewId="0">
      <selection activeCell="L8" sqref="L8"/>
    </sheetView>
  </sheetViews>
  <sheetFormatPr defaultColWidth="8.88671875" defaultRowHeight="15.6" x14ac:dyDescent="0.3"/>
  <cols>
    <col min="1" max="1" width="3.5546875" style="240" customWidth="1"/>
    <col min="2" max="2" width="32.44140625" style="240" customWidth="1"/>
    <col min="3" max="3" width="19.44140625" style="240" customWidth="1"/>
    <col min="4" max="7" width="18.33203125" style="240" customWidth="1"/>
    <col min="8" max="8" width="13.6640625" style="240" customWidth="1"/>
    <col min="9" max="9" width="2.5546875" style="239" customWidth="1"/>
    <col min="10" max="10" width="8.88671875" style="236"/>
    <col min="11" max="11" width="25.33203125" style="238" customWidth="1"/>
    <col min="12" max="12" width="22" style="236" customWidth="1"/>
    <col min="13" max="15" width="13.5546875" style="236" customWidth="1"/>
    <col min="16" max="18" width="15.6640625" style="236" customWidth="1"/>
    <col min="19" max="19" width="16.5546875" style="236" customWidth="1"/>
    <col min="20" max="20" width="8.88671875" style="236"/>
    <col min="21" max="21" width="16.6640625" style="236" customWidth="1"/>
    <col min="22" max="22" width="17.5546875" style="236" customWidth="1"/>
    <col min="23" max="23" width="13.33203125" style="236" customWidth="1"/>
    <col min="24" max="24" width="8.88671875" style="236"/>
    <col min="25" max="25" width="25.5546875" style="238" customWidth="1"/>
    <col min="26" max="26" width="18.33203125" style="236" customWidth="1"/>
    <col min="27" max="37" width="13" style="236" customWidth="1"/>
    <col min="38" max="38" width="8.88671875" style="236"/>
    <col min="39" max="39" width="30" style="238" customWidth="1"/>
    <col min="40" max="40" width="35.109375" style="236" customWidth="1"/>
    <col min="41" max="41" width="15.88671875" style="236" customWidth="1"/>
    <col min="42" max="42" width="8.88671875" style="236"/>
    <col min="43" max="43" width="8.88671875" style="237"/>
    <col min="44" max="16384" width="8.88671875" style="236"/>
  </cols>
  <sheetData>
    <row r="1" spans="1:43" x14ac:dyDescent="0.3">
      <c r="A1" s="280" t="s">
        <v>467</v>
      </c>
      <c r="AM1" s="320"/>
    </row>
    <row r="2" spans="1:43" x14ac:dyDescent="0.3">
      <c r="AM2" s="320"/>
    </row>
    <row r="3" spans="1:43" ht="18.45" customHeight="1" x14ac:dyDescent="0.3">
      <c r="A3" s="281"/>
      <c r="AM3" s="320"/>
    </row>
    <row r="4" spans="1:43" ht="18.45" customHeight="1" x14ac:dyDescent="0.3">
      <c r="A4" s="280"/>
      <c r="J4" s="236" t="s">
        <v>466</v>
      </c>
      <c r="AM4" s="320"/>
    </row>
    <row r="5" spans="1:43" x14ac:dyDescent="0.3">
      <c r="A5" s="280"/>
      <c r="B5" s="253" t="s">
        <v>465</v>
      </c>
      <c r="C5" s="240" t="s">
        <v>464</v>
      </c>
      <c r="AM5" s="320"/>
    </row>
    <row r="6" spans="1:43" x14ac:dyDescent="0.3">
      <c r="A6" s="279"/>
      <c r="C6" s="240" t="s">
        <v>463</v>
      </c>
      <c r="K6" s="278" t="s">
        <v>462</v>
      </c>
      <c r="Q6" s="236" t="s">
        <v>431</v>
      </c>
      <c r="R6" s="246">
        <v>0.05</v>
      </c>
    </row>
    <row r="7" spans="1:43" x14ac:dyDescent="0.3">
      <c r="A7" s="252"/>
      <c r="B7" s="263" t="s">
        <v>0</v>
      </c>
      <c r="C7" s="270"/>
      <c r="K7" s="278" t="s">
        <v>461</v>
      </c>
      <c r="Q7" s="236" t="s">
        <v>460</v>
      </c>
      <c r="R7" s="246">
        <v>0.03</v>
      </c>
    </row>
    <row r="8" spans="1:43" ht="32.25" customHeight="1" x14ac:dyDescent="0.3">
      <c r="A8" s="252"/>
      <c r="B8" s="262" t="s">
        <v>2</v>
      </c>
      <c r="C8" s="319" t="s">
        <v>459</v>
      </c>
      <c r="D8" s="319"/>
      <c r="E8" s="319"/>
      <c r="F8" s="319"/>
      <c r="G8" s="319"/>
      <c r="K8" s="278" t="s">
        <v>458</v>
      </c>
      <c r="Q8" s="236" t="s">
        <v>457</v>
      </c>
      <c r="R8" s="246">
        <v>0.03</v>
      </c>
    </row>
    <row r="9" spans="1:43" ht="15.75" customHeight="1" x14ac:dyDescent="0.3">
      <c r="A9" s="277"/>
      <c r="B9" s="262" t="s">
        <v>456</v>
      </c>
      <c r="C9" s="319" t="s">
        <v>455</v>
      </c>
      <c r="D9" s="319"/>
      <c r="E9" s="319"/>
      <c r="F9" s="319"/>
      <c r="G9" s="319"/>
      <c r="K9" s="238" t="s">
        <v>26</v>
      </c>
      <c r="Q9" s="236" t="s">
        <v>454</v>
      </c>
      <c r="R9" s="246">
        <v>0.04</v>
      </c>
      <c r="Y9" s="238" t="s">
        <v>28</v>
      </c>
      <c r="AM9" s="238" t="s">
        <v>37</v>
      </c>
    </row>
    <row r="10" spans="1:43" x14ac:dyDescent="0.3">
      <c r="A10" s="277"/>
      <c r="B10" s="262" t="s">
        <v>453</v>
      </c>
      <c r="C10" s="319">
        <v>65</v>
      </c>
      <c r="D10" s="319"/>
      <c r="E10" s="319"/>
      <c r="F10" s="319"/>
      <c r="G10" s="319"/>
      <c r="L10" s="250" t="s">
        <v>406</v>
      </c>
      <c r="P10" s="236">
        <v>62</v>
      </c>
      <c r="Q10" s="236">
        <f>P10-1</f>
        <v>61</v>
      </c>
      <c r="R10" s="236">
        <f>Q10-1</f>
        <v>60</v>
      </c>
      <c r="Z10" s="250" t="s">
        <v>406</v>
      </c>
      <c r="AA10" s="249" t="s">
        <v>452</v>
      </c>
      <c r="AB10" s="249"/>
      <c r="AD10" s="236">
        <v>62</v>
      </c>
      <c r="AE10" s="236">
        <f>AD10-1</f>
        <v>61</v>
      </c>
      <c r="AF10" s="236">
        <f>AE10-1</f>
        <v>60</v>
      </c>
      <c r="AM10" s="243"/>
      <c r="AN10" s="236" t="s">
        <v>451</v>
      </c>
      <c r="AO10" s="244">
        <f>M101*(1+$R$6)</f>
        <v>91784.412362636125</v>
      </c>
      <c r="AQ10" s="237" t="s">
        <v>450</v>
      </c>
    </row>
    <row r="11" spans="1:43" ht="30.75" customHeight="1" x14ac:dyDescent="0.35">
      <c r="A11" s="275"/>
      <c r="B11" s="262" t="s">
        <v>449</v>
      </c>
      <c r="C11" s="319" t="s">
        <v>448</v>
      </c>
      <c r="D11" s="319"/>
      <c r="E11" s="319"/>
      <c r="F11" s="319"/>
      <c r="G11" s="319"/>
      <c r="L11" s="236" t="s">
        <v>307</v>
      </c>
      <c r="M11" s="236" t="s">
        <v>306</v>
      </c>
      <c r="N11" s="236" t="s">
        <v>305</v>
      </c>
      <c r="O11" s="236" t="s">
        <v>304</v>
      </c>
      <c r="P11" s="236" t="s">
        <v>303</v>
      </c>
      <c r="Q11" s="236" t="s">
        <v>302</v>
      </c>
      <c r="R11" s="236" t="s">
        <v>301</v>
      </c>
      <c r="S11" s="236" t="s">
        <v>300</v>
      </c>
      <c r="T11" s="236" t="s">
        <v>299</v>
      </c>
      <c r="U11" t="s">
        <v>297</v>
      </c>
      <c r="V11" s="236" t="s">
        <v>298</v>
      </c>
      <c r="W11" t="s">
        <v>297</v>
      </c>
      <c r="Z11" s="236" t="s">
        <v>307</v>
      </c>
      <c r="AA11" s="236" t="s">
        <v>306</v>
      </c>
      <c r="AB11" s="236" t="s">
        <v>305</v>
      </c>
      <c r="AC11" s="236" t="s">
        <v>304</v>
      </c>
      <c r="AD11" s="236" t="s">
        <v>303</v>
      </c>
      <c r="AE11" s="236" t="s">
        <v>302</v>
      </c>
      <c r="AF11" s="236" t="s">
        <v>301</v>
      </c>
      <c r="AG11" s="236" t="s">
        <v>300</v>
      </c>
      <c r="AH11" s="236" t="s">
        <v>299</v>
      </c>
      <c r="AI11" t="s">
        <v>297</v>
      </c>
      <c r="AJ11" s="236" t="s">
        <v>298</v>
      </c>
      <c r="AK11" t="s">
        <v>297</v>
      </c>
      <c r="AN11" s="236" t="s">
        <v>447</v>
      </c>
      <c r="AO11" s="244">
        <f>AA101</f>
        <v>20403.841291098623</v>
      </c>
      <c r="AQ11" s="237" t="s">
        <v>342</v>
      </c>
    </row>
    <row r="12" spans="1:43" ht="30.75" customHeight="1" x14ac:dyDescent="0.3">
      <c r="A12" s="275"/>
      <c r="B12" s="262" t="s">
        <v>446</v>
      </c>
      <c r="C12" s="319" t="s">
        <v>445</v>
      </c>
      <c r="D12" s="319"/>
      <c r="E12" s="319"/>
      <c r="F12" s="319"/>
      <c r="G12" s="319"/>
      <c r="K12" s="243"/>
      <c r="L12" s="236">
        <f>C26</f>
        <v>35</v>
      </c>
      <c r="M12" s="236">
        <f>C26-C30</f>
        <v>30</v>
      </c>
      <c r="N12" s="244">
        <f>C29</f>
        <v>65000</v>
      </c>
      <c r="O12" s="236">
        <f>C30</f>
        <v>5</v>
      </c>
      <c r="P12" s="244">
        <f>N12*(1+$R$7)^(P10-L12)</f>
        <v>144383.78536206009</v>
      </c>
      <c r="Q12" s="244">
        <f>N12*(1+$R$7)^(Q10-L12)</f>
        <v>140178.43239034963</v>
      </c>
      <c r="R12" s="244">
        <f>N12*(1+$R$7)^(R10-L12)</f>
        <v>136095.56542752389</v>
      </c>
      <c r="S12" s="236">
        <f>63-M12</f>
        <v>33</v>
      </c>
      <c r="T12" s="248">
        <f>(1+$R$6)/(1+$R$7)-1</f>
        <v>1.9417475728155331E-2</v>
      </c>
      <c r="U12" s="236">
        <f>PV(T12,S12,-1,0,1)</f>
        <v>24.668228551892909</v>
      </c>
      <c r="V12" s="236">
        <f>63-L12</f>
        <v>28</v>
      </c>
      <c r="W12" s="236">
        <f>PV(T12,V12,-1,0,1)</f>
        <v>21.859120902982653</v>
      </c>
      <c r="Z12" s="236">
        <f>L12+1</f>
        <v>36</v>
      </c>
      <c r="AA12" s="236">
        <f>M12</f>
        <v>30</v>
      </c>
      <c r="AB12" s="244">
        <f>N12*(1+E55)</f>
        <v>71500</v>
      </c>
      <c r="AC12" s="236">
        <f>O12+1</f>
        <v>6</v>
      </c>
      <c r="AD12" s="244">
        <f>AB12*(1+$R$7)^(AD10-Z12)</f>
        <v>154196.27562938459</v>
      </c>
      <c r="AE12" s="244">
        <f>AB12*(1+$R$7)^(AE10-Z12)</f>
        <v>149705.12197027629</v>
      </c>
      <c r="AF12" s="244">
        <f>AB12*(1+$R$7)^(AF10-Z12)</f>
        <v>145344.77861191874</v>
      </c>
      <c r="AG12" s="236">
        <f>63-AA12</f>
        <v>33</v>
      </c>
      <c r="AH12" s="248">
        <f>(1+$R$6)/(1+$R$7)-1</f>
        <v>1.9417475728155331E-2</v>
      </c>
      <c r="AI12" s="236">
        <f>PV(AH12,AG12,-1,0,1)</f>
        <v>24.668228551892909</v>
      </c>
      <c r="AJ12" s="236">
        <f>63-Z12</f>
        <v>27</v>
      </c>
      <c r="AK12" s="236">
        <f>PV(AH12,AJ12,-1,0,1)</f>
        <v>21.264152376826985</v>
      </c>
    </row>
    <row r="13" spans="1:43" ht="30.75" customHeight="1" x14ac:dyDescent="0.3">
      <c r="A13" s="275"/>
      <c r="B13" s="262" t="s">
        <v>4</v>
      </c>
      <c r="C13" s="319" t="s">
        <v>444</v>
      </c>
      <c r="D13" s="319"/>
      <c r="E13" s="319"/>
      <c r="F13" s="319"/>
      <c r="G13" s="319"/>
      <c r="K13" s="321"/>
      <c r="L13" s="236" t="s">
        <v>296</v>
      </c>
      <c r="M13" s="244">
        <f>0.015*(P12+Q12+R12)/3*S12*$C$40*(1+$R$6)^-S12*(1-$R$8*2)</f>
        <v>192999.22839632878</v>
      </c>
      <c r="O13" s="237" t="s">
        <v>443</v>
      </c>
      <c r="U13" s="276"/>
      <c r="Y13" s="321"/>
      <c r="Z13" s="236" t="s">
        <v>296</v>
      </c>
      <c r="AA13" s="244">
        <f>0.015*(AD12+AE12+AF12)/3*AG12*$C$40*(1+$R$6)^-AG12*(1-$R$8*2)</f>
        <v>206115.68081161327</v>
      </c>
      <c r="AB13" s="244"/>
      <c r="AC13" s="237" t="s">
        <v>442</v>
      </c>
      <c r="AM13" s="243"/>
      <c r="AN13" s="236" t="s">
        <v>330</v>
      </c>
      <c r="AO13" s="244">
        <f>AO10-AO11</f>
        <v>71380.571071537503</v>
      </c>
      <c r="AQ13" s="237" t="s">
        <v>441</v>
      </c>
    </row>
    <row r="14" spans="1:43" ht="30.75" customHeight="1" x14ac:dyDescent="0.3">
      <c r="A14" s="275"/>
      <c r="B14" s="262" t="s">
        <v>440</v>
      </c>
      <c r="C14" s="319" t="s">
        <v>439</v>
      </c>
      <c r="D14" s="319"/>
      <c r="E14" s="319"/>
      <c r="F14" s="319"/>
      <c r="G14" s="319"/>
      <c r="K14" s="322"/>
      <c r="L14" s="236" t="s">
        <v>294</v>
      </c>
      <c r="M14" s="244">
        <f>N12*(1+$R$7)^-O12*U12</f>
        <v>1383136.9918638398</v>
      </c>
      <c r="O14" s="237" t="s">
        <v>438</v>
      </c>
      <c r="Y14" s="322"/>
      <c r="Z14" s="236" t="s">
        <v>294</v>
      </c>
      <c r="AA14" s="244">
        <f>AB12*(1+$R$7)^-AC12*AI12</f>
        <v>1477136.5932526442</v>
      </c>
      <c r="AB14" s="244"/>
      <c r="AC14" s="237" t="s">
        <v>437</v>
      </c>
    </row>
    <row r="15" spans="1:43" x14ac:dyDescent="0.3">
      <c r="B15" s="273"/>
      <c r="C15" s="273"/>
      <c r="D15" s="273"/>
      <c r="K15" s="322"/>
      <c r="Y15" s="322"/>
      <c r="AC15" s="237"/>
      <c r="AF15" s="236" t="s">
        <v>436</v>
      </c>
    </row>
    <row r="16" spans="1:43" x14ac:dyDescent="0.3">
      <c r="A16" s="274"/>
      <c r="B16" s="263" t="s">
        <v>221</v>
      </c>
      <c r="C16" s="273"/>
      <c r="D16" s="273"/>
      <c r="K16" s="322"/>
      <c r="L16" s="236" t="s">
        <v>292</v>
      </c>
      <c r="M16" s="244">
        <f>M13/M14*N12</f>
        <v>9069.925769866426</v>
      </c>
      <c r="O16" s="237" t="s">
        <v>435</v>
      </c>
      <c r="Y16" s="322"/>
      <c r="Z16" s="236" t="s">
        <v>292</v>
      </c>
      <c r="AA16" s="244">
        <f>AA13/AA14*AB12</f>
        <v>9976.9183468530719</v>
      </c>
      <c r="AB16" s="244"/>
      <c r="AC16" s="237" t="s">
        <v>434</v>
      </c>
      <c r="AF16" s="244">
        <f>M16*(1+$E$55)</f>
        <v>9976.91834685307</v>
      </c>
      <c r="AH16" s="237" t="s">
        <v>433</v>
      </c>
      <c r="AN16" s="250" t="s">
        <v>432</v>
      </c>
    </row>
    <row r="17" spans="1:43" x14ac:dyDescent="0.3">
      <c r="B17" s="271" t="s">
        <v>431</v>
      </c>
      <c r="C17" s="323" t="s">
        <v>430</v>
      </c>
      <c r="D17" s="323"/>
      <c r="E17" s="323"/>
      <c r="F17" s="323"/>
      <c r="K17" s="322"/>
      <c r="L17" s="236" t="s">
        <v>290</v>
      </c>
      <c r="M17" s="244">
        <f>$R$9*N12</f>
        <v>2600</v>
      </c>
      <c r="O17" s="237" t="s">
        <v>429</v>
      </c>
      <c r="Y17" s="322"/>
      <c r="Z17" s="236" t="s">
        <v>290</v>
      </c>
      <c r="AA17" s="244">
        <f>$R$9*AB12</f>
        <v>2860</v>
      </c>
      <c r="AB17" s="244"/>
      <c r="AC17" s="237" t="s">
        <v>428</v>
      </c>
      <c r="AF17" s="244">
        <f>M17*(1+$E$55)</f>
        <v>2860.0000000000005</v>
      </c>
      <c r="AH17" s="237" t="s">
        <v>427</v>
      </c>
      <c r="AM17" s="243"/>
      <c r="AN17" s="236" t="s">
        <v>426</v>
      </c>
      <c r="AO17" s="244">
        <f>M98*(1+$R$6)</f>
        <v>38891.365043343634</v>
      </c>
      <c r="AQ17" s="237" t="s">
        <v>425</v>
      </c>
    </row>
    <row r="18" spans="1:43" ht="16.2" x14ac:dyDescent="0.3">
      <c r="A18" s="272"/>
      <c r="B18" s="271" t="s">
        <v>8</v>
      </c>
      <c r="C18" s="323" t="s">
        <v>424</v>
      </c>
      <c r="D18" s="323"/>
      <c r="E18" s="323"/>
      <c r="F18" s="323"/>
      <c r="K18" s="322"/>
      <c r="L18" s="241" t="s">
        <v>288</v>
      </c>
      <c r="M18" s="242">
        <f>M16-M17</f>
        <v>6469.925769866426</v>
      </c>
      <c r="O18" s="237" t="s">
        <v>423</v>
      </c>
      <c r="Y18" s="322"/>
      <c r="Z18" s="241" t="s">
        <v>288</v>
      </c>
      <c r="AA18" s="242">
        <f>AA16-AA17</f>
        <v>7116.9183468530719</v>
      </c>
      <c r="AB18" s="242"/>
      <c r="AC18" s="237" t="s">
        <v>422</v>
      </c>
      <c r="AF18" s="244">
        <f>M18*(1+$E$55)</f>
        <v>7116.9183468530691</v>
      </c>
      <c r="AH18" s="237" t="s">
        <v>421</v>
      </c>
      <c r="AN18" s="236" t="s">
        <v>420</v>
      </c>
      <c r="AO18" s="244">
        <f>E54</f>
        <v>67000</v>
      </c>
    </row>
    <row r="19" spans="1:43" ht="32.25" customHeight="1" x14ac:dyDescent="0.3">
      <c r="B19" s="271" t="s">
        <v>13</v>
      </c>
      <c r="C19" s="319" t="s">
        <v>419</v>
      </c>
      <c r="D19" s="319"/>
      <c r="E19" s="319"/>
      <c r="F19" s="319"/>
      <c r="K19" s="243"/>
      <c r="O19" s="237"/>
      <c r="Y19" s="243"/>
    </row>
    <row r="20" spans="1:43" ht="15.75" customHeight="1" x14ac:dyDescent="0.3">
      <c r="B20" s="271" t="s">
        <v>418</v>
      </c>
      <c r="C20" s="323" t="s">
        <v>10</v>
      </c>
      <c r="D20" s="323"/>
      <c r="E20" s="323"/>
      <c r="F20" s="323"/>
      <c r="K20" s="321"/>
      <c r="L20" s="236" t="s">
        <v>286</v>
      </c>
      <c r="M20" s="244">
        <f>M13*(1+$R$6)^O12</f>
        <v>246321.35677896088</v>
      </c>
      <c r="O20" s="237" t="s">
        <v>417</v>
      </c>
      <c r="Y20" s="321"/>
      <c r="Z20" s="236" t="s">
        <v>286</v>
      </c>
      <c r="AA20" s="244">
        <f>AA13*(1+$R$6)^AC12</f>
        <v>276214.72532009688</v>
      </c>
      <c r="AB20" s="244"/>
      <c r="AC20" s="237" t="s">
        <v>416</v>
      </c>
      <c r="AM20" s="243"/>
      <c r="AN20" s="236" t="s">
        <v>330</v>
      </c>
      <c r="AO20" s="244">
        <f>AO18-AO17</f>
        <v>28108.634956656366</v>
      </c>
      <c r="AQ20" s="237" t="s">
        <v>415</v>
      </c>
    </row>
    <row r="21" spans="1:43" x14ac:dyDescent="0.3">
      <c r="B21" s="271" t="s">
        <v>11</v>
      </c>
      <c r="C21" s="323" t="s">
        <v>414</v>
      </c>
      <c r="D21" s="323"/>
      <c r="E21" s="323"/>
      <c r="F21" s="323"/>
      <c r="K21" s="322"/>
      <c r="O21" s="237"/>
      <c r="Y21" s="322"/>
      <c r="AC21" s="237"/>
    </row>
    <row r="22" spans="1:43" x14ac:dyDescent="0.3">
      <c r="B22" s="271" t="s">
        <v>185</v>
      </c>
      <c r="C22" s="323" t="s">
        <v>22</v>
      </c>
      <c r="D22" s="323"/>
      <c r="E22" s="323"/>
      <c r="F22" s="323"/>
      <c r="K22" s="322"/>
      <c r="L22" s="236" t="s">
        <v>284</v>
      </c>
      <c r="M22" s="244">
        <f>M18*W12</f>
        <v>141426.88963683334</v>
      </c>
      <c r="O22" s="237" t="s">
        <v>413</v>
      </c>
      <c r="Y22" s="322"/>
      <c r="Z22" s="236" t="s">
        <v>284</v>
      </c>
      <c r="AA22" s="244">
        <f>AA18*AK12</f>
        <v>151335.23618091931</v>
      </c>
      <c r="AB22" s="244"/>
      <c r="AC22" s="237" t="s">
        <v>412</v>
      </c>
    </row>
    <row r="23" spans="1:43" x14ac:dyDescent="0.3">
      <c r="K23" s="322"/>
      <c r="L23" s="236" t="s">
        <v>282</v>
      </c>
      <c r="M23" s="244">
        <f>M17*W12</f>
        <v>56833.714347754896</v>
      </c>
      <c r="O23" s="237" t="s">
        <v>411</v>
      </c>
      <c r="Y23" s="322"/>
      <c r="Z23" s="236" t="s">
        <v>282</v>
      </c>
      <c r="AA23" s="244">
        <f>AA17*AK12</f>
        <v>60815.475797725179</v>
      </c>
      <c r="AB23" s="244"/>
      <c r="AC23" s="237" t="s">
        <v>410</v>
      </c>
      <c r="AN23" s="250" t="s">
        <v>409</v>
      </c>
    </row>
    <row r="24" spans="1:43" x14ac:dyDescent="0.3">
      <c r="B24" s="263" t="s">
        <v>408</v>
      </c>
      <c r="C24" s="270"/>
      <c r="D24" s="270"/>
      <c r="E24" s="270"/>
      <c r="K24" s="322"/>
      <c r="O24" s="237"/>
      <c r="Y24" s="322"/>
      <c r="AC24" s="237"/>
      <c r="AN24" s="236" t="s">
        <v>407</v>
      </c>
      <c r="AO24" s="244">
        <f>AA99</f>
        <v>921920.00000000012</v>
      </c>
      <c r="AQ24" s="237" t="s">
        <v>342</v>
      </c>
    </row>
    <row r="25" spans="1:43" x14ac:dyDescent="0.3">
      <c r="B25" s="269"/>
      <c r="C25" s="268" t="s">
        <v>406</v>
      </c>
      <c r="D25" s="268" t="s">
        <v>397</v>
      </c>
      <c r="E25" s="268" t="s">
        <v>367</v>
      </c>
      <c r="F25" s="268" t="s">
        <v>334</v>
      </c>
      <c r="G25" s="268" t="s">
        <v>309</v>
      </c>
      <c r="K25" s="322"/>
      <c r="L25" s="241" t="s">
        <v>278</v>
      </c>
      <c r="M25" s="242">
        <f>M20-M22-M23</f>
        <v>48060.752794372645</v>
      </c>
      <c r="N25" s="242"/>
      <c r="O25" s="237" t="s">
        <v>405</v>
      </c>
      <c r="Y25" s="322"/>
      <c r="Z25" s="241" t="s">
        <v>278</v>
      </c>
      <c r="AA25" s="242">
        <f>AA20-AA22-AA23</f>
        <v>64064.013341452395</v>
      </c>
      <c r="AB25" s="242"/>
      <c r="AC25" s="237" t="s">
        <v>404</v>
      </c>
      <c r="AM25" s="243"/>
      <c r="AN25" s="236" t="s">
        <v>403</v>
      </c>
      <c r="AO25" s="244">
        <f>(AA94+AA97)*(1+$R$6)+AA95+AA98</f>
        <v>863050</v>
      </c>
      <c r="AQ25" s="237" t="s">
        <v>402</v>
      </c>
    </row>
    <row r="26" spans="1:43" x14ac:dyDescent="0.3">
      <c r="B26" s="262" t="s">
        <v>15</v>
      </c>
      <c r="C26" s="266">
        <v>35</v>
      </c>
      <c r="D26" s="266">
        <v>50</v>
      </c>
      <c r="E26" s="266">
        <v>67</v>
      </c>
      <c r="F26" s="266">
        <v>62</v>
      </c>
      <c r="G26" s="266">
        <v>42</v>
      </c>
      <c r="K26" s="243"/>
      <c r="Y26" s="243"/>
    </row>
    <row r="27" spans="1:43" x14ac:dyDescent="0.3">
      <c r="B27" s="262" t="s">
        <v>401</v>
      </c>
      <c r="C27" s="267">
        <v>61000</v>
      </c>
      <c r="D27" s="267" t="s">
        <v>391</v>
      </c>
      <c r="E27" s="267" t="s">
        <v>391</v>
      </c>
      <c r="F27" s="267">
        <v>103000</v>
      </c>
      <c r="G27" s="267">
        <v>52000</v>
      </c>
      <c r="K27" s="243"/>
      <c r="Y27" s="243"/>
      <c r="AM27" s="243"/>
      <c r="AN27" s="236" t="s">
        <v>330</v>
      </c>
      <c r="AO27" s="244">
        <f>AO24-AO25</f>
        <v>58870.000000000116</v>
      </c>
      <c r="AQ27" s="237" t="s">
        <v>400</v>
      </c>
    </row>
    <row r="28" spans="1:43" x14ac:dyDescent="0.3">
      <c r="B28" s="262" t="s">
        <v>399</v>
      </c>
      <c r="C28" s="267">
        <v>63000</v>
      </c>
      <c r="D28" s="267" t="s">
        <v>391</v>
      </c>
      <c r="E28" s="267" t="s">
        <v>391</v>
      </c>
      <c r="F28" s="267">
        <v>106000</v>
      </c>
      <c r="G28" s="267">
        <v>55500</v>
      </c>
      <c r="K28" s="243"/>
      <c r="Y28" s="243"/>
    </row>
    <row r="29" spans="1:43" x14ac:dyDescent="0.3">
      <c r="B29" s="262" t="s">
        <v>398</v>
      </c>
      <c r="C29" s="267">
        <v>65000</v>
      </c>
      <c r="D29" s="267" t="s">
        <v>391</v>
      </c>
      <c r="E29" s="267" t="s">
        <v>391</v>
      </c>
      <c r="F29" s="267">
        <v>109000</v>
      </c>
      <c r="G29" s="267">
        <v>59000</v>
      </c>
      <c r="K29" s="243"/>
      <c r="L29" s="250" t="s">
        <v>397</v>
      </c>
      <c r="M29" s="249" t="s">
        <v>389</v>
      </c>
      <c r="N29" s="236" t="s">
        <v>396</v>
      </c>
      <c r="Y29" s="243"/>
      <c r="Z29" s="250" t="s">
        <v>397</v>
      </c>
      <c r="AA29" s="249" t="s">
        <v>389</v>
      </c>
      <c r="AB29" s="258" t="s">
        <v>396</v>
      </c>
    </row>
    <row r="30" spans="1:43" x14ac:dyDescent="0.3">
      <c r="B30" s="262" t="s">
        <v>395</v>
      </c>
      <c r="C30" s="266">
        <v>5</v>
      </c>
      <c r="D30" s="266">
        <v>18</v>
      </c>
      <c r="E30" s="266">
        <v>29</v>
      </c>
      <c r="F30" s="266">
        <v>9</v>
      </c>
      <c r="G30" s="266">
        <v>7</v>
      </c>
      <c r="K30" s="243"/>
      <c r="L30" s="236" t="s">
        <v>307</v>
      </c>
      <c r="M30" s="236" t="s">
        <v>306</v>
      </c>
      <c r="N30" s="236" t="s">
        <v>365</v>
      </c>
      <c r="O30" s="236" t="s">
        <v>394</v>
      </c>
      <c r="Y30" s="243"/>
      <c r="Z30" s="236" t="s">
        <v>307</v>
      </c>
      <c r="AA30" s="236" t="s">
        <v>306</v>
      </c>
      <c r="AB30" s="236" t="s">
        <v>365</v>
      </c>
      <c r="AC30" s="236" t="s">
        <v>394</v>
      </c>
      <c r="AK30"/>
      <c r="AN30" s="250" t="s">
        <v>393</v>
      </c>
    </row>
    <row r="31" spans="1:43" x14ac:dyDescent="0.3">
      <c r="B31" s="262" t="s">
        <v>392</v>
      </c>
      <c r="C31" s="266" t="s">
        <v>391</v>
      </c>
      <c r="D31" s="267">
        <v>17000</v>
      </c>
      <c r="E31" s="267">
        <v>39000</v>
      </c>
      <c r="F31" s="266" t="s">
        <v>391</v>
      </c>
      <c r="G31" s="266" t="s">
        <v>391</v>
      </c>
      <c r="K31" s="243"/>
      <c r="L31" s="236">
        <f>D26</f>
        <v>50</v>
      </c>
      <c r="M31" s="236">
        <f>D26-D30</f>
        <v>32</v>
      </c>
      <c r="N31" s="244">
        <f>D31</f>
        <v>17000</v>
      </c>
      <c r="O31" s="236">
        <f>63-L31</f>
        <v>13</v>
      </c>
      <c r="Y31" s="243"/>
      <c r="Z31" s="236">
        <f>L31+1</f>
        <v>51</v>
      </c>
      <c r="AA31" s="236">
        <f>M31</f>
        <v>32</v>
      </c>
      <c r="AB31" s="244">
        <f>N31</f>
        <v>17000</v>
      </c>
      <c r="AC31" s="236">
        <f>63-Z31</f>
        <v>12</v>
      </c>
      <c r="AM31" s="243"/>
      <c r="AN31" s="236" t="s">
        <v>345</v>
      </c>
      <c r="AO31" s="244">
        <f>(M25+M16)*(1+$R$6)</f>
        <v>59987.212492451028</v>
      </c>
      <c r="AQ31" s="237" t="s">
        <v>390</v>
      </c>
    </row>
    <row r="32" spans="1:43" x14ac:dyDescent="0.3">
      <c r="B32" s="262" t="s">
        <v>19</v>
      </c>
      <c r="C32" s="266" t="s">
        <v>20</v>
      </c>
      <c r="D32" s="266" t="s">
        <v>389</v>
      </c>
      <c r="E32" s="266" t="s">
        <v>21</v>
      </c>
      <c r="F32" s="266" t="s">
        <v>20</v>
      </c>
      <c r="G32" s="266" t="s">
        <v>20</v>
      </c>
      <c r="K32" s="243"/>
      <c r="N32" s="244"/>
      <c r="P32" s="244"/>
      <c r="Q32" s="244"/>
      <c r="R32" s="244"/>
      <c r="T32" s="248"/>
      <c r="Y32" s="243"/>
      <c r="AN32" s="236" t="s">
        <v>358</v>
      </c>
      <c r="AO32" s="244">
        <f>AA25</f>
        <v>64064.013341452395</v>
      </c>
      <c r="AQ32" s="237" t="s">
        <v>342</v>
      </c>
    </row>
    <row r="33" spans="1:43" x14ac:dyDescent="0.3">
      <c r="B33" s="262" t="s">
        <v>388</v>
      </c>
      <c r="C33" s="266" t="s">
        <v>387</v>
      </c>
      <c r="D33" s="266" t="s">
        <v>387</v>
      </c>
      <c r="E33" s="266" t="s">
        <v>387</v>
      </c>
      <c r="F33" s="266" t="s">
        <v>387</v>
      </c>
      <c r="G33" s="266" t="s">
        <v>387</v>
      </c>
      <c r="K33" s="243"/>
      <c r="L33" s="244"/>
      <c r="M33" s="244"/>
      <c r="N33" s="244"/>
      <c r="O33" s="244"/>
      <c r="Y33" s="243"/>
    </row>
    <row r="34" spans="1:43" ht="16.8" x14ac:dyDescent="0.35">
      <c r="K34" s="243"/>
      <c r="L34" s="244"/>
      <c r="M34" s="244"/>
      <c r="N34" s="244"/>
      <c r="O34" s="244"/>
      <c r="Y34" s="243"/>
      <c r="Z34" s="241" t="s">
        <v>278</v>
      </c>
      <c r="AA34" s="242">
        <f>AB31*C36/C40*C40*(1+R6)^-AC31</f>
        <v>134420.55274806285</v>
      </c>
      <c r="AC34" s="237" t="s">
        <v>386</v>
      </c>
      <c r="AM34" s="243"/>
      <c r="AN34" s="236" t="s">
        <v>330</v>
      </c>
      <c r="AO34" s="244">
        <f>AO31-AO32</f>
        <v>-4076.8008490013672</v>
      </c>
      <c r="AQ34" s="237" t="s">
        <v>385</v>
      </c>
    </row>
    <row r="35" spans="1:43" x14ac:dyDescent="0.3">
      <c r="B35" s="263" t="s">
        <v>384</v>
      </c>
      <c r="K35" s="243"/>
      <c r="L35" s="244"/>
      <c r="M35" s="244"/>
      <c r="Y35" s="243"/>
    </row>
    <row r="36" spans="1:43" ht="15.75" customHeight="1" x14ac:dyDescent="0.3">
      <c r="B36" s="332" t="s">
        <v>383</v>
      </c>
      <c r="C36" s="324">
        <v>14.2</v>
      </c>
      <c r="D36" s="332" t="s">
        <v>382</v>
      </c>
      <c r="E36" s="332"/>
      <c r="F36" s="324">
        <v>13.7</v>
      </c>
      <c r="K36" s="243"/>
      <c r="L36" s="236" t="s">
        <v>292</v>
      </c>
      <c r="M36" s="244">
        <v>0</v>
      </c>
      <c r="N36" s="244"/>
      <c r="O36" s="244"/>
      <c r="Y36" s="243"/>
    </row>
    <row r="37" spans="1:43" x14ac:dyDescent="0.3">
      <c r="B37" s="332"/>
      <c r="C37" s="325"/>
      <c r="D37" s="332"/>
      <c r="E37" s="332"/>
      <c r="F37" s="325"/>
      <c r="K37" s="243"/>
      <c r="L37" s="236" t="s">
        <v>290</v>
      </c>
      <c r="M37" s="244">
        <v>0</v>
      </c>
      <c r="N37" s="244"/>
      <c r="O37" s="244"/>
      <c r="Y37" s="243"/>
      <c r="AN37" s="250" t="s">
        <v>381</v>
      </c>
    </row>
    <row r="38" spans="1:43" ht="20.25" customHeight="1" x14ac:dyDescent="0.3">
      <c r="B38" s="332" t="s">
        <v>380</v>
      </c>
      <c r="C38" s="324">
        <v>14.5</v>
      </c>
      <c r="D38" s="326" t="s">
        <v>379</v>
      </c>
      <c r="E38" s="327"/>
      <c r="F38" s="324">
        <v>13.4</v>
      </c>
      <c r="K38" s="243"/>
      <c r="L38" s="241" t="s">
        <v>288</v>
      </c>
      <c r="M38" s="242">
        <v>0</v>
      </c>
      <c r="N38" s="242"/>
      <c r="O38" s="242"/>
      <c r="Y38" s="243"/>
      <c r="AM38" s="243"/>
      <c r="AN38" s="236" t="s">
        <v>345</v>
      </c>
      <c r="AO38" s="244">
        <f>(M47+M36)*(1+$R$6)</f>
        <v>134420.55274806282</v>
      </c>
      <c r="AQ38" s="237" t="s">
        <v>378</v>
      </c>
    </row>
    <row r="39" spans="1:43" x14ac:dyDescent="0.3">
      <c r="B39" s="332"/>
      <c r="C39" s="325"/>
      <c r="D39" s="328"/>
      <c r="E39" s="329"/>
      <c r="F39" s="325"/>
      <c r="K39" s="243"/>
      <c r="Y39" s="243"/>
      <c r="AN39" s="236" t="s">
        <v>358</v>
      </c>
      <c r="AO39" s="244">
        <f>AA34</f>
        <v>134420.55274806285</v>
      </c>
      <c r="AQ39" s="237" t="s">
        <v>342</v>
      </c>
    </row>
    <row r="40" spans="1:43" ht="20.25" customHeight="1" x14ac:dyDescent="0.3">
      <c r="B40" s="332" t="s">
        <v>377</v>
      </c>
      <c r="C40" s="324">
        <v>14.8</v>
      </c>
      <c r="D40" s="265"/>
      <c r="E40" s="265"/>
      <c r="F40" s="264"/>
      <c r="K40" s="243"/>
      <c r="Y40" s="243"/>
    </row>
    <row r="41" spans="1:43" x14ac:dyDescent="0.3">
      <c r="B41" s="332"/>
      <c r="C41" s="325"/>
      <c r="D41" s="265"/>
      <c r="E41" s="265"/>
      <c r="F41" s="264"/>
      <c r="K41" s="243"/>
      <c r="Y41" s="243"/>
      <c r="AM41" s="243"/>
      <c r="AN41" s="236" t="s">
        <v>330</v>
      </c>
      <c r="AO41" s="244">
        <f>AO38-AO39</f>
        <v>0</v>
      </c>
      <c r="AQ41" s="237" t="s">
        <v>376</v>
      </c>
    </row>
    <row r="42" spans="1:43" x14ac:dyDescent="0.3">
      <c r="K42" s="243"/>
      <c r="L42" s="244"/>
      <c r="M42" s="244"/>
      <c r="N42" s="244"/>
      <c r="O42" s="244"/>
      <c r="Y42" s="243"/>
    </row>
    <row r="43" spans="1:43" x14ac:dyDescent="0.3">
      <c r="B43" s="263" t="s">
        <v>375</v>
      </c>
      <c r="K43" s="243"/>
      <c r="L43" s="244"/>
      <c r="M43" s="244"/>
      <c r="Y43" s="243"/>
    </row>
    <row r="44" spans="1:43" ht="31.2" x14ac:dyDescent="0.3">
      <c r="B44" s="262" t="s">
        <v>374</v>
      </c>
      <c r="C44" s="261">
        <v>880000</v>
      </c>
      <c r="K44" s="243"/>
      <c r="L44" s="244"/>
      <c r="M44" s="244"/>
      <c r="N44" s="244"/>
      <c r="O44" s="244"/>
      <c r="Y44" s="243"/>
      <c r="AN44" s="250" t="s">
        <v>373</v>
      </c>
    </row>
    <row r="45" spans="1:43" x14ac:dyDescent="0.3">
      <c r="K45" s="243"/>
      <c r="L45" s="244"/>
      <c r="M45" s="244"/>
      <c r="N45" s="244"/>
      <c r="O45" s="244"/>
      <c r="Y45" s="243"/>
      <c r="AM45" s="243"/>
      <c r="AN45" s="236" t="s">
        <v>345</v>
      </c>
      <c r="AO45" s="244">
        <f>(M62-N51)*(1+$R$6)</f>
        <v>520065</v>
      </c>
      <c r="AQ45" s="237" t="s">
        <v>372</v>
      </c>
    </row>
    <row r="46" spans="1:43" x14ac:dyDescent="0.3">
      <c r="A46" s="240" t="s">
        <v>26</v>
      </c>
      <c r="B46" s="253" t="s">
        <v>371</v>
      </c>
      <c r="C46" s="240" t="s">
        <v>370</v>
      </c>
      <c r="K46" s="243"/>
      <c r="Y46" s="243"/>
      <c r="AN46" s="236" t="s">
        <v>358</v>
      </c>
      <c r="AO46" s="244">
        <f>AA62</f>
        <v>522600</v>
      </c>
      <c r="AQ46" s="237" t="s">
        <v>342</v>
      </c>
    </row>
    <row r="47" spans="1:43" x14ac:dyDescent="0.3">
      <c r="B47" s="253"/>
      <c r="K47" s="243" t="s">
        <v>341</v>
      </c>
      <c r="L47" s="241" t="s">
        <v>278</v>
      </c>
      <c r="M47" s="242">
        <f>N31*(C36/C40)*C40*(1+R6)^-O31</f>
        <v>128019.5740457741</v>
      </c>
      <c r="O47" s="237" t="s">
        <v>369</v>
      </c>
      <c r="Y47" s="243"/>
    </row>
    <row r="48" spans="1:43" x14ac:dyDescent="0.3">
      <c r="B48" s="253"/>
      <c r="C48" s="331" t="s">
        <v>332</v>
      </c>
      <c r="D48" s="331"/>
      <c r="E48" s="331"/>
      <c r="F48" s="331"/>
      <c r="G48" s="331"/>
      <c r="H48" s="331"/>
      <c r="I48" s="331"/>
      <c r="J48" s="260"/>
      <c r="K48" s="259"/>
      <c r="Y48" s="243"/>
      <c r="AM48" s="243"/>
      <c r="AN48" s="236" t="s">
        <v>330</v>
      </c>
      <c r="AO48" s="244">
        <f>AO45-AO46</f>
        <v>-2535</v>
      </c>
      <c r="AQ48" s="237" t="s">
        <v>368</v>
      </c>
    </row>
    <row r="49" spans="1:43" x14ac:dyDescent="0.3">
      <c r="B49" s="253"/>
      <c r="K49" s="243"/>
      <c r="L49" s="250" t="s">
        <v>367</v>
      </c>
      <c r="M49" s="249" t="s">
        <v>21</v>
      </c>
      <c r="N49" s="236" t="s">
        <v>366</v>
      </c>
      <c r="Y49" s="243"/>
      <c r="Z49" s="250" t="s">
        <v>367</v>
      </c>
      <c r="AA49" s="249" t="s">
        <v>21</v>
      </c>
      <c r="AB49" s="258" t="s">
        <v>366</v>
      </c>
      <c r="AC49" s="244"/>
      <c r="AD49" s="244"/>
      <c r="AE49" s="244"/>
      <c r="AF49" s="244"/>
      <c r="AG49" s="244"/>
      <c r="AH49" s="244"/>
      <c r="AI49" s="244"/>
      <c r="AJ49" s="244"/>
      <c r="AK49" s="244"/>
    </row>
    <row r="50" spans="1:43" x14ac:dyDescent="0.3">
      <c r="K50" s="243"/>
      <c r="L50" s="236" t="s">
        <v>307</v>
      </c>
      <c r="M50" s="236" t="s">
        <v>306</v>
      </c>
      <c r="N50" s="236" t="s">
        <v>365</v>
      </c>
      <c r="Y50" s="243"/>
      <c r="Z50" s="236" t="s">
        <v>307</v>
      </c>
      <c r="AA50" s="236" t="s">
        <v>306</v>
      </c>
      <c r="AB50" s="236" t="s">
        <v>365</v>
      </c>
      <c r="AC50" s="244"/>
      <c r="AD50" s="244"/>
      <c r="AE50" s="244"/>
      <c r="AF50" s="244"/>
      <c r="AG50" s="244"/>
      <c r="AH50" s="244"/>
      <c r="AI50" s="244"/>
      <c r="AJ50" s="244"/>
      <c r="AK50" s="244"/>
    </row>
    <row r="51" spans="1:43" x14ac:dyDescent="0.3">
      <c r="B51" s="257" t="s">
        <v>364</v>
      </c>
      <c r="K51" s="243"/>
      <c r="L51" s="236">
        <f>E26</f>
        <v>67</v>
      </c>
      <c r="M51" s="236">
        <f>E26-E30</f>
        <v>38</v>
      </c>
      <c r="N51" s="244">
        <f>E31</f>
        <v>39000</v>
      </c>
      <c r="Y51" s="243"/>
      <c r="Z51" s="236">
        <f>L51+1</f>
        <v>68</v>
      </c>
      <c r="AA51" s="236">
        <f>M51</f>
        <v>38</v>
      </c>
      <c r="AB51" s="244">
        <f>N51</f>
        <v>39000</v>
      </c>
      <c r="AC51" s="244"/>
      <c r="AD51" s="244"/>
      <c r="AE51" s="244"/>
      <c r="AF51" s="244"/>
      <c r="AG51" s="244"/>
      <c r="AH51" s="244"/>
      <c r="AI51" s="244"/>
      <c r="AJ51" s="244"/>
      <c r="AK51" s="244"/>
      <c r="AN51" s="250" t="s">
        <v>363</v>
      </c>
    </row>
    <row r="52" spans="1:43" x14ac:dyDescent="0.3">
      <c r="B52" s="257" t="s">
        <v>362</v>
      </c>
      <c r="K52" s="243"/>
      <c r="M52" s="244"/>
      <c r="N52" s="244"/>
      <c r="Y52" s="243"/>
      <c r="Z52" s="244"/>
      <c r="AA52" s="244"/>
      <c r="AB52" s="244"/>
      <c r="AC52" s="244"/>
      <c r="AM52" s="243"/>
      <c r="AN52" s="236" t="s">
        <v>345</v>
      </c>
      <c r="AO52" s="244">
        <f>(M79+M70)*(1+$R$6)</f>
        <v>221200.8</v>
      </c>
      <c r="AQ52" s="237" t="s">
        <v>361</v>
      </c>
    </row>
    <row r="53" spans="1:43" x14ac:dyDescent="0.3">
      <c r="B53" s="330" t="s">
        <v>360</v>
      </c>
      <c r="C53" s="330"/>
      <c r="D53" s="330"/>
      <c r="E53" s="256">
        <v>0.12</v>
      </c>
      <c r="F53" s="240" t="s">
        <v>359</v>
      </c>
      <c r="K53" s="243"/>
      <c r="L53" s="244"/>
      <c r="M53" s="244"/>
      <c r="N53" s="244"/>
      <c r="Y53" s="243"/>
      <c r="Z53" s="244"/>
      <c r="AA53" s="244"/>
      <c r="AB53" s="244"/>
      <c r="AC53" s="244"/>
      <c r="AN53" s="236" t="s">
        <v>358</v>
      </c>
      <c r="AO53" s="244">
        <f>AA79</f>
        <v>221239.27520158348</v>
      </c>
      <c r="AQ53" s="237" t="s">
        <v>342</v>
      </c>
    </row>
    <row r="54" spans="1:43" x14ac:dyDescent="0.3">
      <c r="B54" s="330" t="s">
        <v>357</v>
      </c>
      <c r="C54" s="330"/>
      <c r="D54" s="330"/>
      <c r="E54" s="254">
        <v>67000</v>
      </c>
      <c r="F54" s="240" t="s">
        <v>356</v>
      </c>
      <c r="K54" s="243"/>
      <c r="L54" s="244"/>
      <c r="M54" s="244"/>
      <c r="Y54" s="243"/>
      <c r="Z54" s="244"/>
      <c r="AA54" s="244"/>
    </row>
    <row r="55" spans="1:43" x14ac:dyDescent="0.3">
      <c r="B55" s="330" t="s">
        <v>355</v>
      </c>
      <c r="C55" s="330"/>
      <c r="D55" s="330"/>
      <c r="E55" s="255">
        <v>0.1</v>
      </c>
      <c r="F55" s="240" t="s">
        <v>354</v>
      </c>
      <c r="K55" s="243"/>
      <c r="L55" s="244"/>
      <c r="M55" s="244"/>
      <c r="Y55" s="243"/>
      <c r="Z55" s="244"/>
      <c r="AA55" s="244"/>
      <c r="AM55" s="243"/>
      <c r="AN55" s="236" t="s">
        <v>330</v>
      </c>
      <c r="AO55" s="244">
        <f>AO52-AO53</f>
        <v>-38.475201583496528</v>
      </c>
      <c r="AQ55" s="237" t="s">
        <v>353</v>
      </c>
    </row>
    <row r="56" spans="1:43" x14ac:dyDescent="0.3">
      <c r="B56" s="330" t="s">
        <v>352</v>
      </c>
      <c r="C56" s="330"/>
      <c r="D56" s="330"/>
      <c r="E56" s="255">
        <v>0.03</v>
      </c>
      <c r="F56" s="240" t="s">
        <v>351</v>
      </c>
      <c r="K56" s="243"/>
      <c r="L56" s="244" t="s">
        <v>292</v>
      </c>
      <c r="M56" s="244">
        <v>0</v>
      </c>
      <c r="Y56" s="243"/>
      <c r="Z56" s="244"/>
      <c r="AA56" s="244"/>
    </row>
    <row r="57" spans="1:43" x14ac:dyDescent="0.3">
      <c r="B57" s="330" t="s">
        <v>350</v>
      </c>
      <c r="C57" s="330"/>
      <c r="D57" s="330"/>
      <c r="E57" s="254">
        <v>87000</v>
      </c>
      <c r="F57" s="240" t="s">
        <v>349</v>
      </c>
      <c r="K57" s="243"/>
      <c r="L57" s="244" t="s">
        <v>290</v>
      </c>
      <c r="M57" s="244">
        <v>0</v>
      </c>
      <c r="Y57" s="243"/>
      <c r="Z57" s="244"/>
      <c r="AA57" s="244"/>
    </row>
    <row r="58" spans="1:43" x14ac:dyDescent="0.3">
      <c r="K58" s="243"/>
      <c r="L58" s="241" t="s">
        <v>288</v>
      </c>
      <c r="M58" s="242">
        <v>0</v>
      </c>
      <c r="Y58" s="243"/>
      <c r="Z58" s="244"/>
      <c r="AA58" s="244"/>
      <c r="AN58" s="250" t="s">
        <v>348</v>
      </c>
    </row>
    <row r="59" spans="1:43" x14ac:dyDescent="0.3">
      <c r="A59" s="240" t="s">
        <v>28</v>
      </c>
      <c r="B59" s="253" t="s">
        <v>347</v>
      </c>
      <c r="C59" s="240" t="s">
        <v>346</v>
      </c>
      <c r="K59" s="243"/>
      <c r="L59" s="244"/>
      <c r="M59" s="244"/>
      <c r="N59" s="244"/>
      <c r="O59" s="244"/>
      <c r="Y59" s="243"/>
      <c r="Z59" s="244"/>
      <c r="AA59" s="244"/>
      <c r="AB59" s="244"/>
      <c r="AC59" s="244"/>
      <c r="AM59" s="243"/>
      <c r="AN59" s="236" t="s">
        <v>345</v>
      </c>
      <c r="AO59" s="244">
        <f>(M96+M87)*(1+$R$6)</f>
        <v>78052.212165465986</v>
      </c>
      <c r="AQ59" s="237" t="s">
        <v>344</v>
      </c>
    </row>
    <row r="60" spans="1:43" x14ac:dyDescent="0.3">
      <c r="B60" s="253"/>
      <c r="K60" s="243"/>
      <c r="L60" s="244"/>
      <c r="M60" s="244"/>
      <c r="N60" s="244"/>
      <c r="O60" s="244"/>
      <c r="Y60" s="243"/>
      <c r="Z60" s="244"/>
      <c r="AA60" s="244"/>
      <c r="AB60" s="244"/>
      <c r="AC60" s="244"/>
      <c r="AN60" s="236" t="s">
        <v>343</v>
      </c>
      <c r="AO60" s="244">
        <f>E57</f>
        <v>87000</v>
      </c>
      <c r="AQ60" s="237" t="s">
        <v>342</v>
      </c>
    </row>
    <row r="61" spans="1:43" x14ac:dyDescent="0.3">
      <c r="B61" s="253"/>
      <c r="C61" s="331" t="s">
        <v>332</v>
      </c>
      <c r="D61" s="331"/>
      <c r="E61" s="331"/>
      <c r="F61" s="331"/>
      <c r="G61" s="331"/>
      <c r="H61" s="331"/>
      <c r="I61" s="331"/>
      <c r="K61" s="243"/>
      <c r="Y61" s="243"/>
      <c r="Z61" s="244"/>
      <c r="AA61" s="244"/>
    </row>
    <row r="62" spans="1:43" x14ac:dyDescent="0.3">
      <c r="K62" s="243" t="s">
        <v>341</v>
      </c>
      <c r="L62" s="241" t="s">
        <v>278</v>
      </c>
      <c r="M62" s="242">
        <f>N51*F36</f>
        <v>534300</v>
      </c>
      <c r="O62" s="237" t="s">
        <v>340</v>
      </c>
      <c r="Y62" s="243"/>
      <c r="Z62" s="241" t="s">
        <v>278</v>
      </c>
      <c r="AA62" s="242">
        <f>AB51*F38</f>
        <v>522600</v>
      </c>
      <c r="AB62" s="242"/>
      <c r="AC62" s="237" t="s">
        <v>339</v>
      </c>
      <c r="AM62" s="243"/>
      <c r="AN62" s="236" t="s">
        <v>330</v>
      </c>
      <c r="AO62" s="244">
        <f>AO59-AO60</f>
        <v>-8947.7878345340141</v>
      </c>
      <c r="AQ62" s="237" t="s">
        <v>338</v>
      </c>
    </row>
    <row r="63" spans="1:43" x14ac:dyDescent="0.3">
      <c r="A63" s="240" t="s">
        <v>37</v>
      </c>
      <c r="B63" s="253" t="s">
        <v>337</v>
      </c>
      <c r="C63" s="252" t="s">
        <v>336</v>
      </c>
      <c r="K63" s="243"/>
      <c r="Y63" s="243"/>
    </row>
    <row r="64" spans="1:43" x14ac:dyDescent="0.3">
      <c r="K64" s="243"/>
      <c r="L64" s="250" t="s">
        <v>334</v>
      </c>
      <c r="M64" s="236" t="s">
        <v>335</v>
      </c>
      <c r="P64" s="236">
        <v>62</v>
      </c>
      <c r="Q64" s="236">
        <f>P64-1</f>
        <v>61</v>
      </c>
      <c r="R64" s="236">
        <f>Q64-1</f>
        <v>60</v>
      </c>
      <c r="Y64" s="243"/>
      <c r="Z64" s="250" t="s">
        <v>334</v>
      </c>
      <c r="AA64" s="249" t="s">
        <v>333</v>
      </c>
      <c r="AB64" s="249"/>
      <c r="AC64" s="249"/>
      <c r="AD64" s="236">
        <v>63</v>
      </c>
      <c r="AE64" s="236">
        <f>AD64-1</f>
        <v>62</v>
      </c>
      <c r="AF64" s="236">
        <f>AE64-1</f>
        <v>61</v>
      </c>
    </row>
    <row r="65" spans="2:42" ht="16.2" x14ac:dyDescent="0.35">
      <c r="C65" s="331" t="s">
        <v>332</v>
      </c>
      <c r="D65" s="331"/>
      <c r="E65" s="331"/>
      <c r="F65" s="331"/>
      <c r="G65" s="331"/>
      <c r="H65" s="331"/>
      <c r="I65" s="331"/>
      <c r="K65" s="243"/>
      <c r="L65" s="236" t="s">
        <v>307</v>
      </c>
      <c r="M65" s="236" t="s">
        <v>306</v>
      </c>
      <c r="N65" s="236" t="s">
        <v>305</v>
      </c>
      <c r="O65" s="236" t="s">
        <v>304</v>
      </c>
      <c r="P65" s="236" t="s">
        <v>303</v>
      </c>
      <c r="Q65" s="236" t="s">
        <v>302</v>
      </c>
      <c r="R65" s="236" t="s">
        <v>301</v>
      </c>
      <c r="S65" s="236" t="s">
        <v>300</v>
      </c>
      <c r="T65" s="236" t="s">
        <v>299</v>
      </c>
      <c r="U65" t="s">
        <v>297</v>
      </c>
      <c r="V65" s="236" t="s">
        <v>298</v>
      </c>
      <c r="W65" t="s">
        <v>297</v>
      </c>
      <c r="Y65" s="243"/>
      <c r="Z65" s="236" t="s">
        <v>307</v>
      </c>
      <c r="AA65" s="236" t="s">
        <v>306</v>
      </c>
      <c r="AB65" s="236" t="s">
        <v>305</v>
      </c>
      <c r="AC65" s="236" t="s">
        <v>304</v>
      </c>
      <c r="AD65" s="236" t="s">
        <v>303</v>
      </c>
      <c r="AE65" s="236" t="s">
        <v>302</v>
      </c>
      <c r="AF65" s="236" t="s">
        <v>301</v>
      </c>
      <c r="AG65" s="236" t="s">
        <v>300</v>
      </c>
      <c r="AH65" s="236" t="s">
        <v>299</v>
      </c>
      <c r="AI65" t="s">
        <v>297</v>
      </c>
      <c r="AJ65" s="236" t="s">
        <v>298</v>
      </c>
      <c r="AK65" t="s">
        <v>297</v>
      </c>
      <c r="AN65" s="250" t="s">
        <v>331</v>
      </c>
    </row>
    <row r="66" spans="2:42" x14ac:dyDescent="0.3">
      <c r="K66" s="243"/>
      <c r="L66" s="236">
        <f>F26</f>
        <v>62</v>
      </c>
      <c r="M66" s="236">
        <f>F26-F30</f>
        <v>53</v>
      </c>
      <c r="N66" s="244">
        <f>F29</f>
        <v>109000</v>
      </c>
      <c r="O66" s="236">
        <f>F30</f>
        <v>9</v>
      </c>
      <c r="P66" s="251">
        <f>F29</f>
        <v>109000</v>
      </c>
      <c r="Q66" s="251">
        <f>F28</f>
        <v>106000</v>
      </c>
      <c r="R66" s="251">
        <f>F27</f>
        <v>103000</v>
      </c>
      <c r="S66" s="236">
        <f>63-M66</f>
        <v>10</v>
      </c>
      <c r="T66" s="248">
        <f>(1+$R$6)/(1+$R$7)-1</f>
        <v>1.9417475728155331E-2</v>
      </c>
      <c r="U66" s="236">
        <f>PV(T66,S66,-1,0,1)</f>
        <v>9.1849759611819568</v>
      </c>
      <c r="V66" s="236">
        <f>63-L66</f>
        <v>1</v>
      </c>
      <c r="W66" s="236">
        <f>PV(T66,V66,-1,0,1)</f>
        <v>1</v>
      </c>
      <c r="Y66" s="243"/>
      <c r="Z66" s="236">
        <f>L66+1</f>
        <v>63</v>
      </c>
      <c r="AA66" s="236">
        <f>M66</f>
        <v>53</v>
      </c>
      <c r="AB66" s="251">
        <f>N66*(1+E56)</f>
        <v>112270</v>
      </c>
      <c r="AC66" s="236">
        <f>O66+1</f>
        <v>10</v>
      </c>
      <c r="AD66" s="251">
        <f>AB66</f>
        <v>112270</v>
      </c>
      <c r="AE66" s="251">
        <f>P66</f>
        <v>109000</v>
      </c>
      <c r="AF66" s="251">
        <f>Q66</f>
        <v>106000</v>
      </c>
      <c r="AG66" s="236">
        <f>64-AA66</f>
        <v>11</v>
      </c>
      <c r="AH66" s="248">
        <f>(1+$R$6)/(1+$R$7)-1</f>
        <v>1.9417475728155331E-2</v>
      </c>
      <c r="AI66" s="236">
        <f>PV(AH66,AG66,-1,0,1)</f>
        <v>10.010024038111828</v>
      </c>
      <c r="AJ66" s="236">
        <f>64-Z66</f>
        <v>1</v>
      </c>
      <c r="AK66" s="236">
        <f>PV(AH66,AJ66,-1,0,1)</f>
        <v>1</v>
      </c>
      <c r="AM66" s="243"/>
      <c r="AN66" s="236" t="s">
        <v>330</v>
      </c>
      <c r="AO66" s="244">
        <f>AO62+AO55+AO48+AO41+AO34+AO20+AO27</f>
        <v>71380.571071537604</v>
      </c>
      <c r="AP66" s="236" t="s">
        <v>329</v>
      </c>
    </row>
    <row r="67" spans="2:42" ht="15.75" customHeight="1" x14ac:dyDescent="0.3">
      <c r="B67" s="253"/>
      <c r="C67" s="252"/>
      <c r="K67" s="321"/>
      <c r="L67" s="236" t="s">
        <v>296</v>
      </c>
      <c r="M67" s="244">
        <f>0.015*(P66+Q66+R66)/3*S66*$C$40*(1+$R$6)^-S66*(1-$R$8*2)</f>
        <v>135798.10281381878</v>
      </c>
      <c r="O67" s="237" t="s">
        <v>328</v>
      </c>
      <c r="Y67" s="321"/>
      <c r="Z67" s="236" t="s">
        <v>296</v>
      </c>
      <c r="AA67" s="251">
        <f>0.015*(AD66+AE66+AF66)/3*AG66*$C$38*(1+$R$6)^-AG66*(1-$R$8*1)</f>
        <v>148022.02209088323</v>
      </c>
      <c r="AB67" s="244"/>
      <c r="AC67" s="237" t="s">
        <v>327</v>
      </c>
    </row>
    <row r="68" spans="2:42" x14ac:dyDescent="0.3">
      <c r="K68" s="322"/>
      <c r="L68" s="236" t="s">
        <v>294</v>
      </c>
      <c r="M68" s="244">
        <f>N66*(1+$R$7)^-O66*U66</f>
        <v>767307.59964779846</v>
      </c>
      <c r="O68" s="237" t="s">
        <v>326</v>
      </c>
      <c r="Y68" s="322"/>
      <c r="Z68" s="236" t="s">
        <v>294</v>
      </c>
      <c r="AA68" s="244">
        <f>AB66*(1+$R$7)^-AC66*AI66</f>
        <v>836231.64062281989</v>
      </c>
      <c r="AB68" s="244"/>
      <c r="AC68" s="237" t="s">
        <v>325</v>
      </c>
    </row>
    <row r="69" spans="2:42" x14ac:dyDescent="0.3">
      <c r="K69" s="322"/>
      <c r="O69" s="237"/>
      <c r="Y69" s="322"/>
      <c r="AC69" s="237"/>
      <c r="AF69" s="249" t="s">
        <v>324</v>
      </c>
      <c r="AG69" s="249"/>
      <c r="AH69" s="249"/>
      <c r="AI69" s="249"/>
      <c r="AJ69" s="249"/>
      <c r="AK69" s="249"/>
    </row>
    <row r="70" spans="2:42" x14ac:dyDescent="0.3">
      <c r="K70" s="322"/>
      <c r="L70" s="236" t="s">
        <v>292</v>
      </c>
      <c r="M70" s="244">
        <f>M67/M68*N66</f>
        <v>19290.820543808641</v>
      </c>
      <c r="O70" s="237" t="s">
        <v>323</v>
      </c>
      <c r="Y70" s="322"/>
      <c r="Z70" s="236" t="s">
        <v>292</v>
      </c>
      <c r="AA70" s="244">
        <f>AA67/AA68*AB66</f>
        <v>19873.001226987966</v>
      </c>
      <c r="AB70" s="244"/>
      <c r="AC70" s="237" t="s">
        <v>322</v>
      </c>
    </row>
    <row r="71" spans="2:42" x14ac:dyDescent="0.3">
      <c r="K71" s="322"/>
      <c r="L71" s="236" t="s">
        <v>290</v>
      </c>
      <c r="M71" s="244">
        <f>$R$9*N66</f>
        <v>4360</v>
      </c>
      <c r="O71" s="237" t="s">
        <v>321</v>
      </c>
      <c r="Y71" s="322"/>
      <c r="Z71" s="236" t="s">
        <v>290</v>
      </c>
      <c r="AA71" s="244">
        <f>$R$9*AB66</f>
        <v>4490.8</v>
      </c>
      <c r="AB71" s="244"/>
      <c r="AC71" s="237" t="s">
        <v>320</v>
      </c>
    </row>
    <row r="72" spans="2:42" x14ac:dyDescent="0.3">
      <c r="K72" s="322"/>
      <c r="L72" s="241" t="s">
        <v>288</v>
      </c>
      <c r="M72" s="242">
        <f>M70-M71</f>
        <v>14930.820543808641</v>
      </c>
      <c r="O72" s="237" t="s">
        <v>319</v>
      </c>
      <c r="Y72" s="322"/>
      <c r="Z72" s="241" t="s">
        <v>288</v>
      </c>
      <c r="AA72" s="242">
        <f>AA70-AA71</f>
        <v>15382.201226987967</v>
      </c>
      <c r="AB72" s="242"/>
      <c r="AC72" s="237" t="s">
        <v>318</v>
      </c>
    </row>
    <row r="73" spans="2:42" x14ac:dyDescent="0.3">
      <c r="K73" s="243"/>
      <c r="O73" s="237"/>
      <c r="Y73" s="243"/>
      <c r="AC73" s="237"/>
    </row>
    <row r="74" spans="2:42" ht="15.75" customHeight="1" x14ac:dyDescent="0.3">
      <c r="K74" s="321"/>
      <c r="L74" s="236" t="s">
        <v>286</v>
      </c>
      <c r="M74" s="244">
        <f>M67*(1+$R$6)^O66</f>
        <v>210667.42857142855</v>
      </c>
      <c r="O74" s="237" t="s">
        <v>317</v>
      </c>
      <c r="Y74" s="321"/>
      <c r="Z74" s="236" t="s">
        <v>286</v>
      </c>
      <c r="AA74" s="244">
        <f>AA67*(1+$R$6)^AC66</f>
        <v>241112.27642857144</v>
      </c>
      <c r="AB74" s="244"/>
      <c r="AC74" s="237" t="s">
        <v>316</v>
      </c>
    </row>
    <row r="75" spans="2:42" x14ac:dyDescent="0.3">
      <c r="K75" s="322"/>
      <c r="O75" s="237"/>
      <c r="Y75" s="322"/>
      <c r="AC75" s="237"/>
    </row>
    <row r="76" spans="2:42" ht="16.2" x14ac:dyDescent="0.35">
      <c r="K76" s="322"/>
      <c r="L76" s="236" t="s">
        <v>284</v>
      </c>
      <c r="M76" s="244">
        <f>M72*W66</f>
        <v>14930.820543808641</v>
      </c>
      <c r="O76" s="237" t="s">
        <v>315</v>
      </c>
      <c r="Y76" s="322"/>
      <c r="Z76" s="236" t="s">
        <v>284</v>
      </c>
      <c r="AA76" s="244">
        <f>AA72*AK66</f>
        <v>15382.201226987967</v>
      </c>
      <c r="AB76" s="244"/>
      <c r="AC76" s="237" t="s">
        <v>314</v>
      </c>
    </row>
    <row r="77" spans="2:42" x14ac:dyDescent="0.3">
      <c r="K77" s="322"/>
      <c r="L77" s="236" t="s">
        <v>282</v>
      </c>
      <c r="M77" s="244">
        <f>M71*W66</f>
        <v>4360</v>
      </c>
      <c r="O77" s="237" t="s">
        <v>313</v>
      </c>
      <c r="Y77" s="322"/>
      <c r="Z77" s="236" t="s">
        <v>282</v>
      </c>
      <c r="AA77" s="244">
        <f>AA71*AK66</f>
        <v>4490.8</v>
      </c>
      <c r="AB77" s="244"/>
      <c r="AC77" s="237" t="s">
        <v>312</v>
      </c>
    </row>
    <row r="78" spans="2:42" x14ac:dyDescent="0.3">
      <c r="K78" s="322"/>
      <c r="O78" s="237"/>
      <c r="Y78" s="322"/>
      <c r="AC78" s="237"/>
    </row>
    <row r="79" spans="2:42" x14ac:dyDescent="0.3">
      <c r="K79" s="322"/>
      <c r="L79" s="241" t="s">
        <v>278</v>
      </c>
      <c r="M79" s="242">
        <f>M74-M76-M77</f>
        <v>191376.60802761992</v>
      </c>
      <c r="O79" s="237" t="s">
        <v>311</v>
      </c>
      <c r="Y79" s="322"/>
      <c r="Z79" s="241" t="s">
        <v>278</v>
      </c>
      <c r="AA79" s="242">
        <f>AA74-AA76-AA77</f>
        <v>221239.27520158348</v>
      </c>
      <c r="AB79" s="242"/>
      <c r="AC79" s="237" t="s">
        <v>310</v>
      </c>
    </row>
    <row r="80" spans="2:42" x14ac:dyDescent="0.3">
      <c r="K80" s="243"/>
      <c r="Y80" s="243"/>
    </row>
    <row r="81" spans="11:29" x14ac:dyDescent="0.3">
      <c r="K81" s="243"/>
      <c r="L81" s="250" t="s">
        <v>309</v>
      </c>
      <c r="P81" s="236">
        <v>62</v>
      </c>
      <c r="Q81" s="236">
        <f>P81-1</f>
        <v>61</v>
      </c>
      <c r="R81" s="236">
        <f>Q81-1</f>
        <v>60</v>
      </c>
      <c r="Y81" s="243"/>
      <c r="Z81" s="250" t="s">
        <v>309</v>
      </c>
      <c r="AA81" s="249" t="s">
        <v>308</v>
      </c>
      <c r="AB81" s="249"/>
      <c r="AC81" s="249"/>
    </row>
    <row r="82" spans="11:29" ht="16.2" x14ac:dyDescent="0.35">
      <c r="K82" s="243"/>
      <c r="L82" s="236" t="s">
        <v>307</v>
      </c>
      <c r="M82" s="236" t="s">
        <v>306</v>
      </c>
      <c r="N82" s="236" t="s">
        <v>305</v>
      </c>
      <c r="O82" s="236" t="s">
        <v>304</v>
      </c>
      <c r="P82" s="236" t="s">
        <v>303</v>
      </c>
      <c r="Q82" s="236" t="s">
        <v>302</v>
      </c>
      <c r="R82" s="236" t="s">
        <v>301</v>
      </c>
      <c r="S82" s="236" t="s">
        <v>300</v>
      </c>
      <c r="T82" s="236" t="s">
        <v>299</v>
      </c>
      <c r="U82" t="s">
        <v>297</v>
      </c>
      <c r="V82" s="236" t="s">
        <v>298</v>
      </c>
      <c r="W82" t="s">
        <v>297</v>
      </c>
      <c r="Y82" s="243"/>
    </row>
    <row r="83" spans="11:29" x14ac:dyDescent="0.3">
      <c r="K83" s="243"/>
      <c r="L83" s="236">
        <f>G26</f>
        <v>42</v>
      </c>
      <c r="M83" s="236">
        <f>G26-G30</f>
        <v>35</v>
      </c>
      <c r="N83" s="244">
        <f>G29</f>
        <v>59000</v>
      </c>
      <c r="O83" s="236">
        <f>G30</f>
        <v>7</v>
      </c>
      <c r="P83" s="244">
        <f>N83*(1+$R$7)^(P81-L83)</f>
        <v>106560.56284549538</v>
      </c>
      <c r="Q83" s="244">
        <f>N83*(1+$R$7)^(Q81-L83)</f>
        <v>103456.85713154891</v>
      </c>
      <c r="R83" s="244">
        <f>N83*(1+$R$7)^(R81-L83)</f>
        <v>100443.55061315429</v>
      </c>
      <c r="S83" s="236">
        <f>63-M83</f>
        <v>28</v>
      </c>
      <c r="T83" s="248">
        <f>(1+$R$6)/(1+$R$7)-1</f>
        <v>1.9417475728155331E-2</v>
      </c>
      <c r="U83" s="236">
        <f>PV(T83,S83,-1,0,1)</f>
        <v>21.859120902982653</v>
      </c>
      <c r="V83" s="236">
        <f>63-L83</f>
        <v>21</v>
      </c>
      <c r="W83" s="236">
        <f>PV(T83,V83,-1,0,1)</f>
        <v>17.443727043847872</v>
      </c>
      <c r="Y83" s="243"/>
      <c r="Z83" s="241" t="s">
        <v>278</v>
      </c>
      <c r="AA83" s="242">
        <v>0</v>
      </c>
    </row>
    <row r="84" spans="11:29" x14ac:dyDescent="0.3">
      <c r="K84" s="321"/>
      <c r="L84" s="236" t="s">
        <v>296</v>
      </c>
      <c r="M84" s="244">
        <f>0.015*(P83+Q83+R83)/3*S83*$C$40*(1+$R$6)^-S83*(1-$R$8*2)</f>
        <v>154249.66929453515</v>
      </c>
      <c r="O84" s="237" t="s">
        <v>295</v>
      </c>
      <c r="Y84" s="243"/>
    </row>
    <row r="85" spans="11:29" x14ac:dyDescent="0.3">
      <c r="K85" s="322"/>
      <c r="L85" s="236" t="s">
        <v>294</v>
      </c>
      <c r="M85" s="244">
        <f>N83*(1+$R$7)^-O83*U83</f>
        <v>1048634.4734469524</v>
      </c>
      <c r="O85" s="237" t="s">
        <v>293</v>
      </c>
      <c r="Y85" s="243"/>
    </row>
    <row r="86" spans="11:29" x14ac:dyDescent="0.3">
      <c r="K86" s="322"/>
      <c r="O86" s="237"/>
      <c r="Y86" s="243"/>
    </row>
    <row r="87" spans="11:29" x14ac:dyDescent="0.3">
      <c r="K87" s="322"/>
      <c r="L87" s="236" t="s">
        <v>292</v>
      </c>
      <c r="M87" s="244">
        <f>M84/M85*N83</f>
        <v>8678.6489656998256</v>
      </c>
      <c r="O87" s="237" t="s">
        <v>291</v>
      </c>
      <c r="R87" s="247"/>
      <c r="Y87" s="243"/>
    </row>
    <row r="88" spans="11:29" x14ac:dyDescent="0.3">
      <c r="K88" s="322"/>
      <c r="L88" s="236" t="s">
        <v>290</v>
      </c>
      <c r="M88" s="244">
        <f>$R$9*N83</f>
        <v>2360</v>
      </c>
      <c r="O88" s="237" t="s">
        <v>289</v>
      </c>
      <c r="Y88" s="243"/>
    </row>
    <row r="89" spans="11:29" x14ac:dyDescent="0.3">
      <c r="K89" s="322"/>
      <c r="L89" s="241" t="s">
        <v>288</v>
      </c>
      <c r="M89" s="242">
        <f>M87-M88</f>
        <v>6318.6489656998256</v>
      </c>
      <c r="O89" s="237" t="s">
        <v>287</v>
      </c>
      <c r="Y89" s="243"/>
    </row>
    <row r="90" spans="11:29" x14ac:dyDescent="0.3">
      <c r="K90" s="243"/>
      <c r="O90" s="237"/>
      <c r="Y90" s="243"/>
    </row>
    <row r="91" spans="11:29" x14ac:dyDescent="0.3">
      <c r="K91" s="321"/>
      <c r="L91" s="236" t="s">
        <v>286</v>
      </c>
      <c r="M91" s="244">
        <f>M84*(1+$R$6)^O83</f>
        <v>217044.77485892724</v>
      </c>
      <c r="O91" s="237" t="s">
        <v>285</v>
      </c>
      <c r="Y91" s="243"/>
    </row>
    <row r="92" spans="11:29" x14ac:dyDescent="0.3">
      <c r="K92" s="322"/>
      <c r="O92" s="237"/>
      <c r="Y92" s="243"/>
    </row>
    <row r="93" spans="11:29" x14ac:dyDescent="0.3">
      <c r="K93" s="322"/>
      <c r="L93" s="236" t="s">
        <v>284</v>
      </c>
      <c r="M93" s="244">
        <f>M89*W83</f>
        <v>110220.78784355943</v>
      </c>
      <c r="O93" s="237" t="s">
        <v>283</v>
      </c>
      <c r="Y93" s="243"/>
    </row>
    <row r="94" spans="11:29" x14ac:dyDescent="0.3">
      <c r="K94" s="322"/>
      <c r="L94" s="236" t="s">
        <v>282</v>
      </c>
      <c r="M94" s="244">
        <f>M88*W83</f>
        <v>41167.195823480979</v>
      </c>
      <c r="O94" s="237" t="s">
        <v>281</v>
      </c>
      <c r="Y94" s="243"/>
      <c r="Z94" s="236" t="s">
        <v>280</v>
      </c>
      <c r="AA94" s="245">
        <f>C44</f>
        <v>880000</v>
      </c>
    </row>
    <row r="95" spans="11:29" x14ac:dyDescent="0.3">
      <c r="K95" s="322"/>
      <c r="O95" s="237"/>
      <c r="Y95" s="243"/>
      <c r="Z95" s="236" t="s">
        <v>279</v>
      </c>
      <c r="AA95" s="245">
        <f>E54</f>
        <v>67000</v>
      </c>
    </row>
    <row r="96" spans="11:29" x14ac:dyDescent="0.3">
      <c r="K96" s="322"/>
      <c r="L96" s="241" t="s">
        <v>278</v>
      </c>
      <c r="M96" s="242">
        <f>M91-M93-M94</f>
        <v>65656.791191886819</v>
      </c>
      <c r="O96" s="237" t="s">
        <v>277</v>
      </c>
      <c r="Y96" s="243"/>
      <c r="Z96" s="236" t="s">
        <v>276</v>
      </c>
      <c r="AA96" s="246">
        <f>E53</f>
        <v>0.12</v>
      </c>
    </row>
    <row r="97" spans="11:29" x14ac:dyDescent="0.3">
      <c r="K97" s="243"/>
      <c r="O97" s="237"/>
      <c r="Y97" s="243"/>
      <c r="Z97" s="236" t="s">
        <v>275</v>
      </c>
      <c r="AA97" s="245">
        <f>-N51</f>
        <v>-39000</v>
      </c>
    </row>
    <row r="98" spans="11:29" x14ac:dyDescent="0.3">
      <c r="K98" s="243"/>
      <c r="L98" s="241" t="s">
        <v>274</v>
      </c>
      <c r="M98" s="242">
        <f>M87+M70+M56+M36+M16</f>
        <v>37039.39527937489</v>
      </c>
      <c r="O98" s="237" t="s">
        <v>273</v>
      </c>
      <c r="Y98" s="243"/>
      <c r="Z98" s="236" t="s">
        <v>272</v>
      </c>
      <c r="AA98" s="245">
        <f>-E57</f>
        <v>-87000</v>
      </c>
    </row>
    <row r="99" spans="11:29" x14ac:dyDescent="0.3">
      <c r="K99" s="333"/>
      <c r="L99" s="241" t="s">
        <v>271</v>
      </c>
      <c r="M99" s="242">
        <f>M89+M72+M58+M38+M18</f>
        <v>27719.395279374894</v>
      </c>
      <c r="O99" s="237" t="s">
        <v>270</v>
      </c>
      <c r="Y99" s="243"/>
      <c r="Z99" s="236" t="s">
        <v>269</v>
      </c>
      <c r="AA99" s="245">
        <f>(AA94+AA97)*(1+AA96)+AA95+AA98</f>
        <v>921920.00000000012</v>
      </c>
      <c r="AC99" s="237" t="s">
        <v>268</v>
      </c>
    </row>
    <row r="100" spans="11:29" x14ac:dyDescent="0.3">
      <c r="K100" s="333"/>
      <c r="L100" s="241" t="s">
        <v>267</v>
      </c>
      <c r="M100" s="242">
        <f>M96+M79+M62+M47+M25</f>
        <v>967413.72605965345</v>
      </c>
      <c r="O100" s="237" t="s">
        <v>266</v>
      </c>
      <c r="Y100" s="243"/>
      <c r="Z100" s="236" t="s">
        <v>265</v>
      </c>
      <c r="AA100" s="244">
        <f>AA83+AA79+AA62+AA34+AA25</f>
        <v>942323.84129109874</v>
      </c>
      <c r="AC100" s="237" t="s">
        <v>264</v>
      </c>
    </row>
    <row r="101" spans="11:29" x14ac:dyDescent="0.3">
      <c r="K101" s="243"/>
      <c r="L101" s="241" t="s">
        <v>262</v>
      </c>
      <c r="M101" s="242">
        <f>M100-C44</f>
        <v>87413.726059653447</v>
      </c>
      <c r="N101" s="241" t="s">
        <v>261</v>
      </c>
      <c r="O101" s="237" t="s">
        <v>263</v>
      </c>
      <c r="Y101" s="243"/>
      <c r="Z101" s="241" t="s">
        <v>262</v>
      </c>
      <c r="AA101" s="242">
        <f>AA100-AA99</f>
        <v>20403.841291098623</v>
      </c>
      <c r="AB101" s="241" t="s">
        <v>261</v>
      </c>
      <c r="AC101" s="237" t="s">
        <v>260</v>
      </c>
    </row>
  </sheetData>
  <mergeCells count="43">
    <mergeCell ref="K99:K100"/>
    <mergeCell ref="Y67:Y72"/>
    <mergeCell ref="B55:D55"/>
    <mergeCell ref="K74:K79"/>
    <mergeCell ref="Y74:Y79"/>
    <mergeCell ref="K84:K89"/>
    <mergeCell ref="K91:K96"/>
    <mergeCell ref="B40:B41"/>
    <mergeCell ref="C40:C41"/>
    <mergeCell ref="C48:I48"/>
    <mergeCell ref="B53:D53"/>
    <mergeCell ref="B54:D54"/>
    <mergeCell ref="B36:B37"/>
    <mergeCell ref="C36:C37"/>
    <mergeCell ref="D36:E37"/>
    <mergeCell ref="F36:F37"/>
    <mergeCell ref="B38:B39"/>
    <mergeCell ref="B56:D56"/>
    <mergeCell ref="B57:D57"/>
    <mergeCell ref="C61:I61"/>
    <mergeCell ref="C65:I65"/>
    <mergeCell ref="K67:K72"/>
    <mergeCell ref="C38:C39"/>
    <mergeCell ref="D38:E39"/>
    <mergeCell ref="F38:F39"/>
    <mergeCell ref="C19:F19"/>
    <mergeCell ref="C20:F20"/>
    <mergeCell ref="Y20:Y25"/>
    <mergeCell ref="C21:F21"/>
    <mergeCell ref="C22:F22"/>
    <mergeCell ref="C13:G13"/>
    <mergeCell ref="K13:K18"/>
    <mergeCell ref="Y13:Y18"/>
    <mergeCell ref="C14:G14"/>
    <mergeCell ref="C17:F17"/>
    <mergeCell ref="C18:F18"/>
    <mergeCell ref="K20:K25"/>
    <mergeCell ref="C12:G12"/>
    <mergeCell ref="AM1:AM5"/>
    <mergeCell ref="C8:G8"/>
    <mergeCell ref="C9:G9"/>
    <mergeCell ref="C10:G10"/>
    <mergeCell ref="C11:G11"/>
  </mergeCells>
  <hyperlinks>
    <hyperlink ref="S11" r:id="rId1" xr:uid="{A56EE17D-83D1-4624-ADEE-47260A258BBD}"/>
    <hyperlink ref="V11" r:id="rId2" xr:uid="{AFDECE5D-50A0-401C-849E-2571E1B5C14E}"/>
    <hyperlink ref="S65" r:id="rId3" xr:uid="{4401528B-2A49-48AE-A6CC-A0C984F1A3EB}"/>
    <hyperlink ref="V65" r:id="rId4" xr:uid="{C4FD2D23-37A5-46A3-889E-1A7061FEA6A7}"/>
    <hyperlink ref="S82" r:id="rId5" xr:uid="{F5C65BD0-FC0E-4840-AD51-B65699303668}"/>
    <hyperlink ref="V82" r:id="rId6" xr:uid="{0A30EA95-DBEA-4A22-ADD3-6C2499850A05}"/>
    <hyperlink ref="AG11" r:id="rId7" xr:uid="{23D2A598-C9DF-4775-9167-07D8889CD000}"/>
    <hyperlink ref="AJ11" r:id="rId8" xr:uid="{AA091C4D-FD56-4C90-8494-5689E15CCBA3}"/>
    <hyperlink ref="AG30" r:id="rId9" display="TotalService@retirement" xr:uid="{1456D100-3846-431A-9029-A608029CE246}"/>
    <hyperlink ref="AH30" r:id="rId10" display="RemainingService@retirement" xr:uid="{520EEE49-EC29-4102-A372-ED31BA6EB3C1}"/>
    <hyperlink ref="AG65" r:id="rId11" xr:uid="{0473B8DF-8551-4CF5-A2A7-1E90D13B55BF}"/>
    <hyperlink ref="AJ65" r:id="rId12" xr:uid="{5B94BC14-3478-4A4E-B630-9DF7EA51D3A1}"/>
  </hyperlinks>
  <pageMargins left="0.7" right="0.7" top="0.75" bottom="0.75" header="0.3" footer="0.3"/>
  <pageSetup orientation="portrait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8230b39ff0a402a078cc052756d4fefa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45ea19f2c2e4cdbd674c4f1863b66b60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42B16D-CD17-4219-A646-0D2D9874C059}"/>
</file>

<file path=customXml/itemProps2.xml><?xml version="1.0" encoding="utf-8"?>
<ds:datastoreItem xmlns:ds="http://schemas.openxmlformats.org/officeDocument/2006/customXml" ds:itemID="{7BA0C829-F63F-4F9F-BCE0-10AEA46AF1FE}"/>
</file>

<file path=customXml/itemProps3.xml><?xml version="1.0" encoding="utf-8"?>
<ds:datastoreItem xmlns:ds="http://schemas.openxmlformats.org/officeDocument/2006/customXml" ds:itemID="{F9C4C8A3-26A4-4FCB-8820-5128019BE2B6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 2</vt:lpstr>
      <vt:lpstr>Question 4</vt:lpstr>
      <vt:lpstr>Question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Mark Dulceak</cp:lastModifiedBy>
  <dcterms:created xsi:type="dcterms:W3CDTF">2015-06-05T18:17:20Z</dcterms:created>
  <dcterms:modified xsi:type="dcterms:W3CDTF">2025-07-30T15:22:36Z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2024-04-25T12:50:01Z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5ecc6084-947f-4609-ab2c-e49e65e87772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d347b247-e90e-43a3-9d7b-004f14ae6873_Enabled">
    <vt:lpwstr>true</vt:lpwstr>
  </property>
  <property fmtid="{D5CDD505-2E9C-101B-9397-08002B2CF9AE}" pid="10" name="MSIP_Label_d347b247-e90e-43a3-9d7b-004f14ae6873_SetDate">
    <vt:lpwstr>2025-05-21T15:28:53Z</vt:lpwstr>
  </property>
  <property fmtid="{D5CDD505-2E9C-101B-9397-08002B2CF9AE}" pid="11" name="MSIP_Label_d347b247-e90e-43a3-9d7b-004f14ae6873_Method">
    <vt:lpwstr>Standard</vt:lpwstr>
  </property>
  <property fmtid="{D5CDD505-2E9C-101B-9397-08002B2CF9AE}" pid="12" name="MSIP_Label_d347b247-e90e-43a3-9d7b-004f14ae6873_Name">
    <vt:lpwstr>d347b247-e90e-43a3-9d7b-004f14ae6873</vt:lpwstr>
  </property>
  <property fmtid="{D5CDD505-2E9C-101B-9397-08002B2CF9AE}" pid="13" name="MSIP_Label_d347b247-e90e-43a3-9d7b-004f14ae6873_SiteId">
    <vt:lpwstr>76e3921f-489b-4b7e-9547-9ea297add9b5</vt:lpwstr>
  </property>
  <property fmtid="{D5CDD505-2E9C-101B-9397-08002B2CF9AE}" pid="14" name="MSIP_Label_d347b247-e90e-43a3-9d7b-004f14ae6873_ActionId">
    <vt:lpwstr>22592781-4ce6-473b-9eba-f1a875ef998f</vt:lpwstr>
  </property>
  <property fmtid="{D5CDD505-2E9C-101B-9397-08002B2CF9AE}" pid="15" name="MSIP_Label_d347b247-e90e-43a3-9d7b-004f14ae6873_ContentBits">
    <vt:lpwstr>0</vt:lpwstr>
  </property>
  <property fmtid="{D5CDD505-2E9C-101B-9397-08002B2CF9AE}" pid="16" name="MSIP_Label_d347b247-e90e-43a3-9d7b-004f14ae6873_Tag">
    <vt:lpwstr>10, 3, 0, 1</vt:lpwstr>
  </property>
  <property fmtid="{D5CDD505-2E9C-101B-9397-08002B2CF9AE}" pid="17" name="ContentTypeId">
    <vt:lpwstr>0x010100A13D16CE4023BB4BB4110DFC2802C897</vt:lpwstr>
  </property>
</Properties>
</file>