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May 2025 Solutions/QFIPM/"/>
    </mc:Choice>
  </mc:AlternateContent>
  <xr:revisionPtr revIDLastSave="7" documentId="8_{AC6AA1ED-EB1F-4DA2-8C99-3806E70160EC}" xr6:coauthVersionLast="47" xr6:coauthVersionMax="47" xr10:uidLastSave="{EE76D487-AB34-4491-BE24-C509C99E27A9}"/>
  <bookViews>
    <workbookView xWindow="-96" yWindow="0" windowWidth="11712" windowHeight="12336" firstSheet="5" activeTab="6" xr2:uid="{00000000-000D-0000-FFFF-FFFF00000000}"/>
  </bookViews>
  <sheets>
    <sheet name="Q4 Solution" sheetId="4" r:id="rId1"/>
    <sheet name="Q5 illustrative solution" sheetId="5" r:id="rId2"/>
    <sheet name="Q7 Rubric" sheetId="6" r:id="rId3"/>
    <sheet name="Q9" sheetId="7" r:id="rId4"/>
    <sheet name="Q10" sheetId="8" r:id="rId5"/>
    <sheet name="Q12 (b) solution" sheetId="9" r:id="rId6"/>
    <sheet name="Q12(c) solution" sheetId="10" r:id="rId7"/>
  </sheets>
  <externalReferences>
    <externalReference r:id="rId8"/>
  </externalReference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2</definedName>
    <definedName name="_AtRisk_SimSetting_MultipleCPUManualCount" hidden="1">2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matrixfr" localSheetId="1">#REF!</definedName>
    <definedName name="matrixfr">#REF!</definedName>
    <definedName name="matrixpr" localSheetId="1">#REF!</definedName>
    <definedName name="matrixpr">#REF!</definedName>
    <definedName name="matrixrf" localSheetId="1">#REF!</definedName>
    <definedName name="matrixrf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0" l="1"/>
  <c r="C44" i="10"/>
  <c r="C45" i="10"/>
  <c r="D34" i="10" s="1"/>
  <c r="D29" i="9"/>
  <c r="E29" i="9"/>
  <c r="D30" i="9"/>
  <c r="D38" i="9"/>
  <c r="D39" i="9"/>
  <c r="D41" i="9"/>
  <c r="C44" i="9"/>
  <c r="D44" i="9"/>
  <c r="C45" i="9"/>
  <c r="D45" i="9"/>
  <c r="E30" i="9" s="1"/>
  <c r="C46" i="9"/>
  <c r="D31" i="9" s="1"/>
  <c r="D46" i="9"/>
  <c r="E31" i="9" s="1"/>
  <c r="D35" i="10" l="1"/>
  <c r="F19" i="8"/>
  <c r="F21" i="8"/>
  <c r="F32" i="7"/>
  <c r="F33" i="7"/>
  <c r="F34" i="7"/>
  <c r="F35" i="7"/>
  <c r="E21" i="7" s="1"/>
  <c r="F39" i="7"/>
  <c r="F40" i="7"/>
  <c r="F41" i="7"/>
  <c r="F42" i="7"/>
  <c r="D24" i="7" l="1"/>
  <c r="D25" i="7"/>
  <c r="D26" i="7"/>
  <c r="I21" i="6"/>
  <c r="D23" i="6"/>
  <c r="C47" i="6"/>
  <c r="D47" i="6"/>
  <c r="E47" i="6"/>
  <c r="F47" i="6"/>
  <c r="G47" i="6" s="1"/>
  <c r="C48" i="6"/>
  <c r="E97" i="6" s="1"/>
  <c r="D48" i="6"/>
  <c r="E48" i="6"/>
  <c r="F48" i="6"/>
  <c r="G48" i="6"/>
  <c r="C49" i="6"/>
  <c r="G49" i="6" s="1"/>
  <c r="D49" i="6"/>
  <c r="E49" i="6"/>
  <c r="F49" i="6"/>
  <c r="D98" i="6" s="1"/>
  <c r="D136" i="6" s="1"/>
  <c r="C50" i="6"/>
  <c r="D50" i="6"/>
  <c r="F50" i="6" s="1"/>
  <c r="E50" i="6"/>
  <c r="C51" i="6"/>
  <c r="D51" i="6"/>
  <c r="E51" i="6"/>
  <c r="F51" i="6"/>
  <c r="D100" i="6" s="1"/>
  <c r="G51" i="6"/>
  <c r="D52" i="6"/>
  <c r="C56" i="6"/>
  <c r="D56" i="6"/>
  <c r="E56" i="6"/>
  <c r="C57" i="6"/>
  <c r="E57" i="6" s="1"/>
  <c r="G69" i="6" s="1"/>
  <c r="D57" i="6"/>
  <c r="C58" i="6"/>
  <c r="D58" i="6"/>
  <c r="E58" i="6"/>
  <c r="G76" i="6" s="1"/>
  <c r="G63" i="6"/>
  <c r="E38" i="6" s="1"/>
  <c r="G65" i="6"/>
  <c r="F107" i="6" s="1"/>
  <c r="F145" i="6" s="1"/>
  <c r="I145" i="6" s="1"/>
  <c r="G71" i="6"/>
  <c r="F113" i="6" s="1"/>
  <c r="F151" i="6" s="1"/>
  <c r="I151" i="6" s="1"/>
  <c r="G78" i="6"/>
  <c r="C96" i="6"/>
  <c r="D96" i="6"/>
  <c r="D134" i="6" s="1"/>
  <c r="E96" i="6"/>
  <c r="C97" i="6"/>
  <c r="D97" i="6"/>
  <c r="D135" i="6" s="1"/>
  <c r="C98" i="6"/>
  <c r="C99" i="6"/>
  <c r="C100" i="6"/>
  <c r="F105" i="6"/>
  <c r="F120" i="6"/>
  <c r="C134" i="6"/>
  <c r="F134" i="6"/>
  <c r="C135" i="6"/>
  <c r="F135" i="6"/>
  <c r="C136" i="6"/>
  <c r="F136" i="6"/>
  <c r="C137" i="6"/>
  <c r="F137" i="6"/>
  <c r="C138" i="6"/>
  <c r="F138" i="6"/>
  <c r="E134" i="6" l="1"/>
  <c r="G134" i="6"/>
  <c r="G50" i="6"/>
  <c r="G52" i="6" s="1"/>
  <c r="G62" i="6" s="1"/>
  <c r="G68" i="6" s="1"/>
  <c r="G75" i="6" s="1"/>
  <c r="G82" i="6" s="1"/>
  <c r="E41" i="6" s="1"/>
  <c r="D99" i="6"/>
  <c r="D101" i="6" s="1"/>
  <c r="E135" i="6"/>
  <c r="G135" i="6"/>
  <c r="H135" i="6" s="1"/>
  <c r="F118" i="6"/>
  <c r="E40" i="6"/>
  <c r="E100" i="6"/>
  <c r="D138" i="6"/>
  <c r="E136" i="6"/>
  <c r="G136" i="6"/>
  <c r="F111" i="6"/>
  <c r="F149" i="6" s="1"/>
  <c r="E39" i="6"/>
  <c r="F52" i="6"/>
  <c r="E98" i="6"/>
  <c r="H136" i="6"/>
  <c r="F33" i="5"/>
  <c r="F36" i="5" s="1"/>
  <c r="F49" i="5"/>
  <c r="F50" i="5"/>
  <c r="C15" i="4"/>
  <c r="F21" i="4"/>
  <c r="F17" i="4"/>
  <c r="F106" i="6" l="1"/>
  <c r="F112" i="6"/>
  <c r="F119" i="6"/>
  <c r="F121" i="6"/>
  <c r="G70" i="6"/>
  <c r="G77" i="6"/>
  <c r="G64" i="6"/>
  <c r="E138" i="6"/>
  <c r="G138" i="6"/>
  <c r="H138" i="6" s="1"/>
  <c r="D137" i="6"/>
  <c r="E99" i="6"/>
  <c r="E101" i="6" s="1"/>
  <c r="F104" i="6" s="1"/>
  <c r="F110" i="6" s="1"/>
  <c r="F117" i="6" s="1"/>
  <c r="F122" i="6" s="1"/>
  <c r="H134" i="6"/>
  <c r="F37" i="5"/>
  <c r="F40" i="5" s="1"/>
  <c r="F29" i="5" s="1"/>
  <c r="F44" i="5"/>
  <c r="F45" i="5" s="1"/>
  <c r="F53" i="5" s="1"/>
  <c r="F22" i="5" s="1"/>
  <c r="F19" i="4"/>
  <c r="E90" i="6" l="1"/>
  <c r="F143" i="6"/>
  <c r="E137" i="6"/>
  <c r="E139" i="6" s="1"/>
  <c r="F142" i="6" s="1"/>
  <c r="F148" i="6" s="1"/>
  <c r="G137" i="6"/>
  <c r="D139" i="6"/>
  <c r="F54" i="5"/>
  <c r="F23" i="5" s="1"/>
  <c r="I23" i="4"/>
  <c r="H23" i="4"/>
  <c r="G23" i="4"/>
  <c r="F150" i="6" l="1"/>
  <c r="F144" i="6"/>
  <c r="H137" i="6"/>
  <c r="H139" i="6" s="1"/>
  <c r="I142" i="6" s="1"/>
  <c r="G139" i="6"/>
  <c r="F152" i="6"/>
  <c r="F153" i="6" s="1"/>
  <c r="I143" i="6" s="1"/>
  <c r="F23" i="4"/>
  <c r="I144" i="6" l="1"/>
  <c r="I150" i="6"/>
  <c r="I148" i="6"/>
  <c r="I149" i="6" s="1"/>
  <c r="E12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Pan</author>
    <author>Pan, David</author>
  </authors>
  <commentList>
    <comment ref="G66" authorId="0" shapeId="0" xr:uid="{D306F81B-73FF-F540-8E47-44822BB6D216}">
      <text>
        <r>
          <rPr>
            <sz val="9"/>
            <color indexed="81"/>
            <rFont val="Tahoma"/>
            <family val="2"/>
          </rPr>
          <t>Passed coverage test, no principal payment</t>
        </r>
      </text>
    </comment>
    <comment ref="G72" authorId="0" shapeId="0" xr:uid="{D8EDEF60-E2A8-074F-83F3-D92ABEF7406E}">
      <text>
        <r>
          <rPr>
            <sz val="9"/>
            <color indexed="81"/>
            <rFont val="Tahoma"/>
            <family val="2"/>
          </rPr>
          <t>Passed coverage test, no principal payment</t>
        </r>
      </text>
    </comment>
    <comment ref="G79" authorId="0" shapeId="0" xr:uid="{3AB55796-7ABC-9C41-8B00-315EFDC0F1D1}">
      <text>
        <r>
          <rPr>
            <sz val="9"/>
            <color indexed="81"/>
            <rFont val="Tahoma"/>
            <family val="2"/>
          </rPr>
          <t>Passed coverage test, no principal payment</t>
        </r>
      </text>
    </comment>
    <comment ref="F108" authorId="0" shapeId="0" xr:uid="{009DBD68-7062-394B-AFCF-EC273A89935E}">
      <text>
        <r>
          <rPr>
            <sz val="9"/>
            <color indexed="81"/>
            <rFont val="Tahoma"/>
            <family val="2"/>
          </rPr>
          <t>Passed coverage test, no principal payment</t>
        </r>
      </text>
    </comment>
    <comment ref="F114" authorId="0" shapeId="0" xr:uid="{98F3272A-230C-BD4C-9651-609B572050AF}">
      <text>
        <r>
          <rPr>
            <sz val="9"/>
            <color indexed="81"/>
            <rFont val="Tahoma"/>
            <family val="2"/>
          </rPr>
          <t>Passed coverage test, no principal payment</t>
        </r>
      </text>
    </comment>
    <comment ref="F121" authorId="1" shapeId="0" xr:uid="{E6110E83-3E83-6D45-93BD-F14D115883C9}">
      <text>
        <r>
          <rPr>
            <sz val="9"/>
            <color rgb="FF000000"/>
            <rFont val="Tahoma"/>
            <family val="2"/>
          </rPr>
          <t>Since Class C failed Par coverage test, this is the amount that needs to be paid to seniormost class for Class C to pass its Par coverage test.</t>
        </r>
      </text>
    </comment>
    <comment ref="F122" authorId="1" shapeId="0" xr:uid="{599CFD70-94BB-B742-8ED2-1C418DC53987}">
      <text>
        <r>
          <rPr>
            <sz val="9"/>
            <color rgb="FF000000"/>
            <rFont val="Tahoma"/>
            <family val="2"/>
          </rPr>
          <t>Total principal payment can't exceed the available cash.</t>
        </r>
      </text>
    </comment>
    <comment ref="F143" authorId="1" shapeId="0" xr:uid="{6E792BDC-D15A-5F41-A9F7-72648478C0EE}">
      <text>
        <r>
          <rPr>
            <sz val="9"/>
            <color rgb="FF000000"/>
            <rFont val="Tahoma"/>
            <family val="2"/>
          </rPr>
          <t>Reflects lower par amount</t>
        </r>
      </text>
    </comment>
    <comment ref="I143" authorId="1" shapeId="0" xr:uid="{20783473-3CAC-8249-B6B9-15424122F71A}">
      <text>
        <r>
          <rPr>
            <sz val="9"/>
            <color rgb="FF000000"/>
            <rFont val="Tahoma"/>
            <family val="2"/>
          </rPr>
          <t>Reflects lower par amount</t>
        </r>
      </text>
    </comment>
    <comment ref="F146" authorId="0" shapeId="0" xr:uid="{D891659D-2179-BD4E-AB00-56B576DC9CB3}">
      <text>
        <r>
          <rPr>
            <sz val="9"/>
            <color indexed="81"/>
            <rFont val="Tahoma"/>
            <family val="2"/>
          </rPr>
          <t>Passed coverage test, no principal payment</t>
        </r>
      </text>
    </comment>
    <comment ref="I146" authorId="0" shapeId="0" xr:uid="{F663AC4C-3ECE-CA4E-8876-0706EFC6AD28}">
      <text>
        <r>
          <rPr>
            <sz val="9"/>
            <color indexed="81"/>
            <rFont val="Tahoma"/>
            <family val="2"/>
          </rPr>
          <t>Passed coverage test, no principal payment</t>
        </r>
      </text>
    </comment>
    <comment ref="F152" authorId="1" shapeId="0" xr:uid="{9DB90247-FB44-5E4C-978B-CDBCE6388E5E}">
      <text>
        <r>
          <rPr>
            <sz val="9"/>
            <color rgb="FF000000"/>
            <rFont val="Tahoma"/>
            <family val="2"/>
          </rPr>
          <t>Since Class B failed Par coverage test, this is the amount that needs to be paid to seniormost class for Class B to pass its Par coverage test.</t>
        </r>
      </text>
    </comment>
    <comment ref="F153" authorId="1" shapeId="0" xr:uid="{F9BD1000-0A39-E044-A44F-5DB0EA4A816C}">
      <text>
        <r>
          <rPr>
            <sz val="9"/>
            <color rgb="FF000000"/>
            <rFont val="Tahoma"/>
            <family val="2"/>
          </rPr>
          <t>Total principal payment can't exceed the available cash</t>
        </r>
      </text>
    </comment>
  </commentList>
</comments>
</file>

<file path=xl/sharedStrings.xml><?xml version="1.0" encoding="utf-8"?>
<sst xmlns="http://schemas.openxmlformats.org/spreadsheetml/2006/main" count="391" uniqueCount="237">
  <si>
    <t>Show your work here:</t>
  </si>
  <si>
    <t>Fill in your final answers here:</t>
  </si>
  <si>
    <t>c)</t>
  </si>
  <si>
    <r>
      <t>(2 points)</t>
    </r>
    <r>
      <rPr>
        <sz val="11"/>
        <color theme="1"/>
        <rFont val="Times New Roman"/>
        <family val="1"/>
      </rPr>
      <t xml:space="preserve"> Calculate the market price range at which it is optimal for the bond issuer to call Bond 2 on April 1, 2024. </t>
    </r>
  </si>
  <si>
    <t>1 Mo</t>
  </si>
  <si>
    <t>2 Mo</t>
  </si>
  <si>
    <t>3 Mo</t>
  </si>
  <si>
    <t>4 Mo</t>
  </si>
  <si>
    <t>6 Mo</t>
  </si>
  <si>
    <t>1 Yr</t>
  </si>
  <si>
    <t>2 Yr</t>
  </si>
  <si>
    <t>3 Yr</t>
  </si>
  <si>
    <t>04/01/2024</t>
  </si>
  <si>
    <t>Face Amount</t>
  </si>
  <si>
    <t>Coupon Rate</t>
  </si>
  <si>
    <t>Spread</t>
  </si>
  <si>
    <t>Add 50 bps spread to get discount rate</t>
  </si>
  <si>
    <t>Calculate coupon payment</t>
  </si>
  <si>
    <t>Calculate make-whole redemption price (PV of CFs at 5.39%)</t>
  </si>
  <si>
    <t>Interpolate to get CMT rate</t>
  </si>
  <si>
    <t xml:space="preserve">The bond issuer would recall the bond if the market value of the bond is more than 5 million, which is the max of principal amount (5 million) + accrued interest (zero as of 4/1/24) and the make-whole redemption price (calculated below). </t>
  </si>
  <si>
    <t>upper =</t>
  </si>
  <si>
    <t>lower =</t>
  </si>
  <si>
    <t>In order to have the desired payoff per strangle the S&amp;P500 index must be:</t>
  </si>
  <si>
    <t xml:space="preserve">upper = </t>
  </si>
  <si>
    <t>Since the strangles were sold at 20% OTM the strikes are:</t>
  </si>
  <si>
    <t>Step 5: determine the S&amp;P500 index levels that would result in this payoff</t>
  </si>
  <si>
    <t>&lt;- the payoff per strangle</t>
  </si>
  <si>
    <t>expiry value per strangle =</t>
  </si>
  <si>
    <t>total expiry value =</t>
  </si>
  <si>
    <t>Since the required Sharpe ratio is 0 the rate of return on investment must equal the risk-free rate, 6%.</t>
  </si>
  <si>
    <t>Step 4: determine the expiry value of the strangles</t>
  </si>
  <si>
    <t>number of strangles =</t>
  </si>
  <si>
    <t>Step 3: calculate the number of strangles sold</t>
  </si>
  <si>
    <t>option premium =</t>
  </si>
  <si>
    <t>accumulated value of portfolio =</t>
  </si>
  <si>
    <t>Step 2: solve for the option premiums collected by SVS Co. to achieve this return:</t>
  </si>
  <si>
    <t>return =</t>
  </si>
  <si>
    <t>Step 1: use Sharpe ratio to determine SVS Co.'s return over the 6-month period:</t>
  </si>
  <si>
    <t>Number of Strangles sold</t>
  </si>
  <si>
    <t>S&amp;P Index level (higher):</t>
  </si>
  <si>
    <t>S&amp;P Index level (lower):</t>
  </si>
  <si>
    <t>(3 points) Calculate the S&amp;P500 index levels on December 31, 2023, that would have reduced SVS Co.’s Sharpe ratio to 0.</t>
  </si>
  <si>
    <t>·         S&amp;P 500 index level is 5,000 as markets have been stable over the 6-month period ending December 31, 2023.</t>
  </si>
  <si>
    <t>·         SVS Co’s Sharpe ratio was 7.14 and its standard deviation was 0.42% over the last 6 months.</t>
  </si>
  <si>
    <t>On December 31, 2023:</t>
  </si>
  <si>
    <t>·         The S&amp;P500 index level was 5,000.</t>
  </si>
  <si>
    <t>·         U.S. 6-month T-bill rates were yielding 6%, compounded annually.</t>
  </si>
  <si>
    <t>·         Each 20% OTM strangle on the S&amp;P500 index with a 6-month maturity was selling for $57.50.</t>
  </si>
  <si>
    <t>·         SVS applied both its initial investment and the proceeds from the strangles into U.S. 6-month T-bills.</t>
  </si>
  <si>
    <t>·         SVS also sold 20% OTM strangles on the S&amp;P500 index with 6-month maturities.</t>
  </si>
  <si>
    <t>·         An initial investment of $1 million was made into SVS Co.</t>
  </si>
  <si>
    <t>Available inputs</t>
  </si>
  <si>
    <t>On June 30, 2023:</t>
  </si>
  <si>
    <t>Your CIO is interested in investing in SVS Co., a new hedge fund.</t>
  </si>
  <si>
    <t>(c)</t>
  </si>
  <si>
    <t>Q5</t>
  </si>
  <si>
    <t>To Class A's principal payment (actual)</t>
  </si>
  <si>
    <t>To Class A's principal payment (required)</t>
  </si>
  <si>
    <t>Class C coverage test threshold</t>
  </si>
  <si>
    <t>Class C coverage test before principal payment</t>
  </si>
  <si>
    <t>To Class C interest payment</t>
  </si>
  <si>
    <t>Total asset cash flow available for Class C</t>
  </si>
  <si>
    <t>Class B coverage test threshold</t>
  </si>
  <si>
    <t>Class B coverage test before principal payment</t>
  </si>
  <si>
    <t>To Class B interest payment</t>
  </si>
  <si>
    <t>Total asset cash flow available for Class B</t>
  </si>
  <si>
    <t>To Class A principal payment</t>
  </si>
  <si>
    <t>Class A coverage test threshold</t>
  </si>
  <si>
    <t>Class A coverage test before principal payment</t>
  </si>
  <si>
    <t>To Class A interest payment</t>
  </si>
  <si>
    <t>Total asset cash flow available for Class A</t>
  </si>
  <si>
    <t>Year 4</t>
  </si>
  <si>
    <t>Year 3</t>
  </si>
  <si>
    <t>Liability Cash Flows</t>
  </si>
  <si>
    <t>Total</t>
  </si>
  <si>
    <t>Group 5</t>
  </si>
  <si>
    <t>Group 4</t>
  </si>
  <si>
    <t>Group 3</t>
  </si>
  <si>
    <t>Group 2</t>
  </si>
  <si>
    <t>Group 1</t>
  </si>
  <si>
    <t>Year 4 Asset cash flow</t>
  </si>
  <si>
    <t>Year 4 Par amount after default</t>
  </si>
  <si>
    <t>Year 4 Default Rate</t>
  </si>
  <si>
    <t>Year 3 Asset cash flow</t>
  </si>
  <si>
    <t>Year 3 Par amount after default</t>
  </si>
  <si>
    <t>Year 3 Default Rate</t>
  </si>
  <si>
    <t>Loan Group</t>
  </si>
  <si>
    <t>Asset</t>
  </si>
  <si>
    <t>To Class B interest payment (Year 4)</t>
  </si>
  <si>
    <t>(1.5 point)  Calculate interest payment to Class B at the end of of the fourth year</t>
  </si>
  <si>
    <t>Year 2</t>
  </si>
  <si>
    <t>Year 2 Asset cash flow</t>
  </si>
  <si>
    <t>Year 2 Par amount after default</t>
  </si>
  <si>
    <t>Year 2 Default Rate</t>
  </si>
  <si>
    <t>(1.5 point)  Calculate principal payment to Class A at the end of the secnond year</t>
  </si>
  <si>
    <t>(b)</t>
  </si>
  <si>
    <t>Total asset cash flow available for Class E</t>
  </si>
  <si>
    <t>Year 1</t>
  </si>
  <si>
    <t>Total Debt</t>
  </si>
  <si>
    <t>Class C</t>
  </si>
  <si>
    <t>Class B</t>
  </si>
  <si>
    <t>Class A</t>
  </si>
  <si>
    <t>Scheduled Interest Payment</t>
  </si>
  <si>
    <t>Tranche Par Amount</t>
  </si>
  <si>
    <t>Tranche Class</t>
  </si>
  <si>
    <t>Liability</t>
  </si>
  <si>
    <t>Year 1 Asset cash flow</t>
  </si>
  <si>
    <t>Year 1 Par amount after default</t>
  </si>
  <si>
    <t>Year 1 Default Rate</t>
  </si>
  <si>
    <t>Par amount at inception</t>
  </si>
  <si>
    <t>Total asset cash flow to Class E</t>
  </si>
  <si>
    <t>Total asset cash flow to Class C</t>
  </si>
  <si>
    <t>Total asset cash flow to Class B</t>
  </si>
  <si>
    <t>Total asset cash flow to Class A</t>
  </si>
  <si>
    <t>(2 points)  Calculate total cash flows to Class A, B, C and E, respectively, at the end of the first year</t>
  </si>
  <si>
    <t>(a)</t>
  </si>
  <si>
    <r>
      <t>Year 4 Default</t>
    </r>
    <r>
      <rPr>
        <u/>
        <sz val="11"/>
        <color theme="1"/>
        <rFont val="Aptos Narrow"/>
        <family val="2"/>
        <scheme val="minor"/>
      </rPr>
      <t xml:space="preserve"> Rate</t>
    </r>
  </si>
  <si>
    <r>
      <t>Year 3 Default</t>
    </r>
    <r>
      <rPr>
        <u/>
        <sz val="11"/>
        <color theme="1"/>
        <rFont val="Aptos Narrow"/>
        <family val="2"/>
        <scheme val="minor"/>
      </rPr>
      <t xml:space="preserve"> Rate</t>
    </r>
  </si>
  <si>
    <r>
      <t>Year 2 Default</t>
    </r>
    <r>
      <rPr>
        <u/>
        <sz val="11"/>
        <color theme="1"/>
        <rFont val="Aptos Narrow"/>
        <family val="2"/>
        <scheme val="minor"/>
      </rPr>
      <t xml:space="preserve"> Rate</t>
    </r>
  </si>
  <si>
    <r>
      <t>Year 1 Default</t>
    </r>
    <r>
      <rPr>
        <u/>
        <sz val="11"/>
        <color theme="1"/>
        <rFont val="Aptos Narrow"/>
        <family val="2"/>
        <scheme val="minor"/>
      </rPr>
      <t xml:space="preserve"> Rate</t>
    </r>
  </si>
  <si>
    <t>Assets (Loans)</t>
  </si>
  <si>
    <t>Assume the following asset default rates ("default rate" here is defined in the same way as the actuarial "mortality rate")</t>
  </si>
  <si>
    <t xml:space="preserve">             Class E (Equity)</t>
  </si>
  <si>
    <t>Capital Amount</t>
  </si>
  <si>
    <t xml:space="preserve">             Total</t>
  </si>
  <si>
    <t xml:space="preserve">             Class C (most junior)</t>
  </si>
  <si>
    <t xml:space="preserve">             Class B (middle class)</t>
  </si>
  <si>
    <t xml:space="preserve">             Class A (most senior)</t>
  </si>
  <si>
    <t>Par Amount</t>
  </si>
  <si>
    <r>
      <rPr>
        <sz val="11"/>
        <color theme="1"/>
        <rFont val="Aptos Narrow"/>
        <family val="2"/>
        <scheme val="minor"/>
      </rPr>
      <t xml:space="preserve">             </t>
    </r>
    <r>
      <rPr>
        <u/>
        <sz val="11"/>
        <color theme="1"/>
        <rFont val="Aptos Narrow"/>
        <family val="2"/>
        <scheme val="minor"/>
      </rPr>
      <t>Liability</t>
    </r>
  </si>
  <si>
    <t>The company's asset and liability data is shown below ($millions)</t>
  </si>
  <si>
    <t>The recovery rate for any defaulted asset = 0%</t>
  </si>
  <si>
    <t>Defaulted assets are to be excluded from the Par coverage test</t>
  </si>
  <si>
    <t xml:space="preserve">         Class C</t>
  </si>
  <si>
    <t>The minimum value to pass the Par coverage test is shown below</t>
  </si>
  <si>
    <t>All  fees (such as trustee fee, asset manager fees...) are assumed to be $0</t>
  </si>
  <si>
    <t>All asset and liability cash flows (coupon payments) are assumed to occur at the end of the year</t>
  </si>
  <si>
    <t>No asset reinvestment is to be made</t>
  </si>
  <si>
    <t>The company's equity owner contributed $70 million and is entitled to any residual cash flows after all liability payments are satisfied</t>
  </si>
  <si>
    <t>The maturity of each group of loans and each class of debts exceeds 10 years</t>
  </si>
  <si>
    <t>The company's liabilties consist of three classes /tranches of debts (Class A, B and C), all issued at par value</t>
  </si>
  <si>
    <t>The company's assets consist of five groups of loans (Group 1 through Group 5), all purchased at par value</t>
  </si>
  <si>
    <t>You are given the following information about a CLO company (Collaterized Loan Obligation)</t>
  </si>
  <si>
    <t xml:space="preserve">(6 points)  </t>
  </si>
  <si>
    <t>Bond C</t>
  </si>
  <si>
    <t>Bond B</t>
  </si>
  <si>
    <t>Bond A</t>
  </si>
  <si>
    <t>Dollar Duration</t>
  </si>
  <si>
    <t>Duration</t>
  </si>
  <si>
    <t>Market Value</t>
  </si>
  <si>
    <t>Portfolio Information prior to rebalancing (at t =1)</t>
  </si>
  <si>
    <t>Portfolio Information (at t=0)</t>
  </si>
  <si>
    <t>New Value</t>
  </si>
  <si>
    <t>Rebalancing ratio</t>
  </si>
  <si>
    <t>(2 points) Calculate the new market value of each bond required to reestablish the dollar duration of the portfolio</t>
  </si>
  <si>
    <t xml:space="preserve"> (b)</t>
  </si>
  <si>
    <t>The company elects to move forward with a plan to immunize a selection of its liabilities. Later, the company requests your support in evaluating the immunizing portfolio.</t>
  </si>
  <si>
    <t>Before tax, this is 0.034125/(1-.3) = 0.04875, or 4.875%</t>
  </si>
  <si>
    <t>This solves to i = 0.034125 after tax</t>
  </si>
  <si>
    <t>IV_C = (1-0.35) * $60,000)/(1+i) + (1-0.35)*$60,000/(1 + i)^2 + … = $1,142,857</t>
  </si>
  <si>
    <t>IV_B = (1-0.2)* $50,000/1.035 + (1-0.2)*$50,000/1.035^2 +… = $40,000/0.035 = $1,142,857</t>
  </si>
  <si>
    <t>(iii)</t>
  </si>
  <si>
    <t>Amount each investor plans to borrow</t>
  </si>
  <si>
    <t>Investor C</t>
  </si>
  <si>
    <t>Investor C, chain store cashflows</t>
  </si>
  <si>
    <t>Investor B</t>
  </si>
  <si>
    <t>Prevailing market rate on tax-exempt debt</t>
  </si>
  <si>
    <t>Marginal Tax Rates</t>
  </si>
  <si>
    <t>Prevailing Interest Rate on Mortgages</t>
  </si>
  <si>
    <t>(iii) Pre-tax market interest rate:</t>
  </si>
  <si>
    <t>Investor A is a marginal investor, and so his IV_A = MV = $1,000,000</t>
  </si>
  <si>
    <t>(ii) Investment Value:</t>
  </si>
  <si>
    <t>(i) Effective tax rate:</t>
  </si>
  <si>
    <t>(2 points) Calculate the pre-tax market interest rate that would produce the same investment value for investors B and C.</t>
  </si>
  <si>
    <t>(1 point) Calculate the investment value for investor A.</t>
  </si>
  <si>
    <t>(ii)</t>
  </si>
  <si>
    <t>(0.5 point) Calculate the effective tax rate on mortgage interest income faced by marginal investors in the debt market.</t>
  </si>
  <si>
    <t>(i)</t>
  </si>
  <si>
    <t xml:space="preserve">All three investors would plan to borrow $1 million to help finance this real estate investment. </t>
  </si>
  <si>
    <r>
      <t>·</t>
    </r>
    <r>
      <rPr>
        <sz val="7"/>
        <color theme="1"/>
        <rFont val="Aptos Narrow"/>
        <family val="2"/>
        <scheme val="minor"/>
      </rPr>
      <t xml:space="preserve">         </t>
    </r>
    <r>
      <rPr>
        <sz val="11"/>
        <color theme="1"/>
        <rFont val="Aptos Narrow"/>
        <family val="2"/>
        <scheme val="minor"/>
      </rPr>
      <t>Investor C is a chain store owner. She estimates that she can generate $60,000 total annual cash flows with this property due to synergy from her other stores. Her marginal tax rate on investment is 35%.</t>
    </r>
  </si>
  <si>
    <r>
      <t>·</t>
    </r>
    <r>
      <rPr>
        <sz val="7"/>
        <color theme="1"/>
        <rFont val="Aptos Narrow"/>
        <family val="2"/>
        <scheme val="minor"/>
      </rPr>
      <t xml:space="preserve">         </t>
    </r>
    <r>
      <rPr>
        <sz val="11"/>
        <color theme="1"/>
        <rFont val="Aptos Narrow"/>
        <family val="2"/>
        <scheme val="minor"/>
      </rPr>
      <t>Investor B has the same expected pre-tax cash flows as Investor A with a lower marginal income tax rate of 20%.</t>
    </r>
  </si>
  <si>
    <r>
      <t>·</t>
    </r>
    <r>
      <rPr>
        <sz val="7"/>
        <color theme="1"/>
        <rFont val="Aptos Narrow"/>
        <family val="2"/>
        <scheme val="minor"/>
      </rPr>
      <t xml:space="preserve">         </t>
    </r>
    <r>
      <rPr>
        <sz val="11"/>
        <color theme="1"/>
        <rFont val="Aptos Narrow"/>
        <family val="2"/>
        <scheme val="minor"/>
      </rPr>
      <t xml:space="preserve">Investor A is a marginal investor. </t>
    </r>
  </si>
  <si>
    <t xml:space="preserve">There are three investors interested in the same property. </t>
  </si>
  <si>
    <t>In this market, all loans are perpetual and the prevailing interest rate on mortgages is 5%. In addition, there is a market for tax-exempt debt, where the prevailing market interest rate is 3.5%.</t>
  </si>
  <si>
    <t>Q10</t>
  </si>
  <si>
    <t>C</t>
  </si>
  <si>
    <t>B</t>
  </si>
  <si>
    <t>A</t>
  </si>
  <si>
    <t>U_m=E(R_m )-0.5R_A σ_m^2</t>
  </si>
  <si>
    <t xml:space="preserve">utility function </t>
  </si>
  <si>
    <t>sharpe ratio</t>
  </si>
  <si>
    <t>asset</t>
  </si>
  <si>
    <t xml:space="preserve">Risk Aversion Parameter </t>
  </si>
  <si>
    <t>rf</t>
  </si>
  <si>
    <t>(7.5% - rf)/10.0% = (6.0%-rf)/6.67%</t>
  </si>
  <si>
    <t>new portfolio standard deviation</t>
  </si>
  <si>
    <t>new portfolio expected return</t>
  </si>
  <si>
    <t xml:space="preserve">current portfolio utility </t>
  </si>
  <si>
    <t xml:space="preserve">current portfolio standard deviation </t>
  </si>
  <si>
    <t>current portfolio expected return</t>
  </si>
  <si>
    <t xml:space="preserve">Which asset to add? </t>
  </si>
  <si>
    <t>Utility Function</t>
  </si>
  <si>
    <t>Sharpe Ratio</t>
  </si>
  <si>
    <t xml:space="preserve">(ii) Maximizing Utility Function </t>
  </si>
  <si>
    <t>(i) Maximizing Sharpe Ratio</t>
  </si>
  <si>
    <r>
      <t xml:space="preserve"> (b) (</t>
    </r>
    <r>
      <rPr>
        <i/>
        <sz val="12"/>
        <color theme="1"/>
        <rFont val="Times New Roman"/>
        <family val="1"/>
      </rPr>
      <t>1.5 points)</t>
    </r>
    <r>
      <rPr>
        <sz val="12"/>
        <color theme="1"/>
        <rFont val="Times New Roman"/>
        <family val="1"/>
      </rPr>
      <t xml:space="preserve"> Identify the optimal Asset among A through C to add to the portfolio if the key metric is:</t>
    </r>
  </si>
  <si>
    <t>If Asset A is added to the portfolio, the Sharpe Ratio is unchanged.</t>
  </si>
  <si>
    <t>Correlation with Current Portfolio</t>
  </si>
  <si>
    <t>New Portfolio Standard Deviation</t>
  </si>
  <si>
    <t>New Portfolio Expected Return</t>
  </si>
  <si>
    <t>Additional Asset</t>
  </si>
  <si>
    <t>Your colleague has been researching additional asset classes to bolster portfolio performance. They have created 3 corner portfolios under a Mean-Variance Optimization, where each corner portfolio is a combination of the current portfolio selected and only one new asset class.</t>
  </si>
  <si>
    <t>The current portfolio allocation yields an expected return of 7.5%, with a standard deviation of 10.0%, and a utility of 0.055.</t>
  </si>
  <si>
    <t>International Equities</t>
  </si>
  <si>
    <t>U.S. Equities</t>
  </si>
  <si>
    <t>U.S. Long-Term Bonds</t>
  </si>
  <si>
    <t>U.S. Medium-Term Bonds</t>
  </si>
  <si>
    <t>Cash Equivalents</t>
  </si>
  <si>
    <t>Max Return</t>
  </si>
  <si>
    <t>Min Return</t>
  </si>
  <si>
    <t>Standard Deviation</t>
  </si>
  <si>
    <t>Mean Return</t>
  </si>
  <si>
    <t>Asset Class</t>
  </si>
  <si>
    <t>Reviewing the historical data of the permissible asset classes (over 10 years) included in the IPS:</t>
  </si>
  <si>
    <t>For all inequalities to hold, we find the risk aversion factor must be below 6.63.</t>
  </si>
  <si>
    <t xml:space="preserve">For Asset C </t>
  </si>
  <si>
    <t xml:space="preserve">For Asset A </t>
  </si>
  <si>
    <t>Ra &lt; 2*(9.3%-Rm)/(12%^2-sigma^2)</t>
  </si>
  <si>
    <t xml:space="preserve">9.3% - .5 * Ra*12%^2 &gt; Rm - .5 * Ra * sigma^2 </t>
  </si>
  <si>
    <t>When comparing this portfolio to the other 3, we will need the following inequality to hold:</t>
  </si>
  <si>
    <t>The portfolio with asset B is the tangency portfolio</t>
  </si>
  <si>
    <t>Maximum</t>
  </si>
  <si>
    <t>(ii) (1.5 points)  Calculate the maximum risk aversion parameter for which the optimal corner portfolio would lie on the capital allocation line.</t>
  </si>
  <si>
    <t>The capital allocation line represents the expected return/standard deviation combinations that exist based on a combination of risk-free asset with the investor’s optimal portfolio (the tangency portfolio that maximizes Sharpe Ratio)</t>
  </si>
  <si>
    <t xml:space="preserve">(i) (0.5 points)  Define the capital allocation line. </t>
  </si>
  <si>
    <r>
      <t xml:space="preserve"> (c) (</t>
    </r>
    <r>
      <rPr>
        <i/>
        <sz val="12"/>
        <color theme="1"/>
        <rFont val="Times New Roman"/>
        <family val="1"/>
      </rPr>
      <t>2 points)</t>
    </r>
    <r>
      <rPr>
        <sz val="12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</si>
</sst>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&quot;$&quot;* #,##0_-;\-&quot;$&quot;* #,##0_-;_-&quot;$&quot;* &quot;-&quot;??_-;_-@_-"/>
    <numFmt numFmtId="166" formatCode="0.0%"/>
    <numFmt numFmtId="167" formatCode="_(* #,##0.0_);_(* \(#,##0.0\);_(* &quot;-&quot;??_);_(@_)"/>
    <numFmt numFmtId="168" formatCode="_(* #,##0_);_(* \(#,##0\);_(* &quot;-&quot;??_);_(@_)"/>
    <numFmt numFmtId="169" formatCode="&quot;$&quot;#,##0;[Red]\-&quot;$&quot;#,##0"/>
    <numFmt numFmtId="170" formatCode="_(* #,##0.0000_);_(* \(#,##0.0000\);_(* &quot;-&quot;??_);_(@_)"/>
    <numFmt numFmtId="171" formatCode="_(* #,##0.000_);_(* \(#,##0.000\);_(* &quot;-&quot;??_);_(@_)"/>
    <numFmt numFmtId="172" formatCode="0.000%"/>
  </numFmts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1B1B1B"/>
      <name val="Times New Roman"/>
      <family val="1"/>
    </font>
    <font>
      <sz val="10"/>
      <color rgb="FF1B1B1B"/>
      <name val="Times New Roman"/>
      <family val="1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rgb="FF00B05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9"/>
      <color rgb="FF000000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sz val="7"/>
      <color theme="1"/>
      <name val="Aptos Narrow"/>
      <family val="2"/>
      <scheme val="minor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1B1B1B"/>
      </left>
      <right style="medium">
        <color rgb="FF1B1B1B"/>
      </right>
      <top style="medium">
        <color rgb="FF1B1B1B"/>
      </top>
      <bottom style="medium">
        <color rgb="FF1B1B1B"/>
      </bottom>
      <diagonal/>
    </border>
    <border>
      <left/>
      <right style="medium">
        <color rgb="FF1B1B1B"/>
      </right>
      <top style="medium">
        <color rgb="FF1B1B1B"/>
      </top>
      <bottom style="medium">
        <color rgb="FF1B1B1B"/>
      </bottom>
      <diagonal/>
    </border>
    <border>
      <left style="medium">
        <color rgb="FF1B1B1B"/>
      </left>
      <right style="medium">
        <color rgb="FF1B1B1B"/>
      </right>
      <top/>
      <bottom style="medium">
        <color rgb="FF1B1B1B"/>
      </bottom>
      <diagonal/>
    </border>
    <border>
      <left/>
      <right style="medium">
        <color rgb="FF1B1B1B"/>
      </right>
      <top/>
      <bottom style="medium">
        <color rgb="FF1B1B1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5">
    <xf numFmtId="0" fontId="0" fillId="0" borderId="0" xfId="0"/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0" borderId="0" xfId="0" applyFont="1"/>
    <xf numFmtId="43" fontId="4" fillId="0" borderId="0" xfId="6" applyFont="1"/>
    <xf numFmtId="10" fontId="4" fillId="0" borderId="0" xfId="0" applyNumberFormat="1" applyFont="1"/>
    <xf numFmtId="10" fontId="4" fillId="0" borderId="0" xfId="4" applyNumberFormat="1" applyFont="1"/>
    <xf numFmtId="43" fontId="4" fillId="0" borderId="0" xfId="0" applyNumberFormat="1" applyFont="1"/>
    <xf numFmtId="0" fontId="4" fillId="2" borderId="6" xfId="0" applyFont="1" applyFill="1" applyBorder="1" applyAlignment="1">
      <alignment horizontal="left" wrapText="1"/>
    </xf>
    <xf numFmtId="2" fontId="0" fillId="0" borderId="0" xfId="0" applyNumberFormat="1"/>
    <xf numFmtId="44" fontId="0" fillId="0" borderId="0" xfId="0" applyNumberFormat="1"/>
    <xf numFmtId="10" fontId="0" fillId="0" borderId="0" xfId="4" applyNumberFormat="1" applyFont="1"/>
    <xf numFmtId="43" fontId="0" fillId="2" borderId="7" xfId="4" quotePrefix="1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vertical="center"/>
    </xf>
    <xf numFmtId="10" fontId="1" fillId="0" borderId="8" xfId="0" applyNumberFormat="1" applyFont="1" applyBorder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1" xfId="0" applyFont="1" applyBorder="1"/>
    <xf numFmtId="9" fontId="1" fillId="0" borderId="12" xfId="0" applyNumberFormat="1" applyFont="1" applyBorder="1"/>
    <xf numFmtId="164" fontId="1" fillId="0" borderId="12" xfId="0" applyNumberFormat="1" applyFont="1" applyBorder="1"/>
    <xf numFmtId="0" fontId="1" fillId="0" borderId="12" xfId="0" applyFont="1" applyBorder="1"/>
    <xf numFmtId="165" fontId="1" fillId="0" borderId="13" xfId="7" applyNumberFormat="1" applyFont="1" applyBorder="1"/>
    <xf numFmtId="0" fontId="0" fillId="0" borderId="14" xfId="0" applyBorder="1"/>
    <xf numFmtId="0" fontId="1" fillId="0" borderId="15" xfId="0" applyFont="1" applyBorder="1"/>
    <xf numFmtId="0" fontId="3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  <xf numFmtId="166" fontId="0" fillId="0" borderId="0" xfId="0" applyNumberFormat="1"/>
    <xf numFmtId="2" fontId="10" fillId="0" borderId="0" xfId="0" applyNumberFormat="1" applyFont="1"/>
    <xf numFmtId="2" fontId="10" fillId="0" borderId="16" xfId="0" applyNumberFormat="1" applyFont="1" applyBorder="1"/>
    <xf numFmtId="2" fontId="10" fillId="0" borderId="17" xfId="0" applyNumberFormat="1" applyFont="1" applyBorder="1"/>
    <xf numFmtId="2" fontId="10" fillId="0" borderId="7" xfId="0" applyNumberFormat="1" applyFont="1" applyBorder="1"/>
    <xf numFmtId="43" fontId="0" fillId="0" borderId="0" xfId="6" applyFont="1"/>
    <xf numFmtId="2" fontId="11" fillId="0" borderId="7" xfId="0" applyNumberFormat="1" applyFont="1" applyBorder="1"/>
    <xf numFmtId="2" fontId="0" fillId="0" borderId="0" xfId="0" applyNumberFormat="1" applyAlignment="1">
      <alignment horizontal="center"/>
    </xf>
    <xf numFmtId="2" fontId="12" fillId="0" borderId="8" xfId="0" applyNumberFormat="1" applyFont="1" applyBorder="1" applyAlignment="1">
      <alignment horizontal="center"/>
    </xf>
    <xf numFmtId="39" fontId="12" fillId="0" borderId="9" xfId="0" applyNumberFormat="1" applyFont="1" applyBorder="1" applyAlignment="1">
      <alignment horizontal="center"/>
    </xf>
    <xf numFmtId="166" fontId="13" fillId="2" borderId="0" xfId="0" applyNumberFormat="1" applyFont="1" applyFill="1" applyAlignment="1">
      <alignment horizontal="center"/>
    </xf>
    <xf numFmtId="2" fontId="0" fillId="0" borderId="18" xfId="0" applyNumberFormat="1" applyBorder="1" applyAlignment="1">
      <alignment horizontal="center"/>
    </xf>
    <xf numFmtId="39" fontId="0" fillId="0" borderId="1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39" fontId="0" fillId="0" borderId="20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2" fontId="0" fillId="2" borderId="7" xfId="0" applyNumberFormat="1" applyFill="1" applyBorder="1"/>
    <xf numFmtId="2" fontId="14" fillId="0" borderId="16" xfId="0" applyNumberFormat="1" applyFont="1" applyBorder="1"/>
    <xf numFmtId="2" fontId="14" fillId="0" borderId="17" xfId="0" applyNumberFormat="1" applyFont="1" applyBorder="1"/>
    <xf numFmtId="2" fontId="14" fillId="0" borderId="7" xfId="0" applyNumberFormat="1" applyFont="1" applyBorder="1"/>
    <xf numFmtId="2" fontId="13" fillId="0" borderId="0" xfId="0" applyNumberFormat="1" applyFont="1"/>
    <xf numFmtId="2" fontId="9" fillId="0" borderId="7" xfId="0" applyNumberFormat="1" applyFont="1" applyBorder="1" applyAlignment="1">
      <alignment horizontal="right"/>
    </xf>
    <xf numFmtId="0" fontId="9" fillId="0" borderId="0" xfId="0" applyFont="1"/>
    <xf numFmtId="43" fontId="13" fillId="0" borderId="0" xfId="6" applyFont="1"/>
    <xf numFmtId="0" fontId="13" fillId="2" borderId="0" xfId="0" applyFont="1" applyFill="1"/>
    <xf numFmtId="2" fontId="9" fillId="0" borderId="16" xfId="0" applyNumberFormat="1" applyFont="1" applyBorder="1"/>
    <xf numFmtId="2" fontId="9" fillId="0" borderId="17" xfId="0" applyNumberFormat="1" applyFont="1" applyBorder="1"/>
    <xf numFmtId="2" fontId="9" fillId="0" borderId="0" xfId="0" applyNumberFormat="1" applyFont="1"/>
    <xf numFmtId="2" fontId="13" fillId="2" borderId="0" xfId="0" applyNumberFormat="1" applyFont="1" applyFill="1"/>
    <xf numFmtId="2" fontId="9" fillId="0" borderId="21" xfId="0" applyNumberFormat="1" applyFont="1" applyBorder="1"/>
    <xf numFmtId="9" fontId="0" fillId="0" borderId="0" xfId="0" applyNumberFormat="1" applyAlignment="1">
      <alignment horizontal="center"/>
    </xf>
    <xf numFmtId="2" fontId="0" fillId="0" borderId="16" xfId="0" applyNumberFormat="1" applyBorder="1" applyAlignment="1">
      <alignment horizontal="center"/>
    </xf>
    <xf numFmtId="167" fontId="13" fillId="2" borderId="0" xfId="6" applyNumberFormat="1" applyFont="1" applyFill="1" applyAlignment="1">
      <alignment horizontal="center"/>
    </xf>
    <xf numFmtId="10" fontId="13" fillId="2" borderId="0" xfId="0" applyNumberFormat="1" applyFont="1" applyFill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0" xfId="0" applyAlignment="1">
      <alignment wrapText="1"/>
    </xf>
    <xf numFmtId="168" fontId="13" fillId="2" borderId="0" xfId="6" applyNumberFormat="1" applyFont="1" applyFill="1" applyAlignment="1">
      <alignment horizontal="center"/>
    </xf>
    <xf numFmtId="166" fontId="13" fillId="0" borderId="23" xfId="0" applyNumberFormat="1" applyFont="1" applyBorder="1" applyAlignment="1">
      <alignment horizontal="center"/>
    </xf>
    <xf numFmtId="166" fontId="13" fillId="0" borderId="24" xfId="0" applyNumberFormat="1" applyFont="1" applyBorder="1" applyAlignment="1">
      <alignment horizontal="center"/>
    </xf>
    <xf numFmtId="166" fontId="13" fillId="0" borderId="25" xfId="0" applyNumberFormat="1" applyFont="1" applyBorder="1" applyAlignment="1">
      <alignment horizontal="center"/>
    </xf>
    <xf numFmtId="0" fontId="0" fillId="0" borderId="26" xfId="0" applyBorder="1"/>
    <xf numFmtId="166" fontId="13" fillId="0" borderId="27" xfId="0" applyNumberFormat="1" applyFont="1" applyBorder="1" applyAlignment="1">
      <alignment horizontal="center"/>
    </xf>
    <xf numFmtId="166" fontId="13" fillId="0" borderId="28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0" fontId="0" fillId="0" borderId="29" xfId="0" applyBorder="1"/>
    <xf numFmtId="0" fontId="12" fillId="0" borderId="0" xfId="0" applyFont="1"/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12" fillId="0" borderId="33" xfId="0" applyFont="1" applyBorder="1"/>
    <xf numFmtId="0" fontId="0" fillId="0" borderId="23" xfId="0" applyBorder="1" applyAlignment="1">
      <alignment horizontal="center"/>
    </xf>
    <xf numFmtId="0" fontId="0" fillId="0" borderId="25" xfId="0" applyBorder="1"/>
    <xf numFmtId="0" fontId="0" fillId="0" borderId="23" xfId="0" applyBorder="1" applyAlignment="1">
      <alignment horizontal="right"/>
    </xf>
    <xf numFmtId="0" fontId="12" fillId="0" borderId="30" xfId="0" applyFont="1" applyBorder="1"/>
    <xf numFmtId="0" fontId="0" fillId="0" borderId="32" xfId="0" applyBorder="1"/>
    <xf numFmtId="0" fontId="0" fillId="0" borderId="33" xfId="0" applyBorder="1"/>
    <xf numFmtId="0" fontId="12" fillId="0" borderId="27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right"/>
    </xf>
    <xf numFmtId="0" fontId="12" fillId="0" borderId="30" xfId="0" applyFont="1" applyBorder="1" applyAlignment="1">
      <alignment horizontal="right"/>
    </xf>
    <xf numFmtId="0" fontId="12" fillId="0" borderId="32" xfId="0" applyFon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3" fontId="17" fillId="5" borderId="3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indent="5"/>
    </xf>
    <xf numFmtId="0" fontId="17" fillId="0" borderId="34" xfId="0" applyFont="1" applyBorder="1" applyAlignment="1">
      <alignment horizontal="center" vertical="center" wrapText="1"/>
    </xf>
    <xf numFmtId="3" fontId="17" fillId="0" borderId="34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vertical="center" wrapText="1"/>
    </xf>
    <xf numFmtId="0" fontId="17" fillId="5" borderId="36" xfId="0" applyFont="1" applyFill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5" fillId="0" borderId="0" xfId="0" applyFont="1" applyAlignment="1">
      <alignment horizontal="left" vertical="center" indent="4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9" fontId="0" fillId="0" borderId="0" xfId="0" applyNumberFormat="1"/>
    <xf numFmtId="9" fontId="0" fillId="0" borderId="0" xfId="0" applyNumberFormat="1"/>
    <xf numFmtId="10" fontId="0" fillId="0" borderId="0" xfId="0" applyNumberFormat="1"/>
    <xf numFmtId="0" fontId="0" fillId="0" borderId="0" xfId="0" applyAlignment="1">
      <alignment horizontal="left"/>
    </xf>
    <xf numFmtId="9" fontId="8" fillId="0" borderId="0" xfId="0" applyNumberFormat="1" applyFont="1"/>
    <xf numFmtId="10" fontId="0" fillId="2" borderId="7" xfId="4" quotePrefix="1" applyNumberFormat="1" applyFont="1" applyFill="1" applyBorder="1" applyAlignment="1">
      <alignment horizontal="center"/>
    </xf>
    <xf numFmtId="168" fontId="0" fillId="2" borderId="7" xfId="4" quotePrefix="1" applyNumberFormat="1" applyFont="1" applyFill="1" applyBorder="1" applyAlignment="1">
      <alignment horizontal="center"/>
    </xf>
    <xf numFmtId="9" fontId="0" fillId="2" borderId="7" xfId="4" quotePrefix="1" applyFont="1" applyFill="1" applyBorder="1" applyAlignment="1">
      <alignment horizontal="center"/>
    </xf>
    <xf numFmtId="0" fontId="0" fillId="6" borderId="0" xfId="0" applyFill="1"/>
    <xf numFmtId="170" fontId="0" fillId="6" borderId="0" xfId="6" applyNumberFormat="1" applyFont="1" applyFill="1"/>
    <xf numFmtId="171" fontId="0" fillId="6" borderId="0" xfId="6" applyNumberFormat="1" applyFont="1" applyFill="1"/>
    <xf numFmtId="172" fontId="0" fillId="6" borderId="0" xfId="0" applyNumberFormat="1" applyFill="1"/>
    <xf numFmtId="0" fontId="0" fillId="6" borderId="0" xfId="0" quotePrefix="1" applyFill="1"/>
    <xf numFmtId="10" fontId="0" fillId="6" borderId="0" xfId="0" applyNumberFormat="1" applyFill="1"/>
    <xf numFmtId="10" fontId="0" fillId="6" borderId="0" xfId="4" applyNumberFormat="1" applyFont="1" applyFill="1"/>
    <xf numFmtId="171" fontId="19" fillId="2" borderId="38" xfId="0" applyNumberFormat="1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170" fontId="19" fillId="2" borderId="38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17" fillId="0" borderId="0" xfId="0" quotePrefix="1" applyFont="1" applyAlignment="1">
      <alignment wrapText="1"/>
    </xf>
    <xf numFmtId="0" fontId="17" fillId="0" borderId="0" xfId="0" applyFont="1"/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0" fontId="4" fillId="0" borderId="0" xfId="0" applyNumberFormat="1" applyFont="1" applyAlignment="1">
      <alignment vertical="center" wrapText="1"/>
    </xf>
    <xf numFmtId="0" fontId="4" fillId="0" borderId="34" xfId="0" applyFont="1" applyBorder="1" applyAlignment="1">
      <alignment vertical="center" wrapText="1"/>
    </xf>
    <xf numFmtId="10" fontId="4" fillId="0" borderId="34" xfId="0" applyNumberFormat="1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6" fontId="4" fillId="0" borderId="34" xfId="4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indent="4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2" fillId="0" borderId="0" xfId="0" applyFont="1"/>
    <xf numFmtId="0" fontId="19" fillId="0" borderId="11" xfId="0" applyFont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/>
    </xf>
    <xf numFmtId="0" fontId="17" fillId="0" borderId="0" xfId="0" quotePrefix="1" applyFont="1"/>
    <xf numFmtId="0" fontId="0" fillId="2" borderId="32" xfId="0" applyFill="1" applyBorder="1" applyAlignment="1">
      <alignment wrapText="1"/>
    </xf>
    <xf numFmtId="0" fontId="17" fillId="2" borderId="32" xfId="0" applyFont="1" applyFill="1" applyBorder="1" applyAlignment="1">
      <alignment wrapText="1"/>
    </xf>
  </cellXfs>
  <cellStyles count="8">
    <cellStyle name="Comma" xfId="6" builtinId="3"/>
    <cellStyle name="Comma 2" xfId="5" xr:uid="{00000000-0005-0000-0000-000001000000}"/>
    <cellStyle name="Comma 4" xfId="2" xr:uid="{00000000-0005-0000-0000-000002000000}"/>
    <cellStyle name="Currency" xfId="7" builtinId="4"/>
    <cellStyle name="Normal" xfId="0" builtinId="0"/>
    <cellStyle name="Normal 5" xfId="1" xr:uid="{00000000-0005-0000-0000-000004000000}"/>
    <cellStyle name="Percent" xfId="4" builtinId="5"/>
    <cellStyle name="Percent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dulceak\AppData\Local\Temp\ef61e357-b9c2-4f2c-a3a3-cd3713afd83e_QFI%20PM%20Solutions.zip.83e\QFI%20PM%20Solutions%20Spring%202025%20Question%205.xlsx" TargetMode="External"/><Relationship Id="rId1" Type="http://schemas.openxmlformats.org/officeDocument/2006/relationships/externalLinkPath" Target="file:///C:\Users\mdulceak\AppData\Local\Temp\ef61e357-b9c2-4f2c-a3a3-cd3713afd83e_QFI%20PM%20Solutions.zip.83e\QFI%20PM%20Solutions%20Spring%202025%20Question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9"/>
  <sheetViews>
    <sheetView topLeftCell="A16" zoomScale="106" zoomScaleNormal="106" workbookViewId="0">
      <selection activeCell="F23" sqref="F23"/>
    </sheetView>
  </sheetViews>
  <sheetFormatPr defaultColWidth="10.88671875" defaultRowHeight="14.4" x14ac:dyDescent="0.3"/>
  <cols>
    <col min="2" max="2" width="21.33203125" customWidth="1"/>
    <col min="3" max="3" width="13.5546875" bestFit="1" customWidth="1"/>
    <col min="5" max="5" width="12.5546875" bestFit="1" customWidth="1"/>
    <col min="6" max="6" width="13.5546875" bestFit="1" customWidth="1"/>
    <col min="7" max="8" width="12" bestFit="1" customWidth="1"/>
    <col min="9" max="9" width="13.5546875" bestFit="1" customWidth="1"/>
  </cols>
  <sheetData>
    <row r="2" spans="1:13" x14ac:dyDescent="0.3">
      <c r="A2" t="s">
        <v>2</v>
      </c>
      <c r="B2" s="4" t="s">
        <v>3</v>
      </c>
    </row>
    <row r="4" spans="1:13" x14ac:dyDescent="0.3">
      <c r="A4" s="5"/>
      <c r="B4" s="2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3">
      <c r="A5" s="5"/>
    </row>
    <row r="6" spans="1:13" ht="33.75" customHeight="1" x14ac:dyDescent="0.3">
      <c r="A6" s="5"/>
      <c r="B6" s="15" t="s">
        <v>20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3">
      <c r="A7" s="5"/>
    </row>
    <row r="8" spans="1:13" x14ac:dyDescent="0.3">
      <c r="A8" s="5"/>
      <c r="B8" s="2" t="s"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5" thickBot="1" x14ac:dyDescent="0.35"/>
    <row r="10" spans="1:13" ht="15" thickBot="1" x14ac:dyDescent="0.35">
      <c r="B10" s="6"/>
      <c r="C10" s="7" t="s">
        <v>4</v>
      </c>
      <c r="D10" s="7" t="s">
        <v>5</v>
      </c>
      <c r="E10" s="7" t="s">
        <v>6</v>
      </c>
      <c r="F10" s="7" t="s">
        <v>7</v>
      </c>
      <c r="G10" s="7" t="s">
        <v>8</v>
      </c>
      <c r="H10" s="7" t="s">
        <v>9</v>
      </c>
      <c r="I10" s="7" t="s">
        <v>10</v>
      </c>
      <c r="J10" s="7" t="s">
        <v>11</v>
      </c>
    </row>
    <row r="11" spans="1:13" ht="15" thickBot="1" x14ac:dyDescent="0.35">
      <c r="B11" s="8" t="s">
        <v>12</v>
      </c>
      <c r="C11" s="9">
        <v>5.49</v>
      </c>
      <c r="D11" s="9">
        <v>5.47</v>
      </c>
      <c r="E11" s="9">
        <v>5.44</v>
      </c>
      <c r="F11" s="9">
        <v>5.41</v>
      </c>
      <c r="G11" s="9">
        <v>5.36</v>
      </c>
      <c r="H11" s="9">
        <v>5.0599999999999996</v>
      </c>
      <c r="I11" s="9">
        <v>4.72</v>
      </c>
      <c r="J11" s="9">
        <v>4.51</v>
      </c>
    </row>
    <row r="13" spans="1:13" x14ac:dyDescent="0.3">
      <c r="B13" s="3" t="s">
        <v>13</v>
      </c>
      <c r="C13" s="11">
        <v>5000000</v>
      </c>
      <c r="D13" s="3"/>
      <c r="E13" s="3"/>
      <c r="F13" s="3"/>
      <c r="G13" s="3"/>
      <c r="H13" s="3"/>
      <c r="I13" s="3"/>
    </row>
    <row r="14" spans="1:13" x14ac:dyDescent="0.3">
      <c r="B14" s="3" t="s">
        <v>14</v>
      </c>
      <c r="C14" s="12">
        <v>4.4999999999999998E-2</v>
      </c>
      <c r="D14" s="3"/>
      <c r="E14" s="3"/>
      <c r="F14" s="3"/>
      <c r="G14" s="3"/>
      <c r="H14" s="3"/>
      <c r="I14" s="3"/>
    </row>
    <row r="15" spans="1:13" x14ac:dyDescent="0.3">
      <c r="B15" s="3" t="s">
        <v>15</v>
      </c>
      <c r="C15" s="13">
        <f>50/10000</f>
        <v>5.0000000000000001E-3</v>
      </c>
      <c r="D15" s="3"/>
      <c r="E15" s="3"/>
      <c r="F15" s="3"/>
      <c r="G15" s="3"/>
      <c r="H15" s="3"/>
      <c r="I15" s="3"/>
    </row>
    <row r="16" spans="1:13" x14ac:dyDescent="0.3">
      <c r="B16" s="3"/>
      <c r="C16" s="3"/>
      <c r="D16" s="3"/>
      <c r="E16" s="3"/>
      <c r="F16" s="3"/>
      <c r="G16" s="3"/>
      <c r="H16" s="3"/>
      <c r="I16" s="3"/>
    </row>
    <row r="17" spans="1:9" x14ac:dyDescent="0.3">
      <c r="B17" s="4" t="s">
        <v>19</v>
      </c>
      <c r="C17" s="3"/>
      <c r="D17" s="3"/>
      <c r="E17" s="3"/>
      <c r="F17" s="13">
        <f>(H11+I11)/2/100</f>
        <v>4.8899999999999999E-2</v>
      </c>
      <c r="G17" s="3"/>
      <c r="H17" s="3"/>
      <c r="I17" s="3"/>
    </row>
    <row r="18" spans="1:9" x14ac:dyDescent="0.3">
      <c r="B18" s="4"/>
      <c r="C18" s="3"/>
      <c r="D18" s="3"/>
      <c r="E18" s="3"/>
      <c r="F18" s="3"/>
      <c r="G18" s="3"/>
      <c r="H18" s="3"/>
      <c r="I18" s="3"/>
    </row>
    <row r="19" spans="1:9" x14ac:dyDescent="0.3">
      <c r="B19" s="4" t="s">
        <v>16</v>
      </c>
      <c r="C19" s="3"/>
      <c r="D19" s="3"/>
      <c r="E19" s="3"/>
      <c r="F19" s="12">
        <f>F17+C15</f>
        <v>5.3899999999999997E-2</v>
      </c>
      <c r="G19" s="3"/>
      <c r="H19" s="3"/>
      <c r="I19" s="3"/>
    </row>
    <row r="20" spans="1:9" x14ac:dyDescent="0.3">
      <c r="B20" s="4"/>
      <c r="C20" s="3"/>
      <c r="D20" s="3"/>
      <c r="E20" s="3"/>
      <c r="F20" s="3"/>
      <c r="G20" s="3"/>
      <c r="H20" s="3"/>
      <c r="I20" s="3"/>
    </row>
    <row r="21" spans="1:9" x14ac:dyDescent="0.3">
      <c r="B21" s="4" t="s">
        <v>17</v>
      </c>
      <c r="C21" s="3"/>
      <c r="D21" s="3"/>
      <c r="E21" s="3"/>
      <c r="F21" s="14">
        <f>C14/2*C13</f>
        <v>112500</v>
      </c>
      <c r="G21" s="3"/>
      <c r="H21" s="3"/>
      <c r="I21" s="3"/>
    </row>
    <row r="22" spans="1:9" x14ac:dyDescent="0.3">
      <c r="B22" s="4"/>
      <c r="C22" s="3"/>
      <c r="D22" s="3"/>
      <c r="E22" s="3"/>
      <c r="F22" s="3"/>
      <c r="G22" s="3">
        <v>1</v>
      </c>
      <c r="H22" s="3">
        <v>2</v>
      </c>
      <c r="I22" s="3">
        <v>3</v>
      </c>
    </row>
    <row r="23" spans="1:9" x14ac:dyDescent="0.3">
      <c r="B23" s="4" t="s">
        <v>18</v>
      </c>
      <c r="C23" s="3"/>
      <c r="D23" s="3"/>
      <c r="E23" s="3"/>
      <c r="F23" s="14">
        <f>SUM(G23:I23)</f>
        <v>4936692.5175454654</v>
      </c>
      <c r="G23" s="14">
        <f>$F21/((1+$F19/2)^G22)</f>
        <v>109547.68976094259</v>
      </c>
      <c r="H23" s="14">
        <f>$F21/((1+$F19/2)^H22)</f>
        <v>106672.85628408646</v>
      </c>
      <c r="I23" s="14">
        <f>(C13+$F21)/((1+$F19/2)^I22)</f>
        <v>4720471.9715004368</v>
      </c>
    </row>
    <row r="24" spans="1:9" x14ac:dyDescent="0.3">
      <c r="B24" s="4"/>
      <c r="C24" s="3"/>
      <c r="D24" s="3"/>
      <c r="E24" s="3"/>
      <c r="F24" s="3"/>
      <c r="G24" s="3"/>
      <c r="H24" s="3"/>
      <c r="I24" s="3"/>
    </row>
    <row r="25" spans="1:9" x14ac:dyDescent="0.3">
      <c r="B25" s="4"/>
    </row>
    <row r="26" spans="1:9" x14ac:dyDescent="0.3">
      <c r="A26" s="10"/>
    </row>
    <row r="27" spans="1:9" x14ac:dyDescent="0.3">
      <c r="A27" s="10"/>
    </row>
    <row r="28" spans="1:9" x14ac:dyDescent="0.3">
      <c r="A28" s="10"/>
    </row>
    <row r="29" spans="1:9" x14ac:dyDescent="0.3">
      <c r="A29" s="10"/>
    </row>
  </sheetData>
  <mergeCells count="1">
    <mergeCell ref="B6:M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B384-60F9-4320-8991-0C527708AF0D}">
  <dimension ref="A1:P54"/>
  <sheetViews>
    <sheetView zoomScaleNormal="100" workbookViewId="0">
      <selection activeCell="C4" sqref="C4"/>
    </sheetView>
  </sheetViews>
  <sheetFormatPr defaultColWidth="9.33203125" defaultRowHeight="14.4" x14ac:dyDescent="0.3"/>
  <cols>
    <col min="1" max="2" width="8.88671875" customWidth="1"/>
    <col min="3" max="3" width="14.5546875" customWidth="1"/>
    <col min="4" max="4" width="8.88671875" customWidth="1"/>
    <col min="5" max="5" width="20.5546875" bestFit="1" customWidth="1"/>
    <col min="6" max="6" width="15.5546875" customWidth="1"/>
    <col min="7" max="14" width="8.88671875" customWidth="1"/>
    <col min="15" max="15" width="14.6640625" customWidth="1"/>
  </cols>
  <sheetData>
    <row r="1" spans="1:16" x14ac:dyDescent="0.3">
      <c r="A1" s="34" t="s">
        <v>56</v>
      </c>
    </row>
    <row r="3" spans="1:16" s="20" customFormat="1" ht="15.6" x14ac:dyDescent="0.3">
      <c r="C3" s="20" t="s">
        <v>55</v>
      </c>
      <c r="D3" s="22" t="s">
        <v>54</v>
      </c>
    </row>
    <row r="4" spans="1:16" s="20" customFormat="1" ht="16.2" thickBot="1" x14ac:dyDescent="0.35">
      <c r="D4" s="22"/>
    </row>
    <row r="5" spans="1:16" s="20" customFormat="1" ht="16.2" thickBot="1" x14ac:dyDescent="0.35">
      <c r="D5" s="22" t="s">
        <v>53</v>
      </c>
      <c r="O5" s="33" t="s">
        <v>52</v>
      </c>
      <c r="P5" s="32"/>
    </row>
    <row r="6" spans="1:16" s="20" customFormat="1" ht="15.6" x14ac:dyDescent="0.3">
      <c r="D6" s="21" t="s">
        <v>51</v>
      </c>
      <c r="O6" s="31">
        <v>1000000</v>
      </c>
      <c r="P6" s="25"/>
    </row>
    <row r="7" spans="1:16" s="20" customFormat="1" ht="15.6" x14ac:dyDescent="0.3">
      <c r="D7" s="21" t="s">
        <v>50</v>
      </c>
      <c r="O7" s="28">
        <v>0.2</v>
      </c>
      <c r="P7" s="25"/>
    </row>
    <row r="8" spans="1:16" s="20" customFormat="1" ht="15.6" x14ac:dyDescent="0.3">
      <c r="D8" s="21" t="s">
        <v>49</v>
      </c>
      <c r="E8" s="21"/>
      <c r="F8" s="21"/>
      <c r="G8" s="21"/>
      <c r="H8" s="21"/>
      <c r="O8" s="30"/>
      <c r="P8" s="25"/>
    </row>
    <row r="9" spans="1:16" s="20" customFormat="1" ht="15.6" x14ac:dyDescent="0.3">
      <c r="D9" s="21" t="s">
        <v>48</v>
      </c>
      <c r="E9" s="21"/>
      <c r="F9" s="21"/>
      <c r="G9" s="21"/>
      <c r="H9" s="21"/>
      <c r="O9" s="29">
        <v>57.5</v>
      </c>
      <c r="P9" s="25"/>
    </row>
    <row r="10" spans="1:16" s="20" customFormat="1" ht="15.6" x14ac:dyDescent="0.3">
      <c r="D10" s="21" t="s">
        <v>47</v>
      </c>
      <c r="E10" s="21"/>
      <c r="F10" s="21"/>
      <c r="G10" s="21"/>
      <c r="H10" s="21"/>
      <c r="O10" s="28">
        <v>0.06</v>
      </c>
      <c r="P10" s="25"/>
    </row>
    <row r="11" spans="1:16" s="20" customFormat="1" ht="15.6" x14ac:dyDescent="0.3">
      <c r="D11" s="21" t="s">
        <v>46</v>
      </c>
      <c r="E11" s="21"/>
      <c r="F11" s="21"/>
      <c r="G11" s="21"/>
      <c r="H11" s="21"/>
      <c r="O11" s="27"/>
      <c r="P11" s="25"/>
    </row>
    <row r="12" spans="1:16" s="20" customFormat="1" ht="15.6" x14ac:dyDescent="0.3">
      <c r="D12" s="22"/>
      <c r="E12" s="21"/>
      <c r="F12" s="21"/>
      <c r="G12" s="21"/>
      <c r="H12" s="21"/>
      <c r="O12" s="26"/>
      <c r="P12" s="25"/>
    </row>
    <row r="13" spans="1:16" s="20" customFormat="1" ht="15.6" x14ac:dyDescent="0.3">
      <c r="D13" s="22" t="s">
        <v>45</v>
      </c>
      <c r="E13" s="21"/>
      <c r="F13" s="21"/>
      <c r="G13" s="21"/>
      <c r="H13" s="21"/>
      <c r="O13" s="26"/>
      <c r="P13" s="25"/>
    </row>
    <row r="14" spans="1:16" s="20" customFormat="1" ht="16.2" thickBot="1" x14ac:dyDescent="0.35">
      <c r="D14" s="21" t="s">
        <v>44</v>
      </c>
      <c r="E14" s="21"/>
      <c r="F14" s="21"/>
      <c r="G14" s="21"/>
      <c r="H14" s="21"/>
      <c r="O14" s="24">
        <v>7.14</v>
      </c>
      <c r="P14" s="23">
        <v>4.1999999999999997E-3</v>
      </c>
    </row>
    <row r="15" spans="1:16" s="20" customFormat="1" ht="15.6" x14ac:dyDescent="0.3">
      <c r="D15" s="21" t="s">
        <v>43</v>
      </c>
      <c r="E15" s="21"/>
      <c r="F15" s="21"/>
      <c r="G15" s="21"/>
      <c r="H15" s="21"/>
    </row>
    <row r="16" spans="1:16" s="20" customFormat="1" ht="15.6" x14ac:dyDescent="0.3">
      <c r="D16" s="21"/>
      <c r="E16" s="21"/>
      <c r="F16" s="21"/>
      <c r="G16" s="21"/>
      <c r="H16" s="21"/>
    </row>
    <row r="17" spans="4:15" s="20" customFormat="1" ht="15.6" x14ac:dyDescent="0.3">
      <c r="D17" s="20" t="s">
        <v>42</v>
      </c>
      <c r="E17" s="21"/>
      <c r="F17" s="21"/>
      <c r="G17" s="21"/>
      <c r="H17" s="21"/>
    </row>
    <row r="18" spans="4:15" s="20" customFormat="1" ht="15.6" x14ac:dyDescent="0.3">
      <c r="D18" s="22"/>
      <c r="E18" s="21"/>
      <c r="F18" s="21"/>
      <c r="G18" s="21"/>
      <c r="H18" s="21"/>
    </row>
    <row r="19" spans="4:15" s="20" customFormat="1" ht="15.6" x14ac:dyDescent="0.3"/>
    <row r="20" spans="4:15" x14ac:dyDescent="0.3">
      <c r="D20" s="2" t="s">
        <v>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4:15" ht="15" thickBot="1" x14ac:dyDescent="0.35"/>
    <row r="22" spans="4:15" ht="15" thickBot="1" x14ac:dyDescent="0.35">
      <c r="D22" t="s">
        <v>41</v>
      </c>
      <c r="F22" s="19">
        <f>F53</f>
        <v>3940.8001266893248</v>
      </c>
    </row>
    <row r="23" spans="4:15" ht="15" thickBot="1" x14ac:dyDescent="0.35">
      <c r="D23" t="s">
        <v>40</v>
      </c>
      <c r="F23" s="19">
        <f>F54</f>
        <v>6059.1998733106748</v>
      </c>
    </row>
    <row r="25" spans="4:15" x14ac:dyDescent="0.3">
      <c r="D25" s="2" t="s"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8" spans="4:15" ht="15" thickBot="1" x14ac:dyDescent="0.35"/>
    <row r="29" spans="4:15" ht="15" thickBot="1" x14ac:dyDescent="0.35">
      <c r="D29" t="s">
        <v>39</v>
      </c>
      <c r="F29" s="19">
        <f>F40</f>
        <v>244.28920215642404</v>
      </c>
    </row>
    <row r="32" spans="4:15" x14ac:dyDescent="0.3">
      <c r="D32" t="s">
        <v>38</v>
      </c>
    </row>
    <row r="33" spans="4:7" x14ac:dyDescent="0.3">
      <c r="E33" s="5" t="s">
        <v>37</v>
      </c>
      <c r="F33" s="18">
        <f>O14*P14+O10</f>
        <v>8.9987999999999999E-2</v>
      </c>
    </row>
    <row r="35" spans="4:7" x14ac:dyDescent="0.3">
      <c r="D35" t="s">
        <v>36</v>
      </c>
    </row>
    <row r="36" spans="4:7" x14ac:dyDescent="0.3">
      <c r="E36" s="5" t="s">
        <v>35</v>
      </c>
      <c r="F36" s="17">
        <f>O6*(1+F33)^(1/2)</f>
        <v>1044024.9039175262</v>
      </c>
    </row>
    <row r="37" spans="4:7" x14ac:dyDescent="0.3">
      <c r="E37" s="5" t="s">
        <v>34</v>
      </c>
      <c r="F37" s="17">
        <f>F36/(1+O10)^(1/2)-O6</f>
        <v>14046.629123994382</v>
      </c>
    </row>
    <row r="39" spans="4:7" x14ac:dyDescent="0.3">
      <c r="D39" t="s">
        <v>33</v>
      </c>
    </row>
    <row r="40" spans="4:7" x14ac:dyDescent="0.3">
      <c r="E40" s="5" t="s">
        <v>32</v>
      </c>
      <c r="F40" s="16">
        <f>F37/O9</f>
        <v>244.28920215642404</v>
      </c>
    </row>
    <row r="42" spans="4:7" x14ac:dyDescent="0.3">
      <c r="D42" t="s">
        <v>31</v>
      </c>
    </row>
    <row r="43" spans="4:7" x14ac:dyDescent="0.3">
      <c r="E43" t="s">
        <v>30</v>
      </c>
    </row>
    <row r="44" spans="4:7" x14ac:dyDescent="0.3">
      <c r="E44" s="5" t="s">
        <v>29</v>
      </c>
      <c r="F44" s="17">
        <f>F36-O6*(1+O10)^(1/2)</f>
        <v>14461.889818826225</v>
      </c>
    </row>
    <row r="45" spans="4:7" x14ac:dyDescent="0.3">
      <c r="E45" s="5" t="s">
        <v>28</v>
      </c>
      <c r="F45" s="16">
        <f>F44/F29</f>
        <v>59.199873310675194</v>
      </c>
      <c r="G45" t="s">
        <v>27</v>
      </c>
    </row>
    <row r="47" spans="4:7" x14ac:dyDescent="0.3">
      <c r="D47" t="s">
        <v>26</v>
      </c>
    </row>
    <row r="48" spans="4:7" x14ac:dyDescent="0.3">
      <c r="E48" t="s">
        <v>25</v>
      </c>
    </row>
    <row r="49" spans="5:6" x14ac:dyDescent="0.3">
      <c r="E49" s="5" t="s">
        <v>22</v>
      </c>
      <c r="F49" s="16">
        <f>5000*(1-O7)</f>
        <v>4000</v>
      </c>
    </row>
    <row r="50" spans="5:6" x14ac:dyDescent="0.3">
      <c r="E50" s="5" t="s">
        <v>24</v>
      </c>
      <c r="F50" s="16">
        <f>5000*(1+O7)</f>
        <v>6000</v>
      </c>
    </row>
    <row r="52" spans="5:6" x14ac:dyDescent="0.3">
      <c r="E52" t="s">
        <v>23</v>
      </c>
    </row>
    <row r="53" spans="5:6" x14ac:dyDescent="0.3">
      <c r="E53" s="5" t="s">
        <v>22</v>
      </c>
      <c r="F53" s="16">
        <f>F49-F45</f>
        <v>3940.8001266893248</v>
      </c>
    </row>
    <row r="54" spans="5:6" x14ac:dyDescent="0.3">
      <c r="E54" s="5" t="s">
        <v>21</v>
      </c>
      <c r="F54" s="16">
        <f>F50+F45</f>
        <v>6059.1998733106748</v>
      </c>
    </row>
  </sheetData>
  <pageMargins left="0.7" right="0.7" top="0.75" bottom="0.75" header="0.3" footer="0.3"/>
  <pageSetup orientation="portrait" horizontalDpi="240" verticalDpi="24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474EF-5948-4A20-A7BC-E2F6CABCE034}">
  <dimension ref="A1:M160"/>
  <sheetViews>
    <sheetView workbookViewId="0">
      <selection activeCell="D100" sqref="D100"/>
    </sheetView>
  </sheetViews>
  <sheetFormatPr defaultColWidth="8.88671875" defaultRowHeight="14.4" x14ac:dyDescent="0.3"/>
  <cols>
    <col min="2" max="2" width="13.109375" customWidth="1"/>
    <col min="3" max="3" width="12.88671875" customWidth="1"/>
    <col min="4" max="4" width="12.6640625" style="35" customWidth="1"/>
    <col min="5" max="5" width="13.6640625" customWidth="1"/>
    <col min="6" max="6" width="13.33203125" customWidth="1"/>
    <col min="7" max="7" width="11.109375" customWidth="1"/>
    <col min="8" max="8" width="14.6640625" customWidth="1"/>
    <col min="9" max="9" width="12.109375" customWidth="1"/>
  </cols>
  <sheetData>
    <row r="1" spans="1:5" x14ac:dyDescent="0.3">
      <c r="A1" t="s">
        <v>144</v>
      </c>
    </row>
    <row r="2" spans="1:5" x14ac:dyDescent="0.3">
      <c r="A2" t="s">
        <v>143</v>
      </c>
    </row>
    <row r="3" spans="1:5" x14ac:dyDescent="0.3">
      <c r="B3" t="s">
        <v>142</v>
      </c>
    </row>
    <row r="4" spans="1:5" x14ac:dyDescent="0.3">
      <c r="B4" t="s">
        <v>141</v>
      </c>
    </row>
    <row r="5" spans="1:5" x14ac:dyDescent="0.3">
      <c r="B5" t="s">
        <v>140</v>
      </c>
    </row>
    <row r="6" spans="1:5" x14ac:dyDescent="0.3">
      <c r="B6" t="s">
        <v>139</v>
      </c>
    </row>
    <row r="7" spans="1:5" x14ac:dyDescent="0.3">
      <c r="B7" t="s">
        <v>138</v>
      </c>
    </row>
    <row r="8" spans="1:5" x14ac:dyDescent="0.3">
      <c r="B8" t="s">
        <v>137</v>
      </c>
    </row>
    <row r="9" spans="1:5" x14ac:dyDescent="0.3">
      <c r="B9" t="s">
        <v>136</v>
      </c>
    </row>
    <row r="10" spans="1:5" x14ac:dyDescent="0.3">
      <c r="B10" t="s">
        <v>135</v>
      </c>
    </row>
    <row r="11" spans="1:5" x14ac:dyDescent="0.3">
      <c r="C11" s="104" t="s">
        <v>102</v>
      </c>
      <c r="D11" s="103" t="s">
        <v>101</v>
      </c>
      <c r="E11" s="102" t="s">
        <v>134</v>
      </c>
    </row>
    <row r="12" spans="1:5" x14ac:dyDescent="0.3">
      <c r="C12" s="101">
        <v>1.25</v>
      </c>
      <c r="D12" s="100">
        <v>1.1000000000000001</v>
      </c>
      <c r="E12" s="88">
        <v>1.05</v>
      </c>
    </row>
    <row r="13" spans="1:5" x14ac:dyDescent="0.3">
      <c r="B13" t="s">
        <v>133</v>
      </c>
    </row>
    <row r="14" spans="1:5" x14ac:dyDescent="0.3">
      <c r="B14" t="s">
        <v>132</v>
      </c>
    </row>
    <row r="16" spans="1:5" x14ac:dyDescent="0.3">
      <c r="B16" t="s">
        <v>131</v>
      </c>
    </row>
    <row r="17" spans="2:9" x14ac:dyDescent="0.3">
      <c r="B17" s="87" t="s">
        <v>121</v>
      </c>
      <c r="C17" s="99" t="s">
        <v>14</v>
      </c>
      <c r="D17" s="98" t="s">
        <v>129</v>
      </c>
      <c r="F17" s="87" t="s">
        <v>130</v>
      </c>
      <c r="G17" s="92"/>
      <c r="H17" s="99" t="s">
        <v>14</v>
      </c>
      <c r="I17" s="98" t="s">
        <v>129</v>
      </c>
    </row>
    <row r="18" spans="2:9" x14ac:dyDescent="0.3">
      <c r="B18" s="82" t="s">
        <v>80</v>
      </c>
      <c r="C18" s="95">
        <v>5.2499999999999998E-2</v>
      </c>
      <c r="D18" s="97">
        <v>100</v>
      </c>
      <c r="F18" s="82" t="s">
        <v>128</v>
      </c>
      <c r="H18" s="95">
        <v>5.5E-2</v>
      </c>
      <c r="I18" s="97">
        <v>250</v>
      </c>
    </row>
    <row r="19" spans="2:9" x14ac:dyDescent="0.3">
      <c r="B19" s="82" t="s">
        <v>79</v>
      </c>
      <c r="C19" s="95">
        <v>5.7000000000000002E-2</v>
      </c>
      <c r="D19" s="97">
        <v>110</v>
      </c>
      <c r="F19" s="82" t="s">
        <v>127</v>
      </c>
      <c r="H19" s="95">
        <v>0.06</v>
      </c>
      <c r="I19" s="97">
        <v>300</v>
      </c>
    </row>
    <row r="20" spans="2:9" x14ac:dyDescent="0.3">
      <c r="B20" s="82" t="s">
        <v>78</v>
      </c>
      <c r="C20" s="95">
        <v>6.3E-2</v>
      </c>
      <c r="D20" s="97">
        <v>150</v>
      </c>
      <c r="F20" s="82" t="s">
        <v>126</v>
      </c>
      <c r="H20" s="95">
        <v>7.0000000000000007E-2</v>
      </c>
      <c r="I20" s="94">
        <v>100</v>
      </c>
    </row>
    <row r="21" spans="2:9" x14ac:dyDescent="0.3">
      <c r="B21" s="82" t="s">
        <v>77</v>
      </c>
      <c r="C21" s="95">
        <v>7.0000000000000007E-2</v>
      </c>
      <c r="D21" s="97">
        <v>160</v>
      </c>
      <c r="F21" s="78" t="s">
        <v>125</v>
      </c>
      <c r="G21" s="89"/>
      <c r="H21" s="96"/>
      <c r="I21" s="90">
        <f>SUM(I18:I20)</f>
        <v>650</v>
      </c>
    </row>
    <row r="22" spans="2:9" x14ac:dyDescent="0.3">
      <c r="B22" s="82" t="s">
        <v>76</v>
      </c>
      <c r="C22" s="95">
        <v>7.2999999999999995E-2</v>
      </c>
      <c r="D22" s="94">
        <v>200</v>
      </c>
      <c r="F22" s="93"/>
      <c r="G22" s="92"/>
      <c r="H22" s="91" t="s">
        <v>124</v>
      </c>
      <c r="I22" s="35"/>
    </row>
    <row r="23" spans="2:9" x14ac:dyDescent="0.3">
      <c r="B23" s="78" t="s">
        <v>75</v>
      </c>
      <c r="C23" s="89"/>
      <c r="D23" s="90">
        <f>SUM(D18:D22)</f>
        <v>720</v>
      </c>
      <c r="F23" s="78" t="s">
        <v>123</v>
      </c>
      <c r="G23" s="89"/>
      <c r="H23" s="88">
        <v>70</v>
      </c>
      <c r="I23" s="35"/>
    </row>
    <row r="25" spans="2:9" x14ac:dyDescent="0.3">
      <c r="G25" s="35"/>
    </row>
    <row r="26" spans="2:9" x14ac:dyDescent="0.3">
      <c r="B26" t="s">
        <v>122</v>
      </c>
    </row>
    <row r="27" spans="2:9" ht="33" customHeight="1" x14ac:dyDescent="0.3">
      <c r="B27" s="87" t="s">
        <v>121</v>
      </c>
      <c r="C27" s="85" t="s">
        <v>120</v>
      </c>
      <c r="D27" s="86" t="s">
        <v>119</v>
      </c>
      <c r="E27" s="85" t="s">
        <v>118</v>
      </c>
      <c r="F27" s="84" t="s">
        <v>117</v>
      </c>
      <c r="G27" s="83"/>
    </row>
    <row r="28" spans="2:9" x14ac:dyDescent="0.3">
      <c r="B28" s="82" t="s">
        <v>80</v>
      </c>
      <c r="C28" s="80">
        <v>0</v>
      </c>
      <c r="D28" s="81">
        <v>0.03</v>
      </c>
      <c r="E28" s="80">
        <v>0.08</v>
      </c>
      <c r="F28" s="79">
        <v>0.1</v>
      </c>
      <c r="G28" s="37"/>
    </row>
    <row r="29" spans="2:9" x14ac:dyDescent="0.3">
      <c r="B29" s="82" t="s">
        <v>79</v>
      </c>
      <c r="C29" s="80">
        <v>0.01</v>
      </c>
      <c r="D29" s="81">
        <v>0.04</v>
      </c>
      <c r="E29" s="80">
        <v>0.09</v>
      </c>
      <c r="F29" s="79">
        <v>0.12</v>
      </c>
      <c r="G29" s="37"/>
    </row>
    <row r="30" spans="2:9" x14ac:dyDescent="0.3">
      <c r="B30" s="82" t="s">
        <v>78</v>
      </c>
      <c r="C30" s="80">
        <v>1.4999999999999999E-2</v>
      </c>
      <c r="D30" s="81">
        <v>0.05</v>
      </c>
      <c r="E30" s="80">
        <v>0.1</v>
      </c>
      <c r="F30" s="79">
        <v>0.15</v>
      </c>
      <c r="G30" s="37"/>
    </row>
    <row r="31" spans="2:9" x14ac:dyDescent="0.3">
      <c r="B31" s="82" t="s">
        <v>77</v>
      </c>
      <c r="C31" s="80">
        <v>0.02</v>
      </c>
      <c r="D31" s="81">
        <v>7.0000000000000007E-2</v>
      </c>
      <c r="E31" s="80">
        <v>0.15</v>
      </c>
      <c r="F31" s="79">
        <v>0.2</v>
      </c>
      <c r="G31" s="37"/>
    </row>
    <row r="32" spans="2:9" x14ac:dyDescent="0.3">
      <c r="B32" s="78" t="s">
        <v>76</v>
      </c>
      <c r="C32" s="76">
        <v>2.5000000000000001E-2</v>
      </c>
      <c r="D32" s="77">
        <v>0.08</v>
      </c>
      <c r="E32" s="76">
        <v>0.2</v>
      </c>
      <c r="F32" s="75">
        <v>0.3</v>
      </c>
      <c r="G32" s="37"/>
    </row>
    <row r="34" spans="1:13" x14ac:dyDescent="0.3">
      <c r="A34" s="5" t="s">
        <v>116</v>
      </c>
      <c r="B34" t="s">
        <v>115</v>
      </c>
    </row>
    <row r="35" spans="1:13" x14ac:dyDescent="0.3">
      <c r="A35" s="5"/>
    </row>
    <row r="36" spans="1:13" x14ac:dyDescent="0.3">
      <c r="A36" s="5"/>
      <c r="B36" s="2" t="s">
        <v>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thickBot="1" x14ac:dyDescent="0.35">
      <c r="A37" s="5"/>
      <c r="D37"/>
    </row>
    <row r="38" spans="1:13" ht="15" thickBot="1" x14ac:dyDescent="0.35">
      <c r="A38" s="5"/>
      <c r="B38" t="s">
        <v>114</v>
      </c>
      <c r="E38" s="53">
        <f>G63</f>
        <v>13.75</v>
      </c>
    </row>
    <row r="39" spans="1:13" ht="15" thickBot="1" x14ac:dyDescent="0.35">
      <c r="A39" s="5"/>
      <c r="B39" t="s">
        <v>113</v>
      </c>
      <c r="E39" s="53">
        <f>G69</f>
        <v>18</v>
      </c>
    </row>
    <row r="40" spans="1:13" ht="15" thickBot="1" x14ac:dyDescent="0.35">
      <c r="A40" s="5"/>
      <c r="B40" t="s">
        <v>112</v>
      </c>
      <c r="E40" s="53">
        <f>G76</f>
        <v>7.0000000000000009</v>
      </c>
    </row>
    <row r="41" spans="1:13" ht="15" thickBot="1" x14ac:dyDescent="0.35">
      <c r="A41" s="5"/>
      <c r="B41" t="s">
        <v>111</v>
      </c>
      <c r="E41" s="53">
        <f>G82</f>
        <v>7.2265500000000022</v>
      </c>
    </row>
    <row r="42" spans="1:13" x14ac:dyDescent="0.3">
      <c r="A42" s="5"/>
      <c r="D42"/>
    </row>
    <row r="43" spans="1:13" x14ac:dyDescent="0.3">
      <c r="A43" s="5"/>
      <c r="B43" s="2" t="s">
        <v>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">
      <c r="A44" s="5"/>
    </row>
    <row r="45" spans="1:13" x14ac:dyDescent="0.3">
      <c r="A45" s="5"/>
      <c r="B45" s="34" t="s">
        <v>88</v>
      </c>
      <c r="D45"/>
    </row>
    <row r="46" spans="1:13" ht="43.8" thickBot="1" x14ac:dyDescent="0.35">
      <c r="A46" s="5"/>
      <c r="B46" s="52" t="s">
        <v>87</v>
      </c>
      <c r="C46" s="52" t="s">
        <v>14</v>
      </c>
      <c r="D46" s="52" t="s">
        <v>110</v>
      </c>
      <c r="E46" s="52" t="s">
        <v>109</v>
      </c>
      <c r="F46" s="52" t="s">
        <v>108</v>
      </c>
      <c r="G46" s="52" t="s">
        <v>107</v>
      </c>
    </row>
    <row r="47" spans="1:13" x14ac:dyDescent="0.3">
      <c r="A47" s="5"/>
      <c r="B47" t="s">
        <v>80</v>
      </c>
      <c r="C47" s="70">
        <f>+C18</f>
        <v>5.2499999999999998E-2</v>
      </c>
      <c r="D47" s="74">
        <f>+D18</f>
        <v>100</v>
      </c>
      <c r="E47" s="47">
        <f>C28</f>
        <v>0</v>
      </c>
      <c r="F47" s="51">
        <f>D47*(1-E47)</f>
        <v>100</v>
      </c>
      <c r="G47" s="50">
        <f>C47*F47</f>
        <v>5.25</v>
      </c>
    </row>
    <row r="48" spans="1:13" x14ac:dyDescent="0.3">
      <c r="A48" s="5"/>
      <c r="B48" t="s">
        <v>79</v>
      </c>
      <c r="C48" s="70">
        <f>+C19</f>
        <v>5.7000000000000002E-2</v>
      </c>
      <c r="D48" s="74">
        <f>+D19</f>
        <v>110</v>
      </c>
      <c r="E48" s="47">
        <f>C29</f>
        <v>0.01</v>
      </c>
      <c r="F48" s="49">
        <f>D48*(1-E48)</f>
        <v>108.9</v>
      </c>
      <c r="G48" s="48">
        <f>C48*F48</f>
        <v>6.2073000000000009</v>
      </c>
    </row>
    <row r="49" spans="1:7" x14ac:dyDescent="0.3">
      <c r="A49" s="5"/>
      <c r="B49" t="s">
        <v>78</v>
      </c>
      <c r="C49" s="70">
        <f>+C20</f>
        <v>6.3E-2</v>
      </c>
      <c r="D49" s="74">
        <f>+D20</f>
        <v>150</v>
      </c>
      <c r="E49" s="47">
        <f>C30</f>
        <v>1.4999999999999999E-2</v>
      </c>
      <c r="F49" s="49">
        <f>D49*(1-E49)</f>
        <v>147.75</v>
      </c>
      <c r="G49" s="48">
        <f>C49*F49</f>
        <v>9.3082499999999992</v>
      </c>
    </row>
    <row r="50" spans="1:7" x14ac:dyDescent="0.3">
      <c r="A50" s="5"/>
      <c r="B50" t="s">
        <v>77</v>
      </c>
      <c r="C50" s="70">
        <f>+C21</f>
        <v>7.0000000000000007E-2</v>
      </c>
      <c r="D50" s="74">
        <f>+D21</f>
        <v>160</v>
      </c>
      <c r="E50" s="47">
        <f>C31</f>
        <v>0.02</v>
      </c>
      <c r="F50" s="49">
        <f>D50*(1-E50)</f>
        <v>156.80000000000001</v>
      </c>
      <c r="G50" s="48">
        <f>C50*F50</f>
        <v>10.976000000000003</v>
      </c>
    </row>
    <row r="51" spans="1:7" ht="15" thickBot="1" x14ac:dyDescent="0.35">
      <c r="A51" s="5"/>
      <c r="B51" t="s">
        <v>76</v>
      </c>
      <c r="C51" s="70">
        <f>+C22</f>
        <v>7.2999999999999995E-2</v>
      </c>
      <c r="D51" s="74">
        <f>+D22</f>
        <v>200</v>
      </c>
      <c r="E51" s="47">
        <f>C32</f>
        <v>2.5000000000000001E-2</v>
      </c>
      <c r="F51" s="46">
        <f>D51*(1-E51)</f>
        <v>195</v>
      </c>
      <c r="G51" s="45">
        <f>C51*F51</f>
        <v>14.234999999999999</v>
      </c>
    </row>
    <row r="52" spans="1:7" x14ac:dyDescent="0.3">
      <c r="A52" s="5"/>
      <c r="B52" t="s">
        <v>75</v>
      </c>
      <c r="D52" s="35">
        <f>SUM(D47:D51)</f>
        <v>720</v>
      </c>
      <c r="E52" s="35"/>
      <c r="F52" s="44">
        <f>SUM(F47:F51)</f>
        <v>708.45</v>
      </c>
      <c r="G52" s="44">
        <f>SUM(G47:G51)</f>
        <v>45.976550000000003</v>
      </c>
    </row>
    <row r="53" spans="1:7" x14ac:dyDescent="0.3">
      <c r="A53" s="5"/>
    </row>
    <row r="54" spans="1:7" x14ac:dyDescent="0.3">
      <c r="A54" s="5"/>
      <c r="B54" s="34" t="s">
        <v>106</v>
      </c>
      <c r="D54"/>
    </row>
    <row r="55" spans="1:7" ht="43.8" thickBot="1" x14ac:dyDescent="0.35">
      <c r="A55" s="5"/>
      <c r="B55" s="73" t="s">
        <v>105</v>
      </c>
      <c r="C55" s="52" t="s">
        <v>14</v>
      </c>
      <c r="D55" s="52" t="s">
        <v>104</v>
      </c>
      <c r="E55" s="52" t="s">
        <v>103</v>
      </c>
    </row>
    <row r="56" spans="1:7" x14ac:dyDescent="0.3">
      <c r="A56" s="5"/>
      <c r="B56" t="s">
        <v>102</v>
      </c>
      <c r="C56" s="70">
        <f>H18</f>
        <v>5.5E-2</v>
      </c>
      <c r="D56" s="69">
        <f>I18</f>
        <v>250</v>
      </c>
      <c r="E56" s="72">
        <f>C56*D56</f>
        <v>13.75</v>
      </c>
    </row>
    <row r="57" spans="1:7" x14ac:dyDescent="0.3">
      <c r="A57" s="5"/>
      <c r="B57" t="s">
        <v>101</v>
      </c>
      <c r="C57" s="70">
        <f>H19</f>
        <v>0.06</v>
      </c>
      <c r="D57" s="69">
        <f>I19</f>
        <v>300</v>
      </c>
      <c r="E57" s="71">
        <f>C57*D57</f>
        <v>18</v>
      </c>
    </row>
    <row r="58" spans="1:7" ht="15" thickBot="1" x14ac:dyDescent="0.35">
      <c r="A58" s="5"/>
      <c r="B58" t="s">
        <v>100</v>
      </c>
      <c r="C58" s="70">
        <f>H20</f>
        <v>7.0000000000000007E-2</v>
      </c>
      <c r="D58" s="69">
        <f>I20</f>
        <v>100</v>
      </c>
      <c r="E58" s="68">
        <f>C58*D58</f>
        <v>7.0000000000000009</v>
      </c>
    </row>
    <row r="59" spans="1:7" x14ac:dyDescent="0.3">
      <c r="A59" s="5"/>
      <c r="B59" t="s">
        <v>99</v>
      </c>
      <c r="C59" s="67"/>
    </row>
    <row r="60" spans="1:7" x14ac:dyDescent="0.3">
      <c r="A60" s="5"/>
    </row>
    <row r="61" spans="1:7" x14ac:dyDescent="0.3">
      <c r="A61" s="5"/>
      <c r="B61" s="34" t="s">
        <v>74</v>
      </c>
      <c r="D61"/>
      <c r="G61" s="5" t="s">
        <v>98</v>
      </c>
    </row>
    <row r="62" spans="1:7" ht="15" thickBot="1" x14ac:dyDescent="0.35">
      <c r="A62" s="5"/>
      <c r="C62" t="s">
        <v>71</v>
      </c>
      <c r="D62"/>
      <c r="G62" s="36">
        <f>G52</f>
        <v>45.976550000000003</v>
      </c>
    </row>
    <row r="63" spans="1:7" x14ac:dyDescent="0.3">
      <c r="A63" s="5"/>
      <c r="C63" t="s">
        <v>70</v>
      </c>
      <c r="D63"/>
      <c r="G63" s="63">
        <f>E56</f>
        <v>13.75</v>
      </c>
    </row>
    <row r="64" spans="1:7" ht="15" thickBot="1" x14ac:dyDescent="0.35">
      <c r="A64" s="5"/>
      <c r="C64" t="s">
        <v>69</v>
      </c>
      <c r="D64"/>
      <c r="G64" s="66">
        <f>F52/D56</f>
        <v>2.8338000000000001</v>
      </c>
    </row>
    <row r="65" spans="1:7" x14ac:dyDescent="0.3">
      <c r="A65" s="5"/>
      <c r="C65" t="s">
        <v>68</v>
      </c>
      <c r="D65"/>
      <c r="G65" s="61">
        <f>C12</f>
        <v>1.25</v>
      </c>
    </row>
    <row r="66" spans="1:7" x14ac:dyDescent="0.3">
      <c r="A66" s="5"/>
      <c r="C66" t="s">
        <v>67</v>
      </c>
      <c r="D66"/>
      <c r="G66" s="60">
        <v>0</v>
      </c>
    </row>
    <row r="67" spans="1:7" x14ac:dyDescent="0.3">
      <c r="A67" s="5"/>
      <c r="D67"/>
      <c r="G67" s="16"/>
    </row>
    <row r="68" spans="1:7" ht="15" thickBot="1" x14ac:dyDescent="0.35">
      <c r="A68" s="5"/>
      <c r="C68" t="s">
        <v>66</v>
      </c>
      <c r="D68"/>
      <c r="G68" s="36">
        <f>G62-G63-G66</f>
        <v>32.226550000000003</v>
      </c>
    </row>
    <row r="69" spans="1:7" x14ac:dyDescent="0.3">
      <c r="A69" s="5"/>
      <c r="C69" t="s">
        <v>65</v>
      </c>
      <c r="D69"/>
      <c r="G69" s="63">
        <f>E57</f>
        <v>18</v>
      </c>
    </row>
    <row r="70" spans="1:7" ht="15" thickBot="1" x14ac:dyDescent="0.35">
      <c r="A70" s="5"/>
      <c r="C70" t="s">
        <v>64</v>
      </c>
      <c r="D70"/>
      <c r="G70" s="62">
        <f>F52/(D56+D57)</f>
        <v>1.2880909090909092</v>
      </c>
    </row>
    <row r="71" spans="1:7" x14ac:dyDescent="0.3">
      <c r="A71" s="5"/>
      <c r="C71" t="s">
        <v>63</v>
      </c>
      <c r="D71"/>
      <c r="G71" s="65">
        <f>D12</f>
        <v>1.1000000000000001</v>
      </c>
    </row>
    <row r="72" spans="1:7" x14ac:dyDescent="0.3">
      <c r="A72" s="5"/>
      <c r="C72" t="s">
        <v>58</v>
      </c>
      <c r="D72"/>
      <c r="G72" s="60">
        <v>0</v>
      </c>
    </row>
    <row r="73" spans="1:7" x14ac:dyDescent="0.3">
      <c r="A73" s="5"/>
      <c r="C73" t="s">
        <v>57</v>
      </c>
      <c r="D73"/>
      <c r="G73" s="60">
        <v>0</v>
      </c>
    </row>
    <row r="74" spans="1:7" x14ac:dyDescent="0.3">
      <c r="A74" s="5"/>
      <c r="D74"/>
      <c r="G74" s="64"/>
    </row>
    <row r="75" spans="1:7" ht="15" thickBot="1" x14ac:dyDescent="0.35">
      <c r="A75" s="5"/>
      <c r="C75" t="s">
        <v>62</v>
      </c>
      <c r="D75"/>
      <c r="G75" s="36">
        <f>G68-G69-G72</f>
        <v>14.226550000000003</v>
      </c>
    </row>
    <row r="76" spans="1:7" x14ac:dyDescent="0.3">
      <c r="A76" s="5"/>
      <c r="C76" t="s">
        <v>61</v>
      </c>
      <c r="D76"/>
      <c r="G76" s="63">
        <f>E58</f>
        <v>7.0000000000000009</v>
      </c>
    </row>
    <row r="77" spans="1:7" ht="15" thickBot="1" x14ac:dyDescent="0.35">
      <c r="A77" s="5"/>
      <c r="C77" t="s">
        <v>60</v>
      </c>
      <c r="D77"/>
      <c r="G77" s="62">
        <f>F52/(D56+D57+D58)</f>
        <v>1.089923076923077</v>
      </c>
    </row>
    <row r="78" spans="1:7" x14ac:dyDescent="0.3">
      <c r="A78" s="5"/>
      <c r="C78" t="s">
        <v>59</v>
      </c>
      <c r="D78"/>
      <c r="G78" s="61">
        <f>E12</f>
        <v>1.05</v>
      </c>
    </row>
    <row r="79" spans="1:7" x14ac:dyDescent="0.3">
      <c r="A79" s="5"/>
      <c r="C79" t="s">
        <v>58</v>
      </c>
      <c r="D79"/>
      <c r="G79" s="60">
        <v>0</v>
      </c>
    </row>
    <row r="80" spans="1:7" x14ac:dyDescent="0.3">
      <c r="A80" s="5"/>
      <c r="C80" t="s">
        <v>57</v>
      </c>
      <c r="D80"/>
      <c r="G80" s="60">
        <v>0</v>
      </c>
    </row>
    <row r="81" spans="1:13" ht="15" thickBot="1" x14ac:dyDescent="0.35">
      <c r="A81" s="5"/>
      <c r="D81"/>
      <c r="G81" s="59"/>
    </row>
    <row r="82" spans="1:13" ht="15" thickBot="1" x14ac:dyDescent="0.35">
      <c r="A82" s="5"/>
      <c r="C82" t="s">
        <v>97</v>
      </c>
      <c r="D82"/>
      <c r="G82" s="58">
        <f>G75-G76-G79</f>
        <v>7.2265500000000022</v>
      </c>
    </row>
    <row r="83" spans="1:13" x14ac:dyDescent="0.3">
      <c r="A83" s="5"/>
    </row>
    <row r="84" spans="1:13" x14ac:dyDescent="0.3">
      <c r="A84" s="5"/>
    </row>
    <row r="85" spans="1:13" x14ac:dyDescent="0.3">
      <c r="A85" s="5"/>
    </row>
    <row r="86" spans="1:13" x14ac:dyDescent="0.3">
      <c r="A86" s="5" t="s">
        <v>96</v>
      </c>
      <c r="B86" t="s">
        <v>95</v>
      </c>
    </row>
    <row r="87" spans="1:13" x14ac:dyDescent="0.3">
      <c r="A87" s="5"/>
    </row>
    <row r="88" spans="1:13" x14ac:dyDescent="0.3">
      <c r="A88" s="5"/>
      <c r="B88" s="2" t="s">
        <v>1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thickBot="1" x14ac:dyDescent="0.35">
      <c r="A89" s="5"/>
      <c r="D89"/>
    </row>
    <row r="90" spans="1:13" ht="15" thickBot="1" x14ac:dyDescent="0.35">
      <c r="A90" s="5"/>
      <c r="B90" t="s">
        <v>57</v>
      </c>
      <c r="E90" s="53">
        <f>F122</f>
        <v>4.4482255000000057</v>
      </c>
    </row>
    <row r="91" spans="1:13" x14ac:dyDescent="0.3">
      <c r="A91" s="5"/>
      <c r="D91"/>
    </row>
    <row r="92" spans="1:13" x14ac:dyDescent="0.3">
      <c r="A92" s="5"/>
      <c r="B92" s="2" t="s">
        <v>0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3">
      <c r="A93" s="5"/>
    </row>
    <row r="94" spans="1:13" x14ac:dyDescent="0.3">
      <c r="A94" s="5"/>
      <c r="B94" s="34" t="s">
        <v>88</v>
      </c>
    </row>
    <row r="95" spans="1:13" ht="43.8" thickBot="1" x14ac:dyDescent="0.35">
      <c r="A95" s="5"/>
      <c r="B95" s="52" t="s">
        <v>87</v>
      </c>
      <c r="C95" s="52" t="s">
        <v>94</v>
      </c>
      <c r="D95" s="52" t="s">
        <v>93</v>
      </c>
      <c r="E95" s="52" t="s">
        <v>92</v>
      </c>
    </row>
    <row r="96" spans="1:13" x14ac:dyDescent="0.3">
      <c r="A96" s="5"/>
      <c r="B96" t="s">
        <v>80</v>
      </c>
      <c r="C96" s="47">
        <f>D28</f>
        <v>0.03</v>
      </c>
      <c r="D96" s="51">
        <f>F47*(1-C96)</f>
        <v>97</v>
      </c>
      <c r="E96" s="50">
        <f>C47*D96</f>
        <v>5.0925000000000002</v>
      </c>
    </row>
    <row r="97" spans="1:6" x14ac:dyDescent="0.3">
      <c r="A97" s="5"/>
      <c r="B97" t="s">
        <v>79</v>
      </c>
      <c r="C97" s="47">
        <f>D29</f>
        <v>0.04</v>
      </c>
      <c r="D97" s="49">
        <f>F48*(1-C97)</f>
        <v>104.544</v>
      </c>
      <c r="E97" s="48">
        <f>C48*D97</f>
        <v>5.9590079999999999</v>
      </c>
    </row>
    <row r="98" spans="1:6" x14ac:dyDescent="0.3">
      <c r="A98" s="5"/>
      <c r="B98" t="s">
        <v>78</v>
      </c>
      <c r="C98" s="47">
        <f>D30</f>
        <v>0.05</v>
      </c>
      <c r="D98" s="49">
        <f>F49*(1-C98)</f>
        <v>140.36249999999998</v>
      </c>
      <c r="E98" s="48">
        <f>C49*D98</f>
        <v>8.8428374999999981</v>
      </c>
    </row>
    <row r="99" spans="1:6" x14ac:dyDescent="0.3">
      <c r="A99" s="5"/>
      <c r="B99" t="s">
        <v>77</v>
      </c>
      <c r="C99" s="47">
        <f>D31</f>
        <v>7.0000000000000007E-2</v>
      </c>
      <c r="D99" s="49">
        <f>F50*(1-C99)</f>
        <v>145.82400000000001</v>
      </c>
      <c r="E99" s="48">
        <f>C50*D99</f>
        <v>10.207680000000002</v>
      </c>
    </row>
    <row r="100" spans="1:6" ht="15" thickBot="1" x14ac:dyDescent="0.35">
      <c r="A100" s="5"/>
      <c r="B100" t="s">
        <v>76</v>
      </c>
      <c r="C100" s="47">
        <f>D32</f>
        <v>0.08</v>
      </c>
      <c r="D100" s="46">
        <f>F51*(1-C100)</f>
        <v>179.4</v>
      </c>
      <c r="E100" s="45">
        <f>C51*D100</f>
        <v>13.0962</v>
      </c>
    </row>
    <row r="101" spans="1:6" x14ac:dyDescent="0.3">
      <c r="A101" s="5"/>
      <c r="B101" t="s">
        <v>75</v>
      </c>
      <c r="C101" s="35"/>
      <c r="D101" s="44">
        <f>SUM(D96:D100)</f>
        <v>667.13049999999998</v>
      </c>
      <c r="E101" s="44">
        <f>SUM(E96:E100)</f>
        <v>43.198225500000007</v>
      </c>
    </row>
    <row r="102" spans="1:6" x14ac:dyDescent="0.3">
      <c r="A102" s="5"/>
    </row>
    <row r="103" spans="1:6" x14ac:dyDescent="0.3">
      <c r="A103" s="5"/>
      <c r="B103" s="34" t="s">
        <v>74</v>
      </c>
      <c r="F103" s="5" t="s">
        <v>91</v>
      </c>
    </row>
    <row r="104" spans="1:6" x14ac:dyDescent="0.3">
      <c r="A104" s="5"/>
      <c r="C104" t="s">
        <v>71</v>
      </c>
      <c r="F104" s="36">
        <f>E101</f>
        <v>43.198225500000007</v>
      </c>
    </row>
    <row r="105" spans="1:6" x14ac:dyDescent="0.3">
      <c r="A105" s="5"/>
      <c r="C105" t="s">
        <v>70</v>
      </c>
      <c r="F105">
        <f>G63</f>
        <v>13.75</v>
      </c>
    </row>
    <row r="106" spans="1:6" x14ac:dyDescent="0.3">
      <c r="A106" s="5"/>
      <c r="C106" t="s">
        <v>69</v>
      </c>
      <c r="F106" s="57">
        <f>D101/D56</f>
        <v>2.6685219999999998</v>
      </c>
    </row>
    <row r="107" spans="1:6" x14ac:dyDescent="0.3">
      <c r="A107" s="5"/>
      <c r="C107" t="s">
        <v>68</v>
      </c>
      <c r="F107">
        <f>G65</f>
        <v>1.25</v>
      </c>
    </row>
    <row r="108" spans="1:6" x14ac:dyDescent="0.3">
      <c r="A108" s="5"/>
      <c r="C108" t="s">
        <v>67</v>
      </c>
      <c r="F108" s="42">
        <v>0</v>
      </c>
    </row>
    <row r="109" spans="1:6" x14ac:dyDescent="0.3">
      <c r="A109" s="5"/>
      <c r="F109" s="16"/>
    </row>
    <row r="110" spans="1:6" x14ac:dyDescent="0.3">
      <c r="A110" s="5"/>
      <c r="C110" t="s">
        <v>66</v>
      </c>
      <c r="F110" s="36">
        <f>F104-F105-F108</f>
        <v>29.448225500000007</v>
      </c>
    </row>
    <row r="111" spans="1:6" x14ac:dyDescent="0.3">
      <c r="A111" s="5"/>
      <c r="C111" t="s">
        <v>65</v>
      </c>
      <c r="F111" s="16">
        <f>G69</f>
        <v>18</v>
      </c>
    </row>
    <row r="112" spans="1:6" x14ac:dyDescent="0.3">
      <c r="A112" s="5"/>
      <c r="C112" t="s">
        <v>64</v>
      </c>
      <c r="F112" s="57">
        <f>D101/(D56+D57)</f>
        <v>1.2129645454545455</v>
      </c>
    </row>
    <row r="113" spans="1:13" x14ac:dyDescent="0.3">
      <c r="A113" s="5"/>
      <c r="C113" t="s">
        <v>63</v>
      </c>
      <c r="F113" s="16">
        <f>G71</f>
        <v>1.1000000000000001</v>
      </c>
    </row>
    <row r="114" spans="1:13" x14ac:dyDescent="0.3">
      <c r="A114" s="5"/>
      <c r="C114" t="s">
        <v>58</v>
      </c>
      <c r="F114" s="42">
        <v>0</v>
      </c>
    </row>
    <row r="115" spans="1:13" x14ac:dyDescent="0.3">
      <c r="A115" s="5"/>
      <c r="C115" t="s">
        <v>57</v>
      </c>
      <c r="F115" s="42">
        <v>0</v>
      </c>
    </row>
    <row r="116" spans="1:13" x14ac:dyDescent="0.3">
      <c r="A116" s="5"/>
    </row>
    <row r="117" spans="1:13" x14ac:dyDescent="0.3">
      <c r="A117" s="5"/>
      <c r="C117" t="s">
        <v>62</v>
      </c>
      <c r="F117" s="36">
        <f>F110-F111-F114</f>
        <v>11.448225500000007</v>
      </c>
    </row>
    <row r="118" spans="1:13" ht="15" thickBot="1" x14ac:dyDescent="0.35">
      <c r="A118" s="5"/>
      <c r="C118" t="s">
        <v>61</v>
      </c>
      <c r="F118" s="16">
        <f>G76</f>
        <v>7.0000000000000009</v>
      </c>
    </row>
    <row r="119" spans="1:13" ht="15" thickBot="1" x14ac:dyDescent="0.35">
      <c r="A119" s="5"/>
      <c r="C119" t="s">
        <v>60</v>
      </c>
      <c r="F119" s="56">
        <f>D101/(D56+D57+D58)</f>
        <v>1.0263546153846153</v>
      </c>
    </row>
    <row r="120" spans="1:13" ht="15" thickBot="1" x14ac:dyDescent="0.35">
      <c r="A120" s="5"/>
      <c r="C120" t="s">
        <v>59</v>
      </c>
      <c r="F120" s="16">
        <f>G78</f>
        <v>1.05</v>
      </c>
    </row>
    <row r="121" spans="1:13" x14ac:dyDescent="0.3">
      <c r="A121" s="5"/>
      <c r="C121" t="s">
        <v>58</v>
      </c>
      <c r="F121" s="55">
        <f>SUM(D56:D58)-D101/F120</f>
        <v>14.637619047619069</v>
      </c>
    </row>
    <row r="122" spans="1:13" ht="15" thickBot="1" x14ac:dyDescent="0.35">
      <c r="A122" s="5"/>
      <c r="C122" t="s">
        <v>57</v>
      </c>
      <c r="F122" s="54">
        <f>MIN(F117-F118,F121)</f>
        <v>4.4482255000000057</v>
      </c>
    </row>
    <row r="123" spans="1:13" x14ac:dyDescent="0.3">
      <c r="A123" s="5"/>
    </row>
    <row r="124" spans="1:13" x14ac:dyDescent="0.3">
      <c r="A124" s="5" t="s">
        <v>55</v>
      </c>
      <c r="B124" t="s">
        <v>90</v>
      </c>
    </row>
    <row r="126" spans="1:13" x14ac:dyDescent="0.3">
      <c r="A126" s="5"/>
      <c r="B126" s="2" t="s">
        <v>1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thickBot="1" x14ac:dyDescent="0.35">
      <c r="D127"/>
    </row>
    <row r="128" spans="1:13" ht="15" thickBot="1" x14ac:dyDescent="0.35">
      <c r="B128" t="s">
        <v>89</v>
      </c>
      <c r="E128" s="53">
        <f>I149</f>
        <v>16.837378125187499</v>
      </c>
    </row>
    <row r="129" spans="1:13" x14ac:dyDescent="0.3">
      <c r="D129"/>
    </row>
    <row r="130" spans="1:13" x14ac:dyDescent="0.3">
      <c r="B130" s="2" t="s">
        <v>0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3">
      <c r="C131" s="37"/>
    </row>
    <row r="132" spans="1:13" x14ac:dyDescent="0.3">
      <c r="B132" s="34" t="s">
        <v>88</v>
      </c>
      <c r="C132" s="37"/>
    </row>
    <row r="133" spans="1:13" ht="43.8" thickBot="1" x14ac:dyDescent="0.35">
      <c r="B133" s="52" t="s">
        <v>87</v>
      </c>
      <c r="C133" s="52" t="s">
        <v>86</v>
      </c>
      <c r="D133" s="52" t="s">
        <v>85</v>
      </c>
      <c r="E133" s="52" t="s">
        <v>84</v>
      </c>
      <c r="F133" s="52" t="s">
        <v>83</v>
      </c>
      <c r="G133" s="52" t="s">
        <v>82</v>
      </c>
      <c r="H133" s="52" t="s">
        <v>81</v>
      </c>
    </row>
    <row r="134" spans="1:13" x14ac:dyDescent="0.3">
      <c r="B134" t="s">
        <v>80</v>
      </c>
      <c r="C134" s="47">
        <f>E28</f>
        <v>0.08</v>
      </c>
      <c r="D134" s="51">
        <f>D96*(1-C134)</f>
        <v>89.240000000000009</v>
      </c>
      <c r="E134" s="50">
        <f>C47*D134</f>
        <v>4.6851000000000003</v>
      </c>
      <c r="F134" s="47">
        <f>F28</f>
        <v>0.1</v>
      </c>
      <c r="G134" s="51">
        <f>D134*(1-F134)</f>
        <v>80.316000000000017</v>
      </c>
      <c r="H134" s="50">
        <f>C47*G134</f>
        <v>4.2165900000000009</v>
      </c>
    </row>
    <row r="135" spans="1:13" x14ac:dyDescent="0.3">
      <c r="B135" t="s">
        <v>79</v>
      </c>
      <c r="C135" s="47">
        <f>E29</f>
        <v>0.09</v>
      </c>
      <c r="D135" s="49">
        <f>D97*(1-C135)</f>
        <v>95.135040000000004</v>
      </c>
      <c r="E135" s="48">
        <f>C48*D135</f>
        <v>5.4226972800000004</v>
      </c>
      <c r="F135" s="47">
        <f>F29</f>
        <v>0.12</v>
      </c>
      <c r="G135" s="49">
        <f>D135*(1-F135)</f>
        <v>83.718835200000001</v>
      </c>
      <c r="H135" s="48">
        <f>C48*G135</f>
        <v>4.7719736064000005</v>
      </c>
    </row>
    <row r="136" spans="1:13" x14ac:dyDescent="0.3">
      <c r="B136" t="s">
        <v>78</v>
      </c>
      <c r="C136" s="47">
        <f>E30</f>
        <v>0.1</v>
      </c>
      <c r="D136" s="49">
        <f>D98*(1-C136)</f>
        <v>126.32624999999999</v>
      </c>
      <c r="E136" s="48">
        <f>C49*D136</f>
        <v>7.9585537499999992</v>
      </c>
      <c r="F136" s="47">
        <f>F30</f>
        <v>0.15</v>
      </c>
      <c r="G136" s="49">
        <f>D136*(1-F136)</f>
        <v>107.37731249999999</v>
      </c>
      <c r="H136" s="48">
        <f>C49*G136</f>
        <v>6.7647706874999995</v>
      </c>
    </row>
    <row r="137" spans="1:13" x14ac:dyDescent="0.3">
      <c r="A137" s="5"/>
      <c r="B137" t="s">
        <v>77</v>
      </c>
      <c r="C137" s="47">
        <f>E31</f>
        <v>0.15</v>
      </c>
      <c r="D137" s="49">
        <f>D99*(1-C137)</f>
        <v>123.9504</v>
      </c>
      <c r="E137" s="48">
        <f>C50*D137</f>
        <v>8.6765280000000011</v>
      </c>
      <c r="F137" s="47">
        <f>F31</f>
        <v>0.2</v>
      </c>
      <c r="G137" s="49">
        <f>D137*(1-F137)</f>
        <v>99.160320000000013</v>
      </c>
      <c r="H137" s="48">
        <f>C50*G137</f>
        <v>6.9412224000000018</v>
      </c>
    </row>
    <row r="138" spans="1:13" ht="15" thickBot="1" x14ac:dyDescent="0.35">
      <c r="B138" t="s">
        <v>76</v>
      </c>
      <c r="C138" s="47">
        <f>E32</f>
        <v>0.2</v>
      </c>
      <c r="D138" s="46">
        <f>D100*(1-C138)</f>
        <v>143.52000000000001</v>
      </c>
      <c r="E138" s="45">
        <f>C51*D138</f>
        <v>10.47696</v>
      </c>
      <c r="F138" s="47">
        <f>F32</f>
        <v>0.3</v>
      </c>
      <c r="G138" s="46">
        <f>D138*(1-F138)</f>
        <v>100.464</v>
      </c>
      <c r="H138" s="45">
        <f>C51*G138</f>
        <v>7.3338719999999995</v>
      </c>
    </row>
    <row r="139" spans="1:13" x14ac:dyDescent="0.3">
      <c r="B139" t="s">
        <v>75</v>
      </c>
      <c r="C139" s="35"/>
      <c r="D139" s="44">
        <f>SUM(D134:D138)</f>
        <v>578.17169000000001</v>
      </c>
      <c r="E139" s="44">
        <f>SUM(E134:E138)</f>
        <v>37.219839030000003</v>
      </c>
      <c r="F139" s="35"/>
      <c r="G139" s="44">
        <f>SUM(G134:G138)</f>
        <v>471.0364677</v>
      </c>
      <c r="H139" s="44">
        <f>SUM(H134:H138)</f>
        <v>30.0284286939</v>
      </c>
    </row>
    <row r="141" spans="1:13" x14ac:dyDescent="0.3">
      <c r="B141" s="34" t="s">
        <v>74</v>
      </c>
      <c r="F141" s="5" t="s">
        <v>73</v>
      </c>
      <c r="I141" s="5" t="s">
        <v>72</v>
      </c>
    </row>
    <row r="142" spans="1:13" ht="15" thickBot="1" x14ac:dyDescent="0.35">
      <c r="C142" t="s">
        <v>71</v>
      </c>
      <c r="F142" s="16">
        <f>E139</f>
        <v>37.219839030000003</v>
      </c>
      <c r="I142" s="16">
        <f>H139</f>
        <v>30.0284286939</v>
      </c>
    </row>
    <row r="143" spans="1:13" ht="15" thickBot="1" x14ac:dyDescent="0.35">
      <c r="C143" t="s">
        <v>70</v>
      </c>
      <c r="F143" s="43">
        <f>C56*(D56-F122)</f>
        <v>13.5053475975</v>
      </c>
      <c r="I143" s="43">
        <f>C56*(D56-F122-F153)</f>
        <v>13.1910505687125</v>
      </c>
    </row>
    <row r="144" spans="1:13" x14ac:dyDescent="0.3">
      <c r="C144" t="s">
        <v>69</v>
      </c>
      <c r="F144" s="16">
        <f>D139/(D56-F122)</f>
        <v>2.3545815996536406</v>
      </c>
      <c r="I144" s="16">
        <f>G139/D56</f>
        <v>1.8841458708000001</v>
      </c>
    </row>
    <row r="145" spans="3:9" x14ac:dyDescent="0.3">
      <c r="C145" t="s">
        <v>68</v>
      </c>
      <c r="F145">
        <f>F107</f>
        <v>1.25</v>
      </c>
      <c r="I145">
        <f>F145</f>
        <v>1.25</v>
      </c>
    </row>
    <row r="146" spans="3:9" x14ac:dyDescent="0.3">
      <c r="C146" t="s">
        <v>67</v>
      </c>
      <c r="F146" s="42">
        <v>0</v>
      </c>
      <c r="I146" s="42">
        <v>0</v>
      </c>
    </row>
    <row r="148" spans="3:9" ht="15" thickBot="1" x14ac:dyDescent="0.35">
      <c r="C148" t="s">
        <v>66</v>
      </c>
      <c r="F148" s="36">
        <f>F142-F143-F146</f>
        <v>23.714491432500004</v>
      </c>
      <c r="G148" s="37"/>
      <c r="H148" s="37"/>
      <c r="I148" s="36">
        <f>I142-I143-I146</f>
        <v>16.837378125187499</v>
      </c>
    </row>
    <row r="149" spans="3:9" ht="15" thickBot="1" x14ac:dyDescent="0.35">
      <c r="C149" t="s">
        <v>65</v>
      </c>
      <c r="F149" s="16">
        <f>F111</f>
        <v>18</v>
      </c>
      <c r="G149" s="37"/>
      <c r="I149" s="41">
        <f>MIN(F149,I148)</f>
        <v>16.837378125187499</v>
      </c>
    </row>
    <row r="150" spans="3:9" x14ac:dyDescent="0.3">
      <c r="C150" t="s">
        <v>64</v>
      </c>
      <c r="F150" s="16">
        <f>D139/(D56+D57-F122)</f>
        <v>1.0597925202056144</v>
      </c>
      <c r="G150" s="37"/>
      <c r="H150" s="37"/>
      <c r="I150" s="16">
        <f>G139/(D56+D57-F122-F153)</f>
        <v>0.87255267925076374</v>
      </c>
    </row>
    <row r="151" spans="3:9" ht="15" thickBot="1" x14ac:dyDescent="0.35">
      <c r="C151" t="s">
        <v>63</v>
      </c>
      <c r="F151" s="16">
        <f>F113</f>
        <v>1.1000000000000001</v>
      </c>
      <c r="G151" s="37"/>
      <c r="H151" s="37"/>
      <c r="I151" s="16">
        <f>F151</f>
        <v>1.1000000000000001</v>
      </c>
    </row>
    <row r="152" spans="3:9" x14ac:dyDescent="0.3">
      <c r="C152" t="s">
        <v>58</v>
      </c>
      <c r="F152" s="40">
        <f>D56+D57-F122-D139/F151</f>
        <v>19.941147227272722</v>
      </c>
      <c r="H152" s="37"/>
      <c r="I152" s="16"/>
    </row>
    <row r="153" spans="3:9" ht="15" thickBot="1" x14ac:dyDescent="0.35">
      <c r="C153" t="s">
        <v>57</v>
      </c>
      <c r="F153" s="39">
        <f>MIN(F152,F148-F149)</f>
        <v>5.7144914325000045</v>
      </c>
      <c r="H153" s="37"/>
      <c r="I153" s="16"/>
    </row>
    <row r="154" spans="3:9" x14ac:dyDescent="0.3">
      <c r="F154" s="38"/>
      <c r="G154" s="37"/>
      <c r="H154" s="37"/>
      <c r="I154" s="16"/>
    </row>
    <row r="155" spans="3:9" x14ac:dyDescent="0.3">
      <c r="C155" t="s">
        <v>62</v>
      </c>
      <c r="F155" s="36"/>
      <c r="I155" s="36"/>
    </row>
    <row r="156" spans="3:9" x14ac:dyDescent="0.3">
      <c r="C156" t="s">
        <v>61</v>
      </c>
    </row>
    <row r="157" spans="3:9" x14ac:dyDescent="0.3">
      <c r="C157" t="s">
        <v>60</v>
      </c>
    </row>
    <row r="158" spans="3:9" x14ac:dyDescent="0.3">
      <c r="C158" t="s">
        <v>59</v>
      </c>
    </row>
    <row r="159" spans="3:9" x14ac:dyDescent="0.3">
      <c r="C159" t="s">
        <v>58</v>
      </c>
    </row>
    <row r="160" spans="3:9" x14ac:dyDescent="0.3">
      <c r="C160" t="s">
        <v>57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7822-D449-4CA8-95FF-BD891502A531}">
  <dimension ref="B2:N42"/>
  <sheetViews>
    <sheetView zoomScaleNormal="100" workbookViewId="0"/>
  </sheetViews>
  <sheetFormatPr defaultRowHeight="14.4" x14ac:dyDescent="0.3"/>
  <cols>
    <col min="2" max="2" width="10.5546875" bestFit="1" customWidth="1"/>
    <col min="3" max="14" width="12.88671875" customWidth="1"/>
  </cols>
  <sheetData>
    <row r="2" spans="3:5" ht="15.6" x14ac:dyDescent="0.3">
      <c r="C2" s="118" t="s">
        <v>157</v>
      </c>
    </row>
    <row r="3" spans="3:5" ht="15.6" x14ac:dyDescent="0.3">
      <c r="C3" s="106"/>
    </row>
    <row r="4" spans="3:5" ht="15" thickBot="1" x14ac:dyDescent="0.35">
      <c r="C4" s="113" t="s">
        <v>152</v>
      </c>
    </row>
    <row r="5" spans="3:5" ht="16.2" thickBot="1" x14ac:dyDescent="0.35">
      <c r="C5" s="112" t="s">
        <v>88</v>
      </c>
      <c r="D5" s="111" t="s">
        <v>150</v>
      </c>
      <c r="E5" s="111" t="s">
        <v>149</v>
      </c>
    </row>
    <row r="6" spans="3:5" ht="16.2" thickBot="1" x14ac:dyDescent="0.35">
      <c r="C6" s="109" t="s">
        <v>147</v>
      </c>
      <c r="D6" s="108">
        <v>1086962</v>
      </c>
      <c r="E6" s="107">
        <v>6.1849999999999996</v>
      </c>
    </row>
    <row r="7" spans="3:5" ht="16.2" thickBot="1" x14ac:dyDescent="0.35">
      <c r="C7" s="109" t="s">
        <v>146</v>
      </c>
      <c r="D7" s="108">
        <v>984157</v>
      </c>
      <c r="E7" s="107">
        <v>2.343</v>
      </c>
    </row>
    <row r="8" spans="3:5" ht="16.2" thickBot="1" x14ac:dyDescent="0.35">
      <c r="C8" s="109" t="s">
        <v>145</v>
      </c>
      <c r="D8" s="108">
        <v>1032565</v>
      </c>
      <c r="E8" s="107">
        <v>5.6740000000000004</v>
      </c>
    </row>
    <row r="9" spans="3:5" ht="15.6" x14ac:dyDescent="0.3">
      <c r="C9" s="106"/>
    </row>
    <row r="10" spans="3:5" ht="15.6" x14ac:dyDescent="0.3">
      <c r="C10" s="114"/>
    </row>
    <row r="11" spans="3:5" ht="15" thickBot="1" x14ac:dyDescent="0.35">
      <c r="C11" s="113" t="s">
        <v>151</v>
      </c>
    </row>
    <row r="12" spans="3:5" ht="16.2" thickBot="1" x14ac:dyDescent="0.35">
      <c r="C12" s="112" t="s">
        <v>88</v>
      </c>
      <c r="D12" s="111" t="s">
        <v>150</v>
      </c>
      <c r="E12" s="111" t="s">
        <v>149</v>
      </c>
    </row>
    <row r="13" spans="3:5" ht="16.2" thickBot="1" x14ac:dyDescent="0.35">
      <c r="C13" s="109" t="s">
        <v>147</v>
      </c>
      <c r="D13" s="108">
        <v>1042390</v>
      </c>
      <c r="E13" s="107">
        <v>5.298</v>
      </c>
    </row>
    <row r="14" spans="3:5" ht="16.2" thickBot="1" x14ac:dyDescent="0.35">
      <c r="C14" s="109" t="s">
        <v>146</v>
      </c>
      <c r="D14" s="108">
        <v>1011682</v>
      </c>
      <c r="E14" s="107">
        <v>1.4059999999999999</v>
      </c>
    </row>
    <row r="15" spans="3:5" ht="16.2" thickBot="1" x14ac:dyDescent="0.35">
      <c r="C15" s="109" t="s">
        <v>145</v>
      </c>
      <c r="D15" s="108">
        <v>1002693</v>
      </c>
      <c r="E15" s="107">
        <v>4.8170000000000002</v>
      </c>
    </row>
    <row r="16" spans="3:5" ht="15.6" x14ac:dyDescent="0.3">
      <c r="C16" s="106"/>
    </row>
    <row r="17" spans="2:14" x14ac:dyDescent="0.3">
      <c r="B17" s="117" t="s">
        <v>156</v>
      </c>
      <c r="C17" s="116" t="s">
        <v>155</v>
      </c>
    </row>
    <row r="19" spans="2:14" x14ac:dyDescent="0.3">
      <c r="C19" s="2" t="s">
        <v>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ht="15" thickBot="1" x14ac:dyDescent="0.35"/>
    <row r="21" spans="2:14" ht="15" thickBot="1" x14ac:dyDescent="0.35">
      <c r="C21" t="s">
        <v>154</v>
      </c>
      <c r="E21" s="19">
        <f>F35/F42</f>
        <v>1.2643345912166779</v>
      </c>
    </row>
    <row r="22" spans="2:14" ht="15" thickBot="1" x14ac:dyDescent="0.35"/>
    <row r="23" spans="2:14" ht="16.2" thickBot="1" x14ac:dyDescent="0.35">
      <c r="C23" s="112"/>
      <c r="D23" s="111" t="s">
        <v>153</v>
      </c>
    </row>
    <row r="24" spans="2:14" ht="16.2" thickBot="1" x14ac:dyDescent="0.35">
      <c r="C24" s="109" t="s">
        <v>147</v>
      </c>
      <c r="D24" s="108">
        <f>$E$21*D13</f>
        <v>1317929.7345383528</v>
      </c>
      <c r="G24" s="115"/>
    </row>
    <row r="25" spans="2:14" ht="16.2" thickBot="1" x14ac:dyDescent="0.35">
      <c r="C25" s="109" t="s">
        <v>146</v>
      </c>
      <c r="D25" s="108">
        <f>$E$21*D14</f>
        <v>1279104.5479112712</v>
      </c>
      <c r="G25" s="115"/>
    </row>
    <row r="26" spans="2:14" ht="16.2" thickBot="1" x14ac:dyDescent="0.35">
      <c r="C26" s="109" t="s">
        <v>145</v>
      </c>
      <c r="D26" s="108">
        <f>$E$21*D15</f>
        <v>1267739.4442708243</v>
      </c>
      <c r="G26" s="115"/>
    </row>
    <row r="28" spans="2:14" x14ac:dyDescent="0.3">
      <c r="C28" s="2" t="s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30" spans="2:14" ht="15" thickBot="1" x14ac:dyDescent="0.35">
      <c r="C30" s="113" t="s">
        <v>152</v>
      </c>
    </row>
    <row r="31" spans="2:14" ht="31.8" thickBot="1" x14ac:dyDescent="0.35">
      <c r="C31" s="112" t="s">
        <v>88</v>
      </c>
      <c r="D31" s="111" t="s">
        <v>150</v>
      </c>
      <c r="E31" s="111" t="s">
        <v>149</v>
      </c>
      <c r="F31" s="110" t="s">
        <v>148</v>
      </c>
    </row>
    <row r="32" spans="2:14" ht="16.2" thickBot="1" x14ac:dyDescent="0.35">
      <c r="C32" s="109" t="s">
        <v>147</v>
      </c>
      <c r="D32" s="108">
        <v>1086962</v>
      </c>
      <c r="E32" s="107">
        <v>6.1849999999999996</v>
      </c>
      <c r="F32" s="105">
        <f>E32*D32*0.01</f>
        <v>67228.599699999992</v>
      </c>
    </row>
    <row r="33" spans="3:6" ht="16.2" thickBot="1" x14ac:dyDescent="0.35">
      <c r="C33" s="109" t="s">
        <v>146</v>
      </c>
      <c r="D33" s="108">
        <v>984157</v>
      </c>
      <c r="E33" s="107">
        <v>2.343</v>
      </c>
      <c r="F33" s="105">
        <f>E33*D33*0.01</f>
        <v>23058.798509999997</v>
      </c>
    </row>
    <row r="34" spans="3:6" ht="16.2" thickBot="1" x14ac:dyDescent="0.35">
      <c r="C34" s="109" t="s">
        <v>145</v>
      </c>
      <c r="D34" s="108">
        <v>1032565</v>
      </c>
      <c r="E34" s="107">
        <v>5.6740000000000004</v>
      </c>
      <c r="F34" s="105">
        <f>E34*D34*0.01</f>
        <v>58587.73810000001</v>
      </c>
    </row>
    <row r="35" spans="3:6" ht="16.2" thickBot="1" x14ac:dyDescent="0.35">
      <c r="C35" s="106"/>
      <c r="F35" s="105">
        <f>AVERAGE(F32:F34)</f>
        <v>49625.045436666667</v>
      </c>
    </row>
    <row r="36" spans="3:6" ht="15.6" x14ac:dyDescent="0.3">
      <c r="C36" s="114"/>
    </row>
    <row r="37" spans="3:6" ht="15" thickBot="1" x14ac:dyDescent="0.35">
      <c r="C37" s="113" t="s">
        <v>151</v>
      </c>
    </row>
    <row r="38" spans="3:6" ht="31.8" thickBot="1" x14ac:dyDescent="0.35">
      <c r="C38" s="112" t="s">
        <v>88</v>
      </c>
      <c r="D38" s="111" t="s">
        <v>150</v>
      </c>
      <c r="E38" s="111" t="s">
        <v>149</v>
      </c>
      <c r="F38" s="110" t="s">
        <v>148</v>
      </c>
    </row>
    <row r="39" spans="3:6" ht="16.2" thickBot="1" x14ac:dyDescent="0.35">
      <c r="C39" s="109" t="s">
        <v>147</v>
      </c>
      <c r="D39" s="108">
        <v>1042390</v>
      </c>
      <c r="E39" s="107">
        <v>5.298</v>
      </c>
      <c r="F39" s="105">
        <f>E39*D39*0.01</f>
        <v>55225.822199999995</v>
      </c>
    </row>
    <row r="40" spans="3:6" ht="16.2" thickBot="1" x14ac:dyDescent="0.35">
      <c r="C40" s="109" t="s">
        <v>146</v>
      </c>
      <c r="D40" s="108">
        <v>1011682</v>
      </c>
      <c r="E40" s="107">
        <v>1.4059999999999999</v>
      </c>
      <c r="F40" s="105">
        <f>E40*D40*0.01</f>
        <v>14224.24892</v>
      </c>
    </row>
    <row r="41" spans="3:6" ht="16.2" thickBot="1" x14ac:dyDescent="0.35">
      <c r="C41" s="109" t="s">
        <v>145</v>
      </c>
      <c r="D41" s="108">
        <v>1002693</v>
      </c>
      <c r="E41" s="107">
        <v>4.8170000000000002</v>
      </c>
      <c r="F41" s="105">
        <f>E41*D41*0.01</f>
        <v>48299.721810000003</v>
      </c>
    </row>
    <row r="42" spans="3:6" ht="16.2" thickBot="1" x14ac:dyDescent="0.35">
      <c r="C42" s="106"/>
      <c r="F42" s="105">
        <f>AVERAGE(F39:F41)</f>
        <v>39249.930976666663</v>
      </c>
    </row>
  </sheetData>
  <pageMargins left="0.7" right="0.7" top="0.75" bottom="0.75" header="0.3" footer="0.3"/>
  <pageSetup orientation="portrait" horizontalDpi="240" verticalDpi="24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02F26-E0E6-4651-9511-E9A6B9B33536}">
  <dimension ref="A1:R40"/>
  <sheetViews>
    <sheetView topLeftCell="A10" zoomScale="85" zoomScaleNormal="85" workbookViewId="0">
      <selection activeCell="F24" sqref="F24"/>
    </sheetView>
  </sheetViews>
  <sheetFormatPr defaultRowHeight="14.4" x14ac:dyDescent="0.3"/>
  <cols>
    <col min="4" max="5" width="17.44140625" customWidth="1"/>
    <col min="6" max="6" width="14.6640625" customWidth="1"/>
  </cols>
  <sheetData>
    <row r="1" spans="1:18" x14ac:dyDescent="0.3">
      <c r="A1" s="34" t="s">
        <v>185</v>
      </c>
    </row>
    <row r="3" spans="1:18" ht="15.6" x14ac:dyDescent="0.3">
      <c r="B3" s="20"/>
      <c r="C3" s="20" t="s">
        <v>96</v>
      </c>
      <c r="D3" t="s">
        <v>184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5.6" x14ac:dyDescent="0.3">
      <c r="B4" s="20"/>
      <c r="C4" s="20"/>
      <c r="D4" t="s">
        <v>183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ht="15.6" x14ac:dyDescent="0.3">
      <c r="B5" s="20"/>
      <c r="C5" s="20"/>
      <c r="D5" t="s">
        <v>182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ht="15.6" x14ac:dyDescent="0.3">
      <c r="B6" s="20"/>
      <c r="C6" s="20"/>
      <c r="D6" t="s">
        <v>181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15.6" x14ac:dyDescent="0.3">
      <c r="B7" s="20"/>
      <c r="C7" s="20"/>
      <c r="D7" t="s">
        <v>180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ht="15.6" x14ac:dyDescent="0.3">
      <c r="B8" s="20"/>
      <c r="C8" s="20"/>
      <c r="H8" s="21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ht="15.6" x14ac:dyDescent="0.3">
      <c r="B9" s="20"/>
      <c r="C9" s="20"/>
      <c r="D9" t="s">
        <v>179</v>
      </c>
      <c r="H9" s="21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15.6" x14ac:dyDescent="0.3">
      <c r="B10" s="20"/>
      <c r="C10" s="20"/>
      <c r="H10" s="21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ht="15.6" x14ac:dyDescent="0.3">
      <c r="B11" s="20"/>
      <c r="C11" s="20" t="s">
        <v>178</v>
      </c>
      <c r="D11" t="s">
        <v>177</v>
      </c>
      <c r="H11" s="21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ht="15.6" x14ac:dyDescent="0.3">
      <c r="B12" s="20"/>
      <c r="C12" s="20"/>
      <c r="D12" s="22"/>
      <c r="E12" s="21"/>
      <c r="F12" s="21"/>
      <c r="G12" s="21"/>
      <c r="H12" s="21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ht="15.6" x14ac:dyDescent="0.3">
      <c r="B13" s="20"/>
      <c r="C13" s="20" t="s">
        <v>176</v>
      </c>
      <c r="D13" s="22" t="s">
        <v>175</v>
      </c>
      <c r="E13" s="21"/>
      <c r="F13" s="21"/>
      <c r="G13" s="21"/>
      <c r="H13" s="21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8" ht="15.6" x14ac:dyDescent="0.3">
      <c r="B14" s="20"/>
      <c r="C14" s="20"/>
      <c r="D14" s="21"/>
      <c r="E14" s="21"/>
      <c r="F14" s="21"/>
      <c r="G14" s="21"/>
      <c r="H14" s="21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18" ht="15.6" x14ac:dyDescent="0.3">
      <c r="B15" s="20"/>
      <c r="C15" s="20" t="s">
        <v>162</v>
      </c>
      <c r="D15" s="22" t="s">
        <v>174</v>
      </c>
      <c r="E15" s="21"/>
      <c r="F15" s="21"/>
      <c r="G15" s="21"/>
      <c r="H15" s="21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8" ht="15.6" x14ac:dyDescent="0.3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4:15" x14ac:dyDescent="0.3">
      <c r="D17" s="2" t="s">
        <v>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4:15" ht="15" thickBot="1" x14ac:dyDescent="0.35"/>
    <row r="19" spans="4:15" ht="15" thickBot="1" x14ac:dyDescent="0.35">
      <c r="D19" t="s">
        <v>173</v>
      </c>
      <c r="F19" s="127">
        <f>1-3.5%/5%</f>
        <v>0.29999999999999993</v>
      </c>
    </row>
    <row r="20" spans="4:15" ht="15" thickBot="1" x14ac:dyDescent="0.35"/>
    <row r="21" spans="4:15" ht="15" thickBot="1" x14ac:dyDescent="0.35">
      <c r="D21" t="s">
        <v>172</v>
      </c>
      <c r="F21" s="126">
        <f>E33</f>
        <v>1000000</v>
      </c>
      <c r="H21" s="119" t="s">
        <v>171</v>
      </c>
    </row>
    <row r="22" spans="4:15" ht="15" thickBot="1" x14ac:dyDescent="0.35"/>
    <row r="23" spans="4:15" ht="15" thickBot="1" x14ac:dyDescent="0.35">
      <c r="D23" t="s">
        <v>170</v>
      </c>
      <c r="F23" s="125">
        <v>4.8750000000000002E-2</v>
      </c>
    </row>
    <row r="26" spans="4:15" x14ac:dyDescent="0.3">
      <c r="D26" s="2" t="s"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9" spans="4:15" x14ac:dyDescent="0.3">
      <c r="D29" s="5" t="s">
        <v>169</v>
      </c>
      <c r="E29" s="124">
        <v>0.05</v>
      </c>
      <c r="G29" s="123" t="s">
        <v>168</v>
      </c>
      <c r="H29" s="121"/>
    </row>
    <row r="30" spans="4:15" x14ac:dyDescent="0.3">
      <c r="D30" s="5" t="s">
        <v>167</v>
      </c>
      <c r="E30" s="122">
        <v>3.5000000000000003E-2</v>
      </c>
      <c r="G30" s="5" t="s">
        <v>166</v>
      </c>
      <c r="H30" s="121">
        <v>0.2</v>
      </c>
    </row>
    <row r="31" spans="4:15" x14ac:dyDescent="0.3">
      <c r="D31" s="5" t="s">
        <v>165</v>
      </c>
      <c r="E31" s="120">
        <v>60000</v>
      </c>
      <c r="G31" s="5" t="s">
        <v>164</v>
      </c>
      <c r="H31" s="121">
        <v>0.35</v>
      </c>
    </row>
    <row r="33" spans="4:5" x14ac:dyDescent="0.3">
      <c r="D33" s="5" t="s">
        <v>163</v>
      </c>
      <c r="E33" s="120">
        <v>1000000</v>
      </c>
    </row>
    <row r="36" spans="4:5" x14ac:dyDescent="0.3">
      <c r="D36" t="s">
        <v>162</v>
      </c>
      <c r="E36" s="119" t="s">
        <v>161</v>
      </c>
    </row>
    <row r="37" spans="4:5" x14ac:dyDescent="0.3">
      <c r="E37" s="119" t="s">
        <v>160</v>
      </c>
    </row>
    <row r="38" spans="4:5" x14ac:dyDescent="0.3">
      <c r="E38" s="119" t="s">
        <v>159</v>
      </c>
    </row>
    <row r="39" spans="4:5" x14ac:dyDescent="0.3">
      <c r="E39" s="119"/>
    </row>
    <row r="40" spans="4:5" x14ac:dyDescent="0.3">
      <c r="E40" s="119" t="s">
        <v>158</v>
      </c>
    </row>
  </sheetData>
  <pageMargins left="0.7" right="0.7" top="0.75" bottom="0.75" header="0.3" footer="0.3"/>
  <pageSetup orientation="portrait" r:id="rId1"/>
  <headerFooter>
    <oddHeader>&amp;R&amp;"Calibri"&amp;10&amp;KFF8C00 Confidential&amp;1#_x000D_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5D35C-DC31-4BD5-BE66-F99DCC26E2CE}">
  <dimension ref="A1:M53"/>
  <sheetViews>
    <sheetView topLeftCell="A14" zoomScale="93" zoomScaleNormal="100" workbookViewId="0"/>
  </sheetViews>
  <sheetFormatPr defaultRowHeight="14.4" x14ac:dyDescent="0.3"/>
  <cols>
    <col min="2" max="2" width="15.5546875" customWidth="1"/>
    <col min="3" max="3" width="30.88671875" customWidth="1"/>
    <col min="4" max="5" width="22.88671875" bestFit="1" customWidth="1"/>
    <col min="6" max="7" width="22.109375" bestFit="1" customWidth="1"/>
  </cols>
  <sheetData>
    <row r="1" spans="1:7" ht="22.8" x14ac:dyDescent="0.4">
      <c r="A1" s="158"/>
    </row>
    <row r="2" spans="1:7" ht="15.6" x14ac:dyDescent="0.3">
      <c r="B2" s="114" t="s">
        <v>224</v>
      </c>
      <c r="C2" s="20"/>
    </row>
    <row r="3" spans="1:7" ht="16.2" thickBot="1" x14ac:dyDescent="0.35">
      <c r="B3" s="114"/>
    </row>
    <row r="4" spans="1:7" ht="30.75" customHeight="1" thickBot="1" x14ac:dyDescent="0.35">
      <c r="B4" s="155"/>
      <c r="C4" s="157" t="s">
        <v>223</v>
      </c>
      <c r="D4" s="156" t="s">
        <v>222</v>
      </c>
      <c r="E4" s="156" t="s">
        <v>221</v>
      </c>
      <c r="F4" s="156" t="s">
        <v>220</v>
      </c>
      <c r="G4" s="156" t="s">
        <v>219</v>
      </c>
    </row>
    <row r="5" spans="1:7" ht="16.2" thickBot="1" x14ac:dyDescent="0.35">
      <c r="B5" s="155"/>
      <c r="C5" s="154" t="s">
        <v>218</v>
      </c>
      <c r="D5" s="153">
        <v>0.02</v>
      </c>
      <c r="E5" s="153">
        <v>4.0000000000000001E-3</v>
      </c>
      <c r="F5" s="153">
        <v>1.2999999999999999E-2</v>
      </c>
      <c r="G5" s="153">
        <v>0.03</v>
      </c>
    </row>
    <row r="6" spans="1:7" ht="15" thickBot="1" x14ac:dyDescent="0.35">
      <c r="C6" s="154" t="s">
        <v>217</v>
      </c>
      <c r="D6" s="153">
        <v>0.05</v>
      </c>
      <c r="E6" s="153">
        <v>1.4999999999999999E-2</v>
      </c>
      <c r="F6" s="153">
        <v>-0.01</v>
      </c>
      <c r="G6" s="153">
        <v>7.0000000000000007E-2</v>
      </c>
    </row>
    <row r="7" spans="1:7" ht="15" thickBot="1" x14ac:dyDescent="0.35">
      <c r="C7" s="154" t="s">
        <v>216</v>
      </c>
      <c r="D7" s="153">
        <v>7.0000000000000007E-2</v>
      </c>
      <c r="E7" s="153">
        <v>0.02</v>
      </c>
      <c r="F7" s="153">
        <v>0.01</v>
      </c>
      <c r="G7" s="153">
        <v>9.5000000000000001E-2</v>
      </c>
    </row>
    <row r="8" spans="1:7" ht="15" thickBot="1" x14ac:dyDescent="0.35">
      <c r="C8" s="154" t="s">
        <v>215</v>
      </c>
      <c r="D8" s="153">
        <v>0.14499999999999999</v>
      </c>
      <c r="E8" s="153">
        <v>0.2</v>
      </c>
      <c r="F8" s="153">
        <v>-0.10199999999999999</v>
      </c>
      <c r="G8" s="153">
        <v>0.42799999999999999</v>
      </c>
    </row>
    <row r="9" spans="1:7" ht="15" thickBot="1" x14ac:dyDescent="0.35">
      <c r="C9" s="154" t="s">
        <v>214</v>
      </c>
      <c r="D9" s="153">
        <v>0.155</v>
      </c>
      <c r="E9" s="153">
        <v>0.35</v>
      </c>
      <c r="F9" s="153">
        <v>-0.15</v>
      </c>
      <c r="G9" s="153">
        <v>0.37</v>
      </c>
    </row>
    <row r="10" spans="1:7" ht="15.6" x14ac:dyDescent="0.3">
      <c r="C10" s="143"/>
      <c r="D10" s="143"/>
      <c r="E10" s="143"/>
    </row>
    <row r="11" spans="1:7" ht="15.75" customHeight="1" x14ac:dyDescent="0.3">
      <c r="B11" s="152" t="s">
        <v>213</v>
      </c>
      <c r="C11" s="152"/>
      <c r="D11" s="152"/>
      <c r="E11" s="152"/>
      <c r="F11" s="152"/>
      <c r="G11" s="152"/>
    </row>
    <row r="12" spans="1:7" ht="15.6" x14ac:dyDescent="0.3">
      <c r="C12" s="143"/>
      <c r="D12" s="143"/>
      <c r="E12" s="143"/>
    </row>
    <row r="13" spans="1:7" ht="39.75" customHeight="1" x14ac:dyDescent="0.3">
      <c r="B13" s="151" t="s">
        <v>212</v>
      </c>
      <c r="C13" s="151"/>
      <c r="D13" s="151"/>
      <c r="E13" s="151"/>
      <c r="F13" s="151"/>
      <c r="G13" s="151"/>
    </row>
    <row r="14" spans="1:7" ht="16.2" thickBot="1" x14ac:dyDescent="0.35">
      <c r="C14" s="143"/>
      <c r="D14" s="143"/>
      <c r="E14" s="143"/>
    </row>
    <row r="15" spans="1:7" ht="28.2" thickBot="1" x14ac:dyDescent="0.35">
      <c r="C15" s="150" t="s">
        <v>211</v>
      </c>
      <c r="D15" s="149" t="s">
        <v>210</v>
      </c>
      <c r="E15" s="149" t="s">
        <v>209</v>
      </c>
      <c r="F15" s="149" t="s">
        <v>208</v>
      </c>
    </row>
    <row r="16" spans="1:7" ht="15" thickBot="1" x14ac:dyDescent="0.35">
      <c r="C16" s="148" t="s">
        <v>188</v>
      </c>
      <c r="D16" s="147">
        <v>0.06</v>
      </c>
      <c r="E16" s="147">
        <v>6.6699999999999995E-2</v>
      </c>
      <c r="F16" s="146">
        <v>0.88</v>
      </c>
    </row>
    <row r="17" spans="2:13" ht="15" thickBot="1" x14ac:dyDescent="0.35">
      <c r="C17" s="148" t="s">
        <v>187</v>
      </c>
      <c r="D17" s="147">
        <v>9.2999999999999999E-2</v>
      </c>
      <c r="E17" s="147">
        <v>0.12</v>
      </c>
      <c r="F17" s="146">
        <v>0.75</v>
      </c>
    </row>
    <row r="18" spans="2:13" ht="15" thickBot="1" x14ac:dyDescent="0.35">
      <c r="C18" s="148" t="s">
        <v>186</v>
      </c>
      <c r="D18" s="147">
        <v>8.5000000000000006E-2</v>
      </c>
      <c r="E18" s="147">
        <v>0.11</v>
      </c>
      <c r="F18" s="146">
        <v>0.65</v>
      </c>
    </row>
    <row r="19" spans="2:13" x14ac:dyDescent="0.3">
      <c r="C19" s="144"/>
      <c r="D19" s="145"/>
      <c r="E19" s="145"/>
      <c r="F19" s="144"/>
    </row>
    <row r="20" spans="2:13" ht="15.6" x14ac:dyDescent="0.3">
      <c r="B20" s="114" t="s">
        <v>207</v>
      </c>
      <c r="C20" s="143"/>
      <c r="D20" s="143"/>
      <c r="E20" s="143"/>
    </row>
    <row r="21" spans="2:13" ht="15.6" x14ac:dyDescent="0.3">
      <c r="C21" s="143"/>
      <c r="D21" s="143"/>
      <c r="E21" s="143"/>
    </row>
    <row r="22" spans="2:13" s="3" customFormat="1" ht="13.95" customHeight="1" x14ac:dyDescent="0.3">
      <c r="B22" s="142" t="s">
        <v>206</v>
      </c>
      <c r="C22" s="140"/>
      <c r="D22" s="140"/>
      <c r="E22" s="140"/>
      <c r="F22" s="140"/>
      <c r="G22" s="140"/>
      <c r="H22" s="140"/>
      <c r="I22" s="140"/>
    </row>
    <row r="23" spans="2:13" s="3" customFormat="1" ht="13.95" customHeight="1" x14ac:dyDescent="0.3">
      <c r="B23" s="142"/>
      <c r="C23" s="141" t="s">
        <v>205</v>
      </c>
      <c r="D23" s="140"/>
      <c r="E23" s="140"/>
      <c r="F23" s="140"/>
      <c r="G23" s="140"/>
      <c r="H23" s="140"/>
      <c r="I23" s="140"/>
    </row>
    <row r="24" spans="2:13" s="3" customFormat="1" ht="13.95" customHeight="1" x14ac:dyDescent="0.3">
      <c r="B24" s="142"/>
      <c r="C24" s="141" t="s">
        <v>204</v>
      </c>
      <c r="D24" s="140"/>
      <c r="E24" s="140"/>
      <c r="F24" s="140"/>
      <c r="G24" s="140"/>
      <c r="H24" s="140"/>
      <c r="I24" s="140"/>
    </row>
    <row r="26" spans="2:13" ht="14.25" customHeight="1" x14ac:dyDescent="0.3">
      <c r="B26" s="2" t="s">
        <v>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ht="15" thickBot="1" x14ac:dyDescent="0.35"/>
    <row r="28" spans="2:13" ht="16.2" thickBot="1" x14ac:dyDescent="0.35">
      <c r="C28" s="139" t="s">
        <v>88</v>
      </c>
      <c r="D28" s="138" t="s">
        <v>203</v>
      </c>
      <c r="E28" s="138" t="s">
        <v>202</v>
      </c>
    </row>
    <row r="29" spans="2:13" ht="16.2" thickBot="1" x14ac:dyDescent="0.35">
      <c r="C29" s="136" t="s">
        <v>188</v>
      </c>
      <c r="D29" s="137">
        <f>C44</f>
        <v>0.45045045045045012</v>
      </c>
      <c r="E29" s="137">
        <f>D44</f>
        <v>5.1102219999999997E-2</v>
      </c>
    </row>
    <row r="30" spans="2:13" ht="16.2" thickBot="1" x14ac:dyDescent="0.35">
      <c r="C30" s="136" t="s">
        <v>187</v>
      </c>
      <c r="D30" s="137">
        <f>C45</f>
        <v>0.52537537537537515</v>
      </c>
      <c r="E30" s="137">
        <f>D45</f>
        <v>6.4200000000000007E-2</v>
      </c>
    </row>
    <row r="31" spans="2:13" ht="16.2" thickBot="1" x14ac:dyDescent="0.35">
      <c r="C31" s="136" t="s">
        <v>186</v>
      </c>
      <c r="D31" s="137">
        <f>C46</f>
        <v>0.50040950040950027</v>
      </c>
      <c r="E31" s="137">
        <f>D46</f>
        <v>6.0800000000000007E-2</v>
      </c>
    </row>
    <row r="32" spans="2:13" ht="16.2" thickBot="1" x14ac:dyDescent="0.35">
      <c r="C32" s="136" t="s">
        <v>201</v>
      </c>
      <c r="D32" s="135" t="s">
        <v>187</v>
      </c>
      <c r="E32" s="135" t="s">
        <v>187</v>
      </c>
    </row>
    <row r="34" spans="2:13" ht="14.25" customHeight="1" x14ac:dyDescent="0.3">
      <c r="B34" s="2" t="s">
        <v>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3">
      <c r="B35" s="128" t="s">
        <v>200</v>
      </c>
      <c r="C35" s="128"/>
      <c r="D35" s="134">
        <v>7.4999999999999997E-2</v>
      </c>
      <c r="E35" s="128"/>
      <c r="F35" s="128"/>
      <c r="G35" s="128"/>
      <c r="H35" s="128"/>
      <c r="I35" s="128"/>
      <c r="J35" s="128"/>
      <c r="K35" s="128"/>
      <c r="L35" s="128"/>
      <c r="M35" s="128"/>
    </row>
    <row r="36" spans="2:13" x14ac:dyDescent="0.3">
      <c r="B36" s="132" t="s">
        <v>199</v>
      </c>
      <c r="C36" s="128"/>
      <c r="D36" s="134">
        <v>0.1</v>
      </c>
      <c r="E36" s="128"/>
      <c r="F36" s="128"/>
      <c r="G36" s="128"/>
      <c r="H36" s="128"/>
      <c r="I36" s="128"/>
      <c r="J36" s="128"/>
      <c r="K36" s="128"/>
      <c r="L36" s="128"/>
      <c r="M36" s="128"/>
    </row>
    <row r="37" spans="2:13" x14ac:dyDescent="0.3">
      <c r="B37" s="128" t="s">
        <v>198</v>
      </c>
      <c r="C37" s="128"/>
      <c r="D37" s="128">
        <v>5.5E-2</v>
      </c>
      <c r="E37" s="128"/>
      <c r="F37" s="128"/>
      <c r="G37" s="128"/>
      <c r="H37" s="128"/>
      <c r="I37" s="128"/>
      <c r="J37" s="128"/>
      <c r="K37" s="128"/>
      <c r="L37" s="128"/>
      <c r="M37" s="128"/>
    </row>
    <row r="38" spans="2:13" x14ac:dyDescent="0.3">
      <c r="B38" s="128" t="s">
        <v>197</v>
      </c>
      <c r="C38" s="128"/>
      <c r="D38" s="133">
        <f>D16</f>
        <v>0.06</v>
      </c>
      <c r="E38" s="128"/>
      <c r="F38" s="128"/>
      <c r="G38" s="128"/>
      <c r="H38" s="128"/>
      <c r="I38" s="128"/>
      <c r="J38" s="128"/>
      <c r="K38" s="128"/>
      <c r="L38" s="128"/>
      <c r="M38" s="128"/>
    </row>
    <row r="39" spans="2:13" x14ac:dyDescent="0.3">
      <c r="B39" s="128" t="s">
        <v>196</v>
      </c>
      <c r="C39" s="128"/>
      <c r="D39" s="133">
        <f>E16</f>
        <v>6.6699999999999995E-2</v>
      </c>
      <c r="E39" s="128"/>
      <c r="F39" s="128"/>
      <c r="G39" s="128"/>
      <c r="H39" s="128"/>
      <c r="I39" s="128"/>
      <c r="J39" s="128"/>
      <c r="K39" s="128"/>
      <c r="L39" s="128"/>
      <c r="M39" s="128"/>
    </row>
    <row r="40" spans="2:13" x14ac:dyDescent="0.3">
      <c r="B40" s="132" t="s">
        <v>195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</row>
    <row r="41" spans="2:13" x14ac:dyDescent="0.3">
      <c r="B41" s="128" t="s">
        <v>194</v>
      </c>
      <c r="C41" s="128"/>
      <c r="D41" s="131">
        <f>(D35*D39-D38*D36)/(D39-D36)</f>
        <v>2.9954954954954975E-2</v>
      </c>
      <c r="E41" s="128"/>
      <c r="F41" s="128"/>
      <c r="G41" s="128"/>
      <c r="H41" s="128"/>
      <c r="I41" s="128"/>
      <c r="J41" s="128"/>
      <c r="K41" s="128"/>
      <c r="L41" s="128"/>
      <c r="M41" s="128"/>
    </row>
    <row r="42" spans="2:13" x14ac:dyDescent="0.3">
      <c r="B42" s="128" t="s">
        <v>193</v>
      </c>
      <c r="C42" s="128"/>
      <c r="D42" s="128">
        <v>4</v>
      </c>
      <c r="E42" s="128"/>
      <c r="F42" s="128"/>
      <c r="G42" s="128"/>
      <c r="H42" s="128"/>
      <c r="I42" s="128"/>
      <c r="J42" s="128"/>
      <c r="K42" s="128"/>
      <c r="L42" s="128"/>
      <c r="M42" s="128"/>
    </row>
    <row r="43" spans="2:13" x14ac:dyDescent="0.3">
      <c r="B43" s="128" t="s">
        <v>192</v>
      </c>
      <c r="C43" s="128" t="s">
        <v>191</v>
      </c>
      <c r="D43" s="128" t="s">
        <v>190</v>
      </c>
      <c r="E43" s="128" t="s">
        <v>189</v>
      </c>
      <c r="F43" s="128"/>
      <c r="G43" s="128"/>
      <c r="H43" s="128"/>
      <c r="I43" s="128"/>
      <c r="J43" s="128"/>
      <c r="K43" s="128"/>
      <c r="L43" s="128"/>
      <c r="M43" s="128"/>
    </row>
    <row r="44" spans="2:13" x14ac:dyDescent="0.3">
      <c r="B44" s="128" t="s">
        <v>188</v>
      </c>
      <c r="C44" s="130">
        <f>(D16-$D$41)/E16</f>
        <v>0.45045045045045012</v>
      </c>
      <c r="D44" s="129">
        <f>D16-0.5*$D$42*E16^2</f>
        <v>5.1102219999999997E-2</v>
      </c>
      <c r="E44" s="128"/>
      <c r="F44" s="128"/>
      <c r="G44" s="128"/>
      <c r="H44" s="128"/>
      <c r="I44" s="128"/>
      <c r="J44" s="128"/>
      <c r="K44" s="128"/>
      <c r="L44" s="128"/>
      <c r="M44" s="128"/>
    </row>
    <row r="45" spans="2:13" x14ac:dyDescent="0.3">
      <c r="B45" s="128" t="s">
        <v>187</v>
      </c>
      <c r="C45" s="130">
        <f>(D17-$D$41)/E17</f>
        <v>0.52537537537537515</v>
      </c>
      <c r="D45" s="129">
        <f>D17-0.5*$D$42*E17^2</f>
        <v>6.4200000000000007E-2</v>
      </c>
      <c r="E45" s="128"/>
      <c r="F45" s="128"/>
      <c r="G45" s="128"/>
      <c r="H45" s="128"/>
      <c r="I45" s="128"/>
      <c r="J45" s="128"/>
      <c r="K45" s="128"/>
      <c r="L45" s="128"/>
      <c r="M45" s="128"/>
    </row>
    <row r="46" spans="2:13" x14ac:dyDescent="0.3">
      <c r="B46" s="128" t="s">
        <v>186</v>
      </c>
      <c r="C46" s="130">
        <f>(D18-$D$41)/E18</f>
        <v>0.50040950040950027</v>
      </c>
      <c r="D46" s="129">
        <f>D18-0.5*$D$42*E18^2</f>
        <v>6.0800000000000007E-2</v>
      </c>
      <c r="E46" s="128"/>
      <c r="F46" s="128"/>
      <c r="G46" s="128"/>
      <c r="H46" s="128"/>
      <c r="I46" s="128"/>
      <c r="J46" s="128"/>
      <c r="K46" s="128"/>
      <c r="L46" s="128"/>
      <c r="M46" s="128"/>
    </row>
    <row r="47" spans="2:13" x14ac:dyDescent="0.3"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2:13" x14ac:dyDescent="0.3"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</row>
    <row r="49" spans="2:13" x14ac:dyDescent="0.3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</row>
    <row r="50" spans="2:13" x14ac:dyDescent="0.3"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</row>
    <row r="51" spans="2:13" x14ac:dyDescent="0.3"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</row>
    <row r="52" spans="2:13" x14ac:dyDescent="0.3"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</row>
    <row r="53" spans="2:13" x14ac:dyDescent="0.3"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</row>
  </sheetData>
  <mergeCells count="2">
    <mergeCell ref="B11:G11"/>
    <mergeCell ref="B13:G13"/>
  </mergeCells>
  <pageMargins left="0.7" right="0.7" top="0.75" bottom="0.75" header="0.3" footer="0.3"/>
  <pageSetup orientation="portrait" horizontalDpi="240" verticalDpi="24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72388-AD47-4123-8371-F470AEE8F88E}">
  <dimension ref="A1:M57"/>
  <sheetViews>
    <sheetView tabSelected="1" zoomScale="93" zoomScaleNormal="100" workbookViewId="0">
      <selection activeCell="F6" sqref="F6"/>
    </sheetView>
  </sheetViews>
  <sheetFormatPr defaultRowHeight="14.4" x14ac:dyDescent="0.3"/>
  <cols>
    <col min="2" max="13" width="11.5546875" customWidth="1"/>
  </cols>
  <sheetData>
    <row r="1" spans="1:7" ht="22.8" x14ac:dyDescent="0.4">
      <c r="A1" s="158"/>
    </row>
    <row r="2" spans="1:7" ht="15.6" x14ac:dyDescent="0.3">
      <c r="B2" s="114" t="s">
        <v>224</v>
      </c>
      <c r="C2" s="20"/>
    </row>
    <row r="3" spans="1:7" ht="16.2" thickBot="1" x14ac:dyDescent="0.35">
      <c r="B3" s="114"/>
    </row>
    <row r="4" spans="1:7" ht="30.75" customHeight="1" thickBot="1" x14ac:dyDescent="0.35">
      <c r="B4" s="155"/>
      <c r="C4" s="157" t="s">
        <v>223</v>
      </c>
      <c r="D4" s="156" t="s">
        <v>222</v>
      </c>
      <c r="E4" s="156" t="s">
        <v>221</v>
      </c>
      <c r="F4" s="156" t="s">
        <v>220</v>
      </c>
      <c r="G4" s="156" t="s">
        <v>219</v>
      </c>
    </row>
    <row r="5" spans="1:7" ht="28.2" thickBot="1" x14ac:dyDescent="0.35">
      <c r="B5" s="155"/>
      <c r="C5" s="154" t="s">
        <v>218</v>
      </c>
      <c r="D5" s="153">
        <v>0.02</v>
      </c>
      <c r="E5" s="153">
        <v>4.0000000000000001E-3</v>
      </c>
      <c r="F5" s="153">
        <v>1.2999999999999999E-2</v>
      </c>
      <c r="G5" s="153">
        <v>0.03</v>
      </c>
    </row>
    <row r="6" spans="1:7" ht="42" thickBot="1" x14ac:dyDescent="0.35">
      <c r="C6" s="154" t="s">
        <v>217</v>
      </c>
      <c r="D6" s="153">
        <v>0.05</v>
      </c>
      <c r="E6" s="153">
        <v>1.4999999999999999E-2</v>
      </c>
      <c r="F6" s="153">
        <v>-0.01</v>
      </c>
      <c r="G6" s="153">
        <v>7.0000000000000007E-2</v>
      </c>
    </row>
    <row r="7" spans="1:7" ht="28.2" thickBot="1" x14ac:dyDescent="0.35">
      <c r="C7" s="154" t="s">
        <v>216</v>
      </c>
      <c r="D7" s="153">
        <v>7.0000000000000007E-2</v>
      </c>
      <c r="E7" s="153">
        <v>0.02</v>
      </c>
      <c r="F7" s="153">
        <v>0.01</v>
      </c>
      <c r="G7" s="153">
        <v>9.5000000000000001E-2</v>
      </c>
    </row>
    <row r="8" spans="1:7" ht="15" thickBot="1" x14ac:dyDescent="0.35">
      <c r="C8" s="154" t="s">
        <v>215</v>
      </c>
      <c r="D8" s="153">
        <v>0.14499999999999999</v>
      </c>
      <c r="E8" s="153">
        <v>0.2</v>
      </c>
      <c r="F8" s="153">
        <v>-0.10199999999999999</v>
      </c>
      <c r="G8" s="153">
        <v>0.42799999999999999</v>
      </c>
    </row>
    <row r="9" spans="1:7" ht="28.2" thickBot="1" x14ac:dyDescent="0.35">
      <c r="C9" s="154" t="s">
        <v>214</v>
      </c>
      <c r="D9" s="153">
        <v>0.155</v>
      </c>
      <c r="E9" s="153">
        <v>0.35</v>
      </c>
      <c r="F9" s="153">
        <v>-0.15</v>
      </c>
      <c r="G9" s="153">
        <v>0.37</v>
      </c>
    </row>
    <row r="10" spans="1:7" ht="15.6" x14ac:dyDescent="0.3">
      <c r="C10" s="143"/>
      <c r="D10" s="143"/>
      <c r="E10" s="143"/>
    </row>
    <row r="11" spans="1:7" ht="15.75" customHeight="1" x14ac:dyDescent="0.3">
      <c r="B11" s="152" t="s">
        <v>213</v>
      </c>
      <c r="C11" s="152"/>
      <c r="D11" s="152"/>
      <c r="E11" s="152"/>
      <c r="F11" s="152"/>
      <c r="G11" s="152"/>
    </row>
    <row r="12" spans="1:7" ht="15.6" x14ac:dyDescent="0.3">
      <c r="C12" s="143"/>
      <c r="D12" s="143"/>
      <c r="E12" s="143"/>
    </row>
    <row r="13" spans="1:7" ht="39.75" customHeight="1" x14ac:dyDescent="0.3">
      <c r="B13" s="151" t="s">
        <v>212</v>
      </c>
      <c r="C13" s="151"/>
      <c r="D13" s="151"/>
      <c r="E13" s="151"/>
      <c r="F13" s="151"/>
      <c r="G13" s="151"/>
    </row>
    <row r="14" spans="1:7" ht="16.2" thickBot="1" x14ac:dyDescent="0.35">
      <c r="C14" s="143"/>
      <c r="D14" s="143"/>
      <c r="E14" s="143"/>
    </row>
    <row r="15" spans="1:7" ht="55.8" thickBot="1" x14ac:dyDescent="0.35">
      <c r="C15" s="150" t="s">
        <v>211</v>
      </c>
      <c r="D15" s="149" t="s">
        <v>210</v>
      </c>
      <c r="E15" s="149" t="s">
        <v>209</v>
      </c>
      <c r="F15" s="149" t="s">
        <v>208</v>
      </c>
    </row>
    <row r="16" spans="1:7" ht="15" thickBot="1" x14ac:dyDescent="0.35">
      <c r="C16" s="148" t="s">
        <v>188</v>
      </c>
      <c r="D16" s="147">
        <v>0.06</v>
      </c>
      <c r="E16" s="147">
        <v>6.6699999999999995E-2</v>
      </c>
      <c r="F16" s="146">
        <v>0.88</v>
      </c>
    </row>
    <row r="17" spans="2:13" ht="15" thickBot="1" x14ac:dyDescent="0.35">
      <c r="C17" s="148" t="s">
        <v>187</v>
      </c>
      <c r="D17" s="147">
        <v>9.2999999999999999E-2</v>
      </c>
      <c r="E17" s="147">
        <v>0.12</v>
      </c>
      <c r="F17" s="146">
        <v>0.75</v>
      </c>
    </row>
    <row r="18" spans="2:13" ht="15" thickBot="1" x14ac:dyDescent="0.35">
      <c r="C18" s="148" t="s">
        <v>186</v>
      </c>
      <c r="D18" s="147">
        <v>8.5000000000000006E-2</v>
      </c>
      <c r="E18" s="147">
        <v>0.11</v>
      </c>
      <c r="F18" s="146">
        <v>0.65</v>
      </c>
    </row>
    <row r="19" spans="2:13" x14ac:dyDescent="0.3">
      <c r="C19" s="144"/>
      <c r="D19" s="145"/>
      <c r="E19" s="145"/>
      <c r="F19" s="144"/>
    </row>
    <row r="20" spans="2:13" ht="15.6" x14ac:dyDescent="0.3">
      <c r="B20" s="114" t="s">
        <v>207</v>
      </c>
      <c r="C20" s="143"/>
      <c r="D20" s="143"/>
      <c r="E20" s="143"/>
    </row>
    <row r="21" spans="2:13" ht="15.6" x14ac:dyDescent="0.3">
      <c r="C21" s="143"/>
      <c r="D21" s="143"/>
      <c r="E21" s="143"/>
    </row>
    <row r="22" spans="2:13" s="3" customFormat="1" ht="13.95" customHeight="1" x14ac:dyDescent="0.3">
      <c r="B22" s="142" t="s">
        <v>236</v>
      </c>
      <c r="C22" s="140"/>
      <c r="D22" s="140"/>
      <c r="E22" s="140"/>
      <c r="F22" s="140"/>
      <c r="G22" s="140"/>
      <c r="H22" s="140"/>
      <c r="I22" s="140"/>
    </row>
    <row r="23" spans="2:13" s="3" customFormat="1" ht="13.95" customHeight="1" x14ac:dyDescent="0.3">
      <c r="B23" s="142"/>
      <c r="C23" s="162" t="s">
        <v>235</v>
      </c>
      <c r="D23" s="140"/>
      <c r="E23" s="140"/>
      <c r="F23" s="140"/>
      <c r="G23" s="140"/>
      <c r="H23" s="140"/>
      <c r="I23" s="140"/>
    </row>
    <row r="24" spans="2:13" s="3" customFormat="1" ht="13.95" customHeight="1" x14ac:dyDescent="0.3">
      <c r="B24" s="142"/>
      <c r="C24" s="162"/>
      <c r="D24" s="140"/>
      <c r="E24" s="140"/>
      <c r="F24" s="140"/>
      <c r="G24" s="140"/>
      <c r="H24" s="140"/>
      <c r="I24" s="140"/>
    </row>
    <row r="25" spans="2:13" s="3" customFormat="1" ht="13.95" customHeight="1" x14ac:dyDescent="0.3">
      <c r="B25" s="2" t="s">
        <v>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s="3" customFormat="1" ht="36.75" customHeight="1" x14ac:dyDescent="0.3">
      <c r="B26" s="164" t="s">
        <v>234</v>
      </c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</row>
    <row r="27" spans="2:13" s="3" customFormat="1" ht="13.95" customHeight="1" x14ac:dyDescent="0.3">
      <c r="B27" s="142"/>
      <c r="C27" s="162"/>
      <c r="D27" s="140"/>
      <c r="E27" s="140"/>
      <c r="F27" s="140"/>
      <c r="G27" s="140"/>
      <c r="H27" s="140"/>
      <c r="I27" s="140"/>
    </row>
    <row r="28" spans="2:13" s="3" customFormat="1" ht="13.95" customHeight="1" x14ac:dyDescent="0.3">
      <c r="B28" s="142"/>
      <c r="C28" s="162" t="s">
        <v>233</v>
      </c>
      <c r="D28" s="140"/>
      <c r="E28" s="140"/>
      <c r="F28" s="140"/>
      <c r="G28" s="140"/>
      <c r="H28" s="140"/>
      <c r="I28" s="140"/>
    </row>
    <row r="30" spans="2:13" ht="14.25" customHeight="1" x14ac:dyDescent="0.3">
      <c r="B30" s="2" t="s">
        <v>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 ht="15" thickBot="1" x14ac:dyDescent="0.35"/>
    <row r="32" spans="2:13" ht="47.4" thickBot="1" x14ac:dyDescent="0.35">
      <c r="C32" s="139" t="s">
        <v>88</v>
      </c>
      <c r="D32" s="138" t="s">
        <v>193</v>
      </c>
      <c r="E32" s="159"/>
    </row>
    <row r="33" spans="2:13" ht="16.2" thickBot="1" x14ac:dyDescent="0.35">
      <c r="C33" s="161" t="s">
        <v>188</v>
      </c>
      <c r="D33" s="160">
        <f>C44</f>
        <v>6.6324259303735973</v>
      </c>
      <c r="E33" s="159"/>
    </row>
    <row r="34" spans="2:13" ht="16.2" thickBot="1" x14ac:dyDescent="0.35">
      <c r="C34" s="161" t="s">
        <v>186</v>
      </c>
      <c r="D34" s="160">
        <f>C45</f>
        <v>6.9565217391304293</v>
      </c>
      <c r="E34" s="159"/>
    </row>
    <row r="35" spans="2:13" ht="16.2" thickBot="1" x14ac:dyDescent="0.35">
      <c r="C35" s="161" t="s">
        <v>232</v>
      </c>
      <c r="D35" s="160">
        <f>MIN(D33:D34)</f>
        <v>6.6324259303735973</v>
      </c>
      <c r="E35" s="159"/>
    </row>
    <row r="37" spans="2:13" ht="14.25" customHeight="1" x14ac:dyDescent="0.3">
      <c r="B37" s="2" t="s">
        <v>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x14ac:dyDescent="0.3"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</row>
    <row r="39" spans="2:13" x14ac:dyDescent="0.3">
      <c r="B39" s="128" t="s">
        <v>231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</row>
    <row r="40" spans="2:13" x14ac:dyDescent="0.3">
      <c r="B40" s="128" t="s">
        <v>230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</row>
    <row r="41" spans="2:13" x14ac:dyDescent="0.3">
      <c r="B41" s="128" t="s">
        <v>229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</row>
    <row r="42" spans="2:13" x14ac:dyDescent="0.3">
      <c r="B42" s="128" t="s">
        <v>228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</row>
    <row r="43" spans="2:13" x14ac:dyDescent="0.3"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</row>
    <row r="44" spans="2:13" x14ac:dyDescent="0.3">
      <c r="B44" s="128" t="s">
        <v>227</v>
      </c>
      <c r="C44" s="128">
        <f>2*(D17-D16)/(E17^2-E16^2)</f>
        <v>6.6324259303735973</v>
      </c>
      <c r="D44" s="128"/>
      <c r="E44" s="128"/>
      <c r="F44" s="128"/>
      <c r="G44" s="128"/>
      <c r="H44" s="128"/>
      <c r="I44" s="128"/>
      <c r="J44" s="128"/>
      <c r="K44" s="128"/>
      <c r="L44" s="128"/>
      <c r="M44" s="128"/>
    </row>
    <row r="45" spans="2:13" x14ac:dyDescent="0.3">
      <c r="B45" s="128" t="s">
        <v>226</v>
      </c>
      <c r="C45" s="128">
        <f>2*(D17-D18)/(E17^2-E18^2)</f>
        <v>6.9565217391304293</v>
      </c>
      <c r="D45" s="128"/>
      <c r="E45" s="128"/>
      <c r="F45" s="128"/>
      <c r="G45" s="128"/>
      <c r="H45" s="128"/>
      <c r="I45" s="128"/>
      <c r="J45" s="128"/>
      <c r="K45" s="128"/>
      <c r="L45" s="128"/>
      <c r="M45" s="128"/>
    </row>
    <row r="46" spans="2:13" x14ac:dyDescent="0.3"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</row>
    <row r="47" spans="2:13" x14ac:dyDescent="0.3">
      <c r="B47" s="128" t="s">
        <v>225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2:13" x14ac:dyDescent="0.3"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</row>
    <row r="49" spans="2:13" x14ac:dyDescent="0.3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</row>
    <row r="50" spans="2:13" x14ac:dyDescent="0.3"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</row>
    <row r="51" spans="2:13" x14ac:dyDescent="0.3"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</row>
    <row r="52" spans="2:13" x14ac:dyDescent="0.3"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</row>
    <row r="53" spans="2:13" x14ac:dyDescent="0.3"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</row>
    <row r="54" spans="2:13" x14ac:dyDescent="0.3"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</row>
    <row r="55" spans="2:13" x14ac:dyDescent="0.3"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</row>
    <row r="56" spans="2:13" x14ac:dyDescent="0.3"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</row>
    <row r="57" spans="2:13" x14ac:dyDescent="0.3"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</row>
  </sheetData>
  <mergeCells count="3">
    <mergeCell ref="B11:G11"/>
    <mergeCell ref="B13:G13"/>
    <mergeCell ref="B26:M26"/>
  </mergeCells>
  <pageMargins left="0.7" right="0.7" top="0.75" bottom="0.75" header="0.3" footer="0.3"/>
  <pageSetup orientation="portrait" horizontalDpi="240" verticalDpi="24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8230b39ff0a402a078cc052756d4fefa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45ea19f2c2e4cdbd674c4f1863b66b60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4CD4DA-834C-42DD-8758-E365B4F4CB88}"/>
</file>

<file path=customXml/itemProps2.xml><?xml version="1.0" encoding="utf-8"?>
<ds:datastoreItem xmlns:ds="http://schemas.openxmlformats.org/officeDocument/2006/customXml" ds:itemID="{CA3F1DB6-6A97-4E54-909B-2EB5BAC8DD15}"/>
</file>

<file path=customXml/itemProps3.xml><?xml version="1.0" encoding="utf-8"?>
<ds:datastoreItem xmlns:ds="http://schemas.openxmlformats.org/officeDocument/2006/customXml" ds:itemID="{25C3F7E2-85B6-43D8-83D8-7A6D7262311B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Q4 Solution</vt:lpstr>
      <vt:lpstr>Q5 illustrative solution</vt:lpstr>
      <vt:lpstr>Q7 Rubric</vt:lpstr>
      <vt:lpstr>Q9</vt:lpstr>
      <vt:lpstr>Q10</vt:lpstr>
      <vt:lpstr>Q12 (b) solution</vt:lpstr>
      <vt:lpstr>Q12(c) 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 Dulceak</cp:lastModifiedBy>
  <dcterms:created xsi:type="dcterms:W3CDTF">2024-12-12T23:57:38Z</dcterms:created>
  <dcterms:modified xsi:type="dcterms:W3CDTF">2025-07-23T14:12:03Z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0x010100A13D16CE4023BB4BB4110DFC2802C897</vt:lpwstr>
  </property>
</Properties>
</file>