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metadata.xml" ContentType="application/vnd.openxmlformats-officedocument.spreadsheetml.sheetMetadata+xml"/>
  <Override PartName="/docProps/custom.xml" ContentType="application/vnd.openxmlformats-officedocument.custom-properties+xml"/>
  <Override PartName="/docMetadata/LabelInfo.xml" ContentType="application/vnd.ms-office.classificationlabel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alsecuritygov-my.sharepoint.com/personal/gene_cherng_ssa_gov/Documents/Documents/Personal/soa exam/QFI/2025/IRM/QFI IRM Solutions/"/>
    </mc:Choice>
  </mc:AlternateContent>
  <xr:revisionPtr revIDLastSave="0" documentId="8_{453932B6-BB8F-41E9-8955-39EB77BCD52E}" xr6:coauthVersionLast="47" xr6:coauthVersionMax="47" xr10:uidLastSave="{00000000-0000-0000-0000-000000000000}"/>
  <bookViews>
    <workbookView xWindow="-120" yWindow="-120" windowWidth="29040" windowHeight="15720" activeTab="5" xr2:uid="{2D495353-1C39-4241-A778-5BCCDCFD29F7}"/>
  </bookViews>
  <sheets>
    <sheet name="2025SQ3" sheetId="2" r:id="rId1"/>
    <sheet name="2025SQ4" sheetId="3" r:id="rId2"/>
    <sheet name="2025SQ5" sheetId="4" r:id="rId3"/>
    <sheet name="2025SQ6" sheetId="5" r:id="rId4"/>
    <sheet name="2025SQ7" sheetId="7" r:id="rId5"/>
    <sheet name="2025SQ8" sheetId="8" r:id="rId6"/>
  </sheets>
  <externalReferences>
    <externalReference r:id="rId7"/>
    <externalReference r:id="rId8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IQWBGuid" hidden="1">"20068b25-6150-48d6-82ff-ac5d4b249e7a"</definedName>
    <definedName name="CIQWBInfo" hidden="1">"{ ""CIQVersion"":""9.45.614.5792"" }"</definedName>
    <definedName name="matrix1" localSheetId="5">'[2] part d(4 points)'!#REF!</definedName>
    <definedName name="matrix1">'[1] part d(4 points)'!#REF!</definedName>
    <definedName name="matrix2" localSheetId="5">'[2] part d(4 points)'!#REF!</definedName>
    <definedName name="matrix2">'[1] part d(4 points)'!#REF!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olver_adj" localSheetId="3" hidden="1">'2025SQ6'!$B$51:$C$51</definedName>
    <definedName name="solver_cvg" localSheetId="3" hidden="1">0.0001</definedName>
    <definedName name="solver_drv" localSheetId="3" hidden="1">2</definedName>
    <definedName name="solver_eng" localSheetId="3" hidden="1">1</definedName>
    <definedName name="solver_est" localSheetId="3" hidden="1">1</definedName>
    <definedName name="solver_itr" localSheetId="3" hidden="1">2147483647</definedName>
    <definedName name="solver_lhs1" localSheetId="3" hidden="1">'2025SQ6'!#REF!</definedName>
    <definedName name="solver_mip" localSheetId="3" hidden="1">2147483647</definedName>
    <definedName name="solver_mni" localSheetId="3" hidden="1">30</definedName>
    <definedName name="solver_mrt" localSheetId="3" hidden="1">0.075</definedName>
    <definedName name="solver_msl" localSheetId="3" hidden="1">2</definedName>
    <definedName name="solver_neg" localSheetId="3" hidden="1">1</definedName>
    <definedName name="solver_nod" localSheetId="3" hidden="1">2147483647</definedName>
    <definedName name="solver_num" localSheetId="3" hidden="1">1</definedName>
    <definedName name="solver_nwt" localSheetId="3" hidden="1">1</definedName>
    <definedName name="solver_opt" localSheetId="3" hidden="1">'2025SQ6'!$B$51</definedName>
    <definedName name="solver_pre" localSheetId="3" hidden="1">0.000001</definedName>
    <definedName name="solver_rbv" localSheetId="3" hidden="1">2</definedName>
    <definedName name="solver_rel1" localSheetId="3" hidden="1">2</definedName>
    <definedName name="solver_rhs1" localSheetId="3" hidden="1">0</definedName>
    <definedName name="solver_rlx" localSheetId="3" hidden="1">2</definedName>
    <definedName name="solver_rsd" localSheetId="3" hidden="1">0</definedName>
    <definedName name="solver_scl" localSheetId="3" hidden="1">2</definedName>
    <definedName name="solver_sho" localSheetId="3" hidden="1">2</definedName>
    <definedName name="solver_ssz" localSheetId="3" hidden="1">100</definedName>
    <definedName name="solver_tim" localSheetId="3" hidden="1">2147483647</definedName>
    <definedName name="solver_tol" localSheetId="3" hidden="1">0.01</definedName>
    <definedName name="solver_typ" localSheetId="3" hidden="1">3</definedName>
    <definedName name="solver_val" localSheetId="3" hidden="1">60000</definedName>
    <definedName name="solver_ver" localSheetId="3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2" i="8" l="1"/>
  <c r="C78" i="8"/>
  <c r="C77" i="8"/>
  <c r="C43" i="8"/>
  <c r="D44" i="8" s="1"/>
  <c r="D24" i="8" s="1"/>
  <c r="C37" i="8"/>
  <c r="D38" i="8" s="1"/>
  <c r="D23" i="8" s="1"/>
  <c r="I103" i="8" l="1"/>
  <c r="I102" i="8"/>
  <c r="F103" i="8"/>
  <c r="G102" i="8"/>
  <c r="H102" i="8" l="1"/>
  <c r="G103" i="8"/>
  <c r="H103" i="8" s="1"/>
  <c r="E77" i="8" s="1"/>
  <c r="F104" i="8"/>
  <c r="G104" i="8" s="1"/>
  <c r="J102" i="8"/>
  <c r="K102" i="8" s="1"/>
  <c r="J103" i="8"/>
  <c r="H104" i="8" l="1"/>
  <c r="E78" i="8" s="1"/>
  <c r="I104" i="8"/>
  <c r="J104" i="8" s="1"/>
  <c r="K103" i="8"/>
  <c r="D77" i="8"/>
  <c r="K104" i="8" l="1"/>
  <c r="D78" i="8"/>
  <c r="E4" i="7"/>
  <c r="F4" i="7"/>
  <c r="K4" i="7"/>
  <c r="M6" i="7" s="1"/>
  <c r="L4" i="7"/>
  <c r="E5" i="7"/>
  <c r="F5" i="7"/>
  <c r="K5" i="7"/>
  <c r="M9" i="7" s="1"/>
  <c r="L5" i="7"/>
  <c r="M5" i="7"/>
  <c r="E6" i="7"/>
  <c r="F6" i="7"/>
  <c r="K6" i="7"/>
  <c r="M8" i="7" s="1"/>
  <c r="L6" i="7"/>
  <c r="E7" i="7"/>
  <c r="F7" i="7"/>
  <c r="J7" i="7"/>
  <c r="L7" i="7" s="1"/>
  <c r="E8" i="7"/>
  <c r="F8" i="7"/>
  <c r="J8" i="7"/>
  <c r="L8" i="7"/>
  <c r="E9" i="7"/>
  <c r="F9" i="7"/>
  <c r="J9" i="7"/>
  <c r="L9" i="7" s="1"/>
  <c r="E10" i="7"/>
  <c r="F10" i="7"/>
  <c r="J10" i="7"/>
  <c r="K10" i="7" s="1"/>
  <c r="E11" i="7"/>
  <c r="F11" i="7"/>
  <c r="J11" i="7"/>
  <c r="H37" i="7" s="1"/>
  <c r="K11" i="7"/>
  <c r="E12" i="7"/>
  <c r="F12" i="7"/>
  <c r="J12" i="7"/>
  <c r="K12" i="7"/>
  <c r="H34" i="7"/>
  <c r="C26" i="7" s="1"/>
  <c r="H44" i="7" s="1"/>
  <c r="H35" i="7"/>
  <c r="H48" i="7" l="1"/>
  <c r="M4" i="7"/>
  <c r="M7" i="7"/>
  <c r="H43" i="7"/>
  <c r="H46" i="7" s="1"/>
  <c r="B20" i="5"/>
  <c r="C20" i="5"/>
  <c r="D20" i="5"/>
  <c r="B21" i="5"/>
  <c r="C21" i="5"/>
  <c r="D21" i="5"/>
  <c r="B42" i="5"/>
  <c r="B45" i="5" s="1"/>
  <c r="B43" i="5"/>
  <c r="B44" i="5"/>
  <c r="H49" i="7" l="1"/>
  <c r="C41" i="7" s="1"/>
  <c r="B37" i="5"/>
  <c r="B38" i="5"/>
  <c r="B28" i="4"/>
  <c r="E28" i="4" s="1"/>
  <c r="D29" i="4"/>
  <c r="B47" i="4"/>
  <c r="B42" i="4" s="1"/>
  <c r="B48" i="4"/>
  <c r="B52" i="4" l="1"/>
  <c r="B50" i="4"/>
  <c r="B51" i="4" s="1"/>
  <c r="A28" i="3" a="1"/>
  <c r="A28" i="3" s="1"/>
  <c r="B28" i="3" a="1"/>
  <c r="B28" i="3" s="1"/>
  <c r="C28" i="3"/>
  <c r="C29" i="3" s="1"/>
  <c r="C30" i="3" s="1"/>
  <c r="C31" i="3" s="1"/>
  <c r="C32" i="3" s="1"/>
  <c r="A55" i="3"/>
  <c r="F55" i="3"/>
  <c r="F56" i="3" s="1"/>
  <c r="K55" i="3"/>
  <c r="K56" i="3" s="1"/>
  <c r="A56" i="3"/>
  <c r="A57" i="3" s="1"/>
  <c r="A58" i="3" s="1"/>
  <c r="A59" i="3" s="1"/>
  <c r="A60" i="3" s="1"/>
  <c r="A61" i="3" s="1"/>
  <c r="A62" i="3" s="1"/>
  <c r="A63" i="3" s="1"/>
  <c r="A64" i="3" s="1"/>
  <c r="A68" i="3"/>
  <c r="A69" i="3" s="1"/>
  <c r="A70" i="3" s="1"/>
  <c r="A71" i="3" s="1"/>
  <c r="A72" i="3" s="1"/>
  <c r="A73" i="3" s="1"/>
  <c r="A74" i="3" s="1"/>
  <c r="A75" i="3" s="1"/>
  <c r="A76" i="3" s="1"/>
  <c r="B68" i="3"/>
  <c r="F68" i="3"/>
  <c r="F69" i="3" s="1"/>
  <c r="F70" i="3" s="1"/>
  <c r="F71" i="3" s="1"/>
  <c r="F72" i="3" s="1"/>
  <c r="K68" i="3"/>
  <c r="A80" i="3"/>
  <c r="F80" i="3"/>
  <c r="A81" i="3"/>
  <c r="A82" i="3" s="1"/>
  <c r="A83" i="3" s="1"/>
  <c r="A84" i="3" s="1"/>
  <c r="A85" i="3" s="1"/>
  <c r="A86" i="3" s="1"/>
  <c r="A87" i="3" s="1"/>
  <c r="F81" i="3"/>
  <c r="B85" i="3"/>
  <c r="C85" i="3"/>
  <c r="A91" i="3"/>
  <c r="A92" i="3" s="1"/>
  <c r="A93" i="3" s="1"/>
  <c r="A94" i="3" s="1"/>
  <c r="A95" i="3" s="1"/>
  <c r="A96" i="3" s="1"/>
  <c r="A97" i="3" s="1"/>
  <c r="F91" i="3"/>
  <c r="F92" i="3"/>
  <c r="A103" i="3"/>
  <c r="B103" i="3"/>
  <c r="A104" i="3"/>
  <c r="A105" i="3" s="1"/>
  <c r="A106" i="3" s="1"/>
  <c r="A107" i="3" s="1"/>
  <c r="A108" i="3" s="1"/>
  <c r="A109" i="3" s="1"/>
  <c r="A110" i="3" s="1"/>
  <c r="A111" i="3" s="1"/>
  <c r="A112" i="3" s="1"/>
  <c r="B104" i="3"/>
  <c r="B105" i="3"/>
  <c r="B106" i="3" s="1"/>
  <c r="B107" i="3" s="1"/>
  <c r="B108" i="3" s="1"/>
  <c r="B109" i="3" s="1"/>
  <c r="B110" i="3" s="1"/>
  <c r="B111" i="3" s="1"/>
  <c r="B112" i="3" s="1"/>
  <c r="B127" i="3"/>
  <c r="B54" i="3" s="1"/>
  <c r="C127" i="3"/>
  <c r="A128" i="3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B128" i="3"/>
  <c r="B67" i="3" s="1"/>
  <c r="C128" i="3"/>
  <c r="B129" i="3"/>
  <c r="B86" i="3" s="1"/>
  <c r="C129" i="3"/>
  <c r="B130" i="3"/>
  <c r="B94" i="3" s="1"/>
  <c r="C130" i="3"/>
  <c r="C90" i="3" s="1"/>
  <c r="B131" i="3"/>
  <c r="B90" i="3" s="1"/>
  <c r="C131" i="3"/>
  <c r="C57" i="3" s="1"/>
  <c r="B132" i="3"/>
  <c r="B81" i="3" s="1"/>
  <c r="C132" i="3"/>
  <c r="C81" i="3" s="1"/>
  <c r="B133" i="3"/>
  <c r="B71" i="3" s="1"/>
  <c r="C133" i="3"/>
  <c r="B134" i="3"/>
  <c r="C134" i="3"/>
  <c r="C60" i="3" s="1"/>
  <c r="B135" i="3"/>
  <c r="B73" i="3" s="1"/>
  <c r="C135" i="3"/>
  <c r="B136" i="3"/>
  <c r="C136" i="3"/>
  <c r="B137" i="3"/>
  <c r="C137" i="3"/>
  <c r="B138" i="3"/>
  <c r="B76" i="3" s="1"/>
  <c r="C138" i="3"/>
  <c r="B151" i="3"/>
  <c r="B146" i="3" s="1"/>
  <c r="B43" i="4" l="1"/>
  <c r="D81" i="3"/>
  <c r="G81" i="3"/>
  <c r="D90" i="3"/>
  <c r="B63" i="3"/>
  <c r="B61" i="3"/>
  <c r="C94" i="3"/>
  <c r="D94" i="3" s="1"/>
  <c r="B80" i="3"/>
  <c r="B57" i="3"/>
  <c r="B75" i="3"/>
  <c r="D85" i="3"/>
  <c r="C75" i="3"/>
  <c r="B55" i="3"/>
  <c r="B113" i="3"/>
  <c r="B72" i="3"/>
  <c r="C56" i="3"/>
  <c r="B140" i="3"/>
  <c r="B120" i="3" s="1"/>
  <c r="M67" i="3"/>
  <c r="L67" i="3"/>
  <c r="N67" i="3" s="1"/>
  <c r="H70" i="3"/>
  <c r="G70" i="3"/>
  <c r="M56" i="3"/>
  <c r="L56" i="3"/>
  <c r="N56" i="3" s="1"/>
  <c r="F57" i="3"/>
  <c r="G56" i="3"/>
  <c r="I56" i="3" s="1"/>
  <c r="H56" i="3"/>
  <c r="H69" i="3"/>
  <c r="G92" i="3"/>
  <c r="F93" i="3"/>
  <c r="B22" i="3"/>
  <c r="A42" i="3"/>
  <c r="C33" i="3"/>
  <c r="C34" i="3" s="1"/>
  <c r="C35" i="3" s="1"/>
  <c r="C36" i="3" s="1"/>
  <c r="C37" i="3" s="1"/>
  <c r="C38" i="3" s="1"/>
  <c r="C39" i="3" s="1"/>
  <c r="M79" i="3"/>
  <c r="G69" i="3"/>
  <c r="G55" i="3"/>
  <c r="G68" i="3"/>
  <c r="H68" i="3"/>
  <c r="G67" i="3"/>
  <c r="I67" i="3" s="1"/>
  <c r="H80" i="3"/>
  <c r="L68" i="3"/>
  <c r="H67" i="3"/>
  <c r="H55" i="3"/>
  <c r="G54" i="3"/>
  <c r="G91" i="3"/>
  <c r="H54" i="3"/>
  <c r="L55" i="3"/>
  <c r="H91" i="3"/>
  <c r="G79" i="3"/>
  <c r="L54" i="3"/>
  <c r="M54" i="3"/>
  <c r="L79" i="3"/>
  <c r="D68" i="3"/>
  <c r="C69" i="3"/>
  <c r="C68" i="3"/>
  <c r="C71" i="3"/>
  <c r="D71" i="3" s="1"/>
  <c r="C76" i="3"/>
  <c r="D76" i="3" s="1"/>
  <c r="C73" i="3"/>
  <c r="D73" i="3" s="1"/>
  <c r="C67" i="3"/>
  <c r="D67" i="3" s="1"/>
  <c r="C70" i="3"/>
  <c r="C74" i="3"/>
  <c r="C72" i="3"/>
  <c r="H72" i="3"/>
  <c r="G72" i="3"/>
  <c r="D57" i="3"/>
  <c r="G80" i="3"/>
  <c r="H90" i="3"/>
  <c r="G90" i="3"/>
  <c r="C83" i="3"/>
  <c r="B83" i="3"/>
  <c r="D83" i="3" s="1"/>
  <c r="G71" i="3"/>
  <c r="H71" i="3"/>
  <c r="H79" i="3"/>
  <c r="C91" i="3"/>
  <c r="C95" i="3"/>
  <c r="C93" i="3"/>
  <c r="C96" i="3"/>
  <c r="H92" i="3"/>
  <c r="B91" i="3"/>
  <c r="B95" i="3"/>
  <c r="D95" i="3" s="1"/>
  <c r="B93" i="3"/>
  <c r="D93" i="3" s="1"/>
  <c r="B96" i="3"/>
  <c r="D96" i="3" s="1"/>
  <c r="C86" i="3"/>
  <c r="D86" i="3" s="1"/>
  <c r="C80" i="3"/>
  <c r="D80" i="3" s="1"/>
  <c r="C82" i="3"/>
  <c r="C87" i="3"/>
  <c r="C84" i="3"/>
  <c r="C79" i="3"/>
  <c r="C97" i="3"/>
  <c r="C92" i="3"/>
  <c r="H81" i="3"/>
  <c r="I81" i="3" s="1"/>
  <c r="F82" i="3"/>
  <c r="D75" i="3"/>
  <c r="M68" i="3"/>
  <c r="B82" i="3"/>
  <c r="B87" i="3"/>
  <c r="B79" i="3"/>
  <c r="B84" i="3"/>
  <c r="B97" i="3"/>
  <c r="D97" i="3" s="1"/>
  <c r="B92" i="3"/>
  <c r="D92" i="3" s="1"/>
  <c r="B69" i="3"/>
  <c r="B64" i="3"/>
  <c r="D64" i="3" s="1"/>
  <c r="B59" i="3"/>
  <c r="B56" i="3"/>
  <c r="D56" i="3" s="1"/>
  <c r="C63" i="3"/>
  <c r="D63" i="3" s="1"/>
  <c r="M55" i="3"/>
  <c r="B74" i="3"/>
  <c r="B70" i="3"/>
  <c r="B60" i="3"/>
  <c r="D60" i="3" s="1"/>
  <c r="C54" i="3"/>
  <c r="D54" i="3" s="1"/>
  <c r="C62" i="3"/>
  <c r="C58" i="3"/>
  <c r="B62" i="3"/>
  <c r="D62" i="3" s="1"/>
  <c r="B58" i="3"/>
  <c r="D58" i="3" s="1"/>
  <c r="C61" i="3"/>
  <c r="D61" i="3" s="1"/>
  <c r="C55" i="3"/>
  <c r="D55" i="3" s="1"/>
  <c r="C64" i="3"/>
  <c r="C59" i="3"/>
  <c r="K21" i="2"/>
  <c r="F21" i="2"/>
  <c r="D72" i="3" l="1"/>
  <c r="D59" i="3"/>
  <c r="N55" i="3"/>
  <c r="I80" i="3"/>
  <c r="I92" i="3"/>
  <c r="D69" i="3"/>
  <c r="N68" i="3"/>
  <c r="C111" i="3" s="1"/>
  <c r="E111" i="3" s="1"/>
  <c r="D65" i="3"/>
  <c r="D102" i="3"/>
  <c r="C102" i="3"/>
  <c r="D79" i="3"/>
  <c r="D87" i="3"/>
  <c r="I71" i="3"/>
  <c r="G93" i="3"/>
  <c r="H93" i="3"/>
  <c r="D82" i="3"/>
  <c r="I90" i="3"/>
  <c r="D70" i="3"/>
  <c r="I91" i="3"/>
  <c r="D84" i="3"/>
  <c r="I54" i="3"/>
  <c r="D74" i="3"/>
  <c r="H57" i="3"/>
  <c r="F58" i="3"/>
  <c r="G57" i="3"/>
  <c r="I57" i="3" s="1"/>
  <c r="I68" i="3"/>
  <c r="I77" i="3" s="1"/>
  <c r="I72" i="3"/>
  <c r="N54" i="3"/>
  <c r="I55" i="3"/>
  <c r="D111" i="3"/>
  <c r="D91" i="3"/>
  <c r="F83" i="3"/>
  <c r="G82" i="3"/>
  <c r="H82" i="3"/>
  <c r="N79" i="3"/>
  <c r="I79" i="3"/>
  <c r="I69" i="3"/>
  <c r="I70" i="3"/>
  <c r="F4" i="2"/>
  <c r="D77" i="3" l="1"/>
  <c r="N77" i="3"/>
  <c r="D110" i="3"/>
  <c r="N65" i="3"/>
  <c r="C110" i="3"/>
  <c r="I93" i="3"/>
  <c r="C109" i="3" s="1"/>
  <c r="F59" i="3"/>
  <c r="G58" i="3"/>
  <c r="H58" i="3"/>
  <c r="C112" i="3"/>
  <c r="D112" i="3"/>
  <c r="N88" i="3"/>
  <c r="C107" i="3"/>
  <c r="D88" i="3"/>
  <c r="D104" i="3"/>
  <c r="C104" i="3"/>
  <c r="I82" i="3"/>
  <c r="D107" i="3"/>
  <c r="D103" i="3"/>
  <c r="H83" i="3"/>
  <c r="G83" i="3"/>
  <c r="C103" i="3"/>
  <c r="E103" i="3" s="1"/>
  <c r="D105" i="3"/>
  <c r="C105" i="3"/>
  <c r="D98" i="3"/>
  <c r="E102" i="3"/>
  <c r="J20" i="2"/>
  <c r="I20" i="2"/>
  <c r="E20" i="2"/>
  <c r="F20" i="2" s="1"/>
  <c r="D20" i="2"/>
  <c r="J19" i="2"/>
  <c r="I19" i="2"/>
  <c r="E19" i="2"/>
  <c r="D19" i="2"/>
  <c r="J18" i="2"/>
  <c r="I18" i="2"/>
  <c r="E18" i="2"/>
  <c r="D18" i="2"/>
  <c r="J17" i="2"/>
  <c r="I17" i="2"/>
  <c r="E17" i="2"/>
  <c r="D17" i="2"/>
  <c r="J16" i="2"/>
  <c r="I16" i="2"/>
  <c r="E16" i="2"/>
  <c r="D16" i="2"/>
  <c r="J15" i="2"/>
  <c r="I15" i="2"/>
  <c r="E15" i="2"/>
  <c r="D15" i="2"/>
  <c r="J14" i="2"/>
  <c r="I14" i="2"/>
  <c r="E14" i="2"/>
  <c r="D14" i="2"/>
  <c r="J13" i="2"/>
  <c r="I13" i="2"/>
  <c r="E13" i="2"/>
  <c r="D13" i="2"/>
  <c r="J12" i="2"/>
  <c r="I12" i="2"/>
  <c r="E12" i="2"/>
  <c r="D12" i="2"/>
  <c r="J11" i="2"/>
  <c r="I11" i="2"/>
  <c r="E11" i="2"/>
  <c r="D11" i="2"/>
  <c r="J10" i="2"/>
  <c r="I10" i="2"/>
  <c r="E10" i="2"/>
  <c r="D10" i="2"/>
  <c r="J9" i="2"/>
  <c r="I9" i="2"/>
  <c r="E9" i="2"/>
  <c r="D9" i="2"/>
  <c r="J8" i="2"/>
  <c r="I8" i="2"/>
  <c r="E8" i="2"/>
  <c r="D8" i="2"/>
  <c r="J7" i="2"/>
  <c r="I7" i="2"/>
  <c r="E7" i="2"/>
  <c r="D7" i="2"/>
  <c r="J6" i="2"/>
  <c r="I6" i="2"/>
  <c r="E6" i="2"/>
  <c r="D6" i="2"/>
  <c r="J5" i="2"/>
  <c r="I5" i="2"/>
  <c r="E5" i="2"/>
  <c r="D5" i="2"/>
  <c r="J4" i="2"/>
  <c r="I4" i="2"/>
  <c r="E4" i="2"/>
  <c r="D4" i="2"/>
  <c r="J3" i="2"/>
  <c r="E3" i="2"/>
  <c r="E104" i="3" l="1"/>
  <c r="I58" i="3"/>
  <c r="I98" i="3"/>
  <c r="I83" i="3"/>
  <c r="G59" i="3"/>
  <c r="H59" i="3"/>
  <c r="F60" i="3"/>
  <c r="E107" i="3"/>
  <c r="E110" i="3"/>
  <c r="D109" i="3"/>
  <c r="E109" i="3" s="1"/>
  <c r="E105" i="3"/>
  <c r="E112" i="3"/>
  <c r="K4" i="2"/>
  <c r="K19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9" i="2"/>
  <c r="K9" i="2"/>
  <c r="K15" i="2"/>
  <c r="K17" i="2"/>
  <c r="K5" i="2"/>
  <c r="K7" i="2"/>
  <c r="K11" i="2"/>
  <c r="K13" i="2"/>
  <c r="K6" i="2"/>
  <c r="K8" i="2"/>
  <c r="K10" i="2"/>
  <c r="K12" i="2"/>
  <c r="K14" i="2"/>
  <c r="K16" i="2"/>
  <c r="K18" i="2"/>
  <c r="K20" i="2"/>
  <c r="F18" i="2"/>
  <c r="I59" i="3" l="1"/>
  <c r="G60" i="3"/>
  <c r="H60" i="3"/>
  <c r="D108" i="3"/>
  <c r="I88" i="3"/>
  <c r="C108" i="3"/>
  <c r="E108" i="3" s="1"/>
  <c r="I60" i="3" l="1"/>
  <c r="D106" i="3" l="1"/>
  <c r="D113" i="3" s="1"/>
  <c r="C106" i="3"/>
  <c r="I65" i="3"/>
  <c r="E106" i="3" l="1"/>
  <c r="C113" i="3"/>
  <c r="B115" i="3" s="1"/>
  <c r="B4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<sst xmlns="http://schemas.openxmlformats.org/spreadsheetml/2006/main" count="374" uniqueCount="274">
  <si>
    <t>Adj Close</t>
  </si>
  <si>
    <t>Volume</t>
  </si>
  <si>
    <t>Return</t>
  </si>
  <si>
    <t>Dollar Volume</t>
  </si>
  <si>
    <t>ILLIQ</t>
  </si>
  <si>
    <t>Pearson</t>
  </si>
  <si>
    <t>Show your work here:</t>
  </si>
  <si>
    <t xml:space="preserve"> Pearson correlation</t>
  </si>
  <si>
    <t>Fill in your final answers here:</t>
  </si>
  <si>
    <t>(iii) (0.5 points) Pearson correlation</t>
  </si>
  <si>
    <t>i=1</t>
  </si>
  <si>
    <t>Spearman</t>
  </si>
  <si>
    <t>Y_i</t>
  </si>
  <si>
    <t>X_i</t>
  </si>
  <si>
    <t>i</t>
  </si>
  <si>
    <t>Rank</t>
  </si>
  <si>
    <t>Spearman's ρ</t>
  </si>
  <si>
    <r>
      <t xml:space="preserve">(ii) (0.5 points) Spearman’s rank correlation  </t>
    </r>
    <r>
      <rPr>
        <sz val="11"/>
        <color theme="1"/>
        <rFont val="Calibri"/>
        <family val="2"/>
      </rPr>
      <t>ρ</t>
    </r>
  </si>
  <si>
    <t>Kendall</t>
  </si>
  <si>
    <t>Number of Negative Sign</t>
  </si>
  <si>
    <t>Number of Positive Sign</t>
  </si>
  <si>
    <t>Number of Comparison</t>
  </si>
  <si>
    <t>sign(X_8-X_j)*(Y_8-Y_j)</t>
  </si>
  <si>
    <t>sign(Y_8-Y_j)</t>
  </si>
  <si>
    <t>sign(X_8-X_j)</t>
  </si>
  <si>
    <t>i=8</t>
  </si>
  <si>
    <t>sign(X_4-X_j)*(Y_4-Y_j)</t>
  </si>
  <si>
    <t>sign(Y_4-Y_j)</t>
  </si>
  <si>
    <t>sign(X_4-X_j)</t>
  </si>
  <si>
    <t>i=4</t>
  </si>
  <si>
    <t>sign(X_11-X_j)*(Y_11-Y_j)</t>
  </si>
  <si>
    <t>sign(Y_11-Y_j)</t>
  </si>
  <si>
    <t>sign(X_11-X_j)</t>
  </si>
  <si>
    <t>i=11</t>
  </si>
  <si>
    <t>sign(X_7-X_j)*(Y_7-Y_j)</t>
  </si>
  <si>
    <t>sign(Y_7-Y_j)</t>
  </si>
  <si>
    <t>sign(X_7-X_j)</t>
  </si>
  <si>
    <t>i=7</t>
  </si>
  <si>
    <t>sign(X_3-X_j)*(Y_3-Y_j)</t>
  </si>
  <si>
    <t>sign(Y_3-Y_j)</t>
  </si>
  <si>
    <t>sign(X_3-X_j)</t>
  </si>
  <si>
    <t>i=3</t>
  </si>
  <si>
    <t>sign(X_10-X_j)*(Y_10-Y_j)</t>
  </si>
  <si>
    <t>sign(Y_10-Y_j)</t>
  </si>
  <si>
    <t>sign(X_10-X_j)</t>
  </si>
  <si>
    <t>i=10</t>
  </si>
  <si>
    <t>sign(X_6-X_j)*(Y_6-Y_j)</t>
  </si>
  <si>
    <t>sign(Y_6-Y_j)</t>
  </si>
  <si>
    <t>sign(X_6-X_j)</t>
  </si>
  <si>
    <t>i=6</t>
  </si>
  <si>
    <t>sign(X_2-X_j)*(Y_2-Y_j)</t>
  </si>
  <si>
    <t>sign(Y_2-Y_j)</t>
  </si>
  <si>
    <t>sign(X_2-X_j)</t>
  </si>
  <si>
    <t>i=2</t>
  </si>
  <si>
    <t>sign(X_9-X_j)*(Y_9-Y_j)</t>
  </si>
  <si>
    <t>sign(Y_9-Y_j)</t>
  </si>
  <si>
    <t>sign(X_9-X_j)</t>
  </si>
  <si>
    <t>i=9</t>
  </si>
  <si>
    <t>sign(X_5-X_j)*(Y_5-Y_j)</t>
  </si>
  <si>
    <t>sign(Y_5-Y_j)</t>
  </si>
  <si>
    <t>sign(X_5-X_j)</t>
  </si>
  <si>
    <t>i=5</t>
  </si>
  <si>
    <t>sign(X_1-X_j)*(Y_1-Y_j)</t>
  </si>
  <si>
    <t>sign(Y_1-Y_j)</t>
  </si>
  <si>
    <t>sign(X_1-X_j)</t>
  </si>
  <si>
    <t>j</t>
  </si>
  <si>
    <r>
      <t xml:space="preserve"> Kendall's </t>
    </r>
    <r>
      <rPr>
        <sz val="11"/>
        <color theme="1"/>
        <rFont val="Calibri"/>
        <family val="2"/>
      </rPr>
      <t>τ</t>
    </r>
  </si>
  <si>
    <r>
      <t xml:space="preserve">(i) (1.5 points) Kendall’s rank correlation coefficient </t>
    </r>
    <r>
      <rPr>
        <sz val="11"/>
        <color theme="1"/>
        <rFont val="Calibri"/>
        <family val="2"/>
      </rPr>
      <t>τ</t>
    </r>
  </si>
  <si>
    <t>(b) (2.5 points) Calculate the following between X and Y:</t>
  </si>
  <si>
    <t>theta</t>
  </si>
  <si>
    <t>C(uX,uY)</t>
  </si>
  <si>
    <t>Empirical Cumulative Distribution</t>
  </si>
  <si>
    <t>Y</t>
  </si>
  <si>
    <t>X</t>
  </si>
  <si>
    <t>Sorted Dataset</t>
  </si>
  <si>
    <t>C(u, v)</t>
  </si>
  <si>
    <r>
      <t xml:space="preserve">(a) (1.5 points) Calculate the probability that the returns of both X and Y are below 0 using Gumbel copula with       </t>
    </r>
    <r>
      <rPr>
        <sz val="11"/>
        <color theme="1"/>
        <rFont val="Calibri"/>
        <family val="2"/>
      </rPr>
      <t>θ=</t>
    </r>
    <r>
      <rPr>
        <sz val="11"/>
        <color theme="1"/>
        <rFont val="Times New Roman"/>
        <family val="1"/>
      </rPr>
      <t xml:space="preserve"> 2</t>
    </r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</si>
  <si>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</si>
  <si>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</si>
  <si>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</si>
  <si>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</si>
  <si>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</si>
  <si>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</si>
  <si>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</si>
  <si>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</si>
  <si>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</si>
  <si>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</si>
  <si>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</si>
  <si>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</si>
  <si>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Monthly Return</t>
  </si>
  <si>
    <t>Data</t>
  </si>
  <si>
    <t>E[Var(Yt|p)]=</t>
  </si>
  <si>
    <t xml:space="preserve">Var[E(Yt|p)] = </t>
  </si>
  <si>
    <t>E(u^2)</t>
  </si>
  <si>
    <t xml:space="preserve">pi(2) = </t>
  </si>
  <si>
    <t xml:space="preserve">pi(1) = </t>
  </si>
  <si>
    <r>
      <rPr>
        <sz val="12"/>
        <color theme="1"/>
        <rFont val="Calibri"/>
      </rPr>
      <t>Var[Y</t>
    </r>
    <r>
      <rPr>
        <vertAlign val="subscript"/>
        <sz val="12"/>
        <color theme="1"/>
        <rFont val="SwissReSans"/>
      </rPr>
      <t>t</t>
    </r>
    <r>
      <rPr>
        <sz val="12"/>
        <color theme="1"/>
        <rFont val="SwissReSans"/>
      </rPr>
      <t>]</t>
    </r>
  </si>
  <si>
    <r>
      <rPr>
        <sz val="12"/>
        <color theme="1"/>
        <rFont val="Calibri"/>
      </rPr>
      <t>E[Y</t>
    </r>
    <r>
      <rPr>
        <vertAlign val="subscript"/>
        <sz val="12"/>
        <color theme="1"/>
        <rFont val="SwissReSans"/>
      </rPr>
      <t>t</t>
    </r>
    <r>
      <rPr>
        <sz val="12"/>
        <color theme="1"/>
        <rFont val="SwissReSans"/>
      </rPr>
      <t>]</t>
    </r>
  </si>
  <si>
    <r>
      <rPr>
        <sz val="11"/>
        <color theme="1"/>
        <rFont val="SwissReSans"/>
      </rPr>
      <t>(c ) (1.5 points) 	Calculate E[Y</t>
    </r>
    <r>
      <rPr>
        <vertAlign val="subscript"/>
        <sz val="11"/>
        <color theme="1"/>
        <rFont val="SwissReSans"/>
      </rPr>
      <t>t</t>
    </r>
    <r>
      <rPr>
        <sz val="11"/>
        <color theme="1"/>
        <rFont val="SwissReSans"/>
      </rPr>
      <t xml:space="preserve">] </t>
    </r>
    <r>
      <rPr>
        <sz val="11"/>
        <color theme="1"/>
        <rFont val="SwissReSans"/>
      </rPr>
      <t>and</t>
    </r>
    <r>
      <rPr>
        <vertAlign val="subscript"/>
        <sz val="11"/>
        <color theme="1"/>
        <rFont val="SwissReSans"/>
      </rPr>
      <t xml:space="preserve"> </t>
    </r>
    <r>
      <rPr>
        <sz val="11"/>
        <color theme="1"/>
        <rFont val="SwissReSans"/>
      </rPr>
      <t>Var[Y</t>
    </r>
    <r>
      <rPr>
        <vertAlign val="subscript"/>
        <sz val="11"/>
        <color theme="1"/>
        <rFont val="SwissReSans"/>
      </rPr>
      <t>t</t>
    </r>
    <r>
      <rPr>
        <sz val="11"/>
        <color theme="1"/>
        <rFont val="SwissReSans"/>
      </rPr>
      <t>]</t>
    </r>
  </si>
  <si>
    <r>
      <rPr>
        <sz val="18"/>
        <color theme="1"/>
        <rFont val="Aptos Narrow"/>
      </rPr>
      <t>Р</t>
    </r>
    <r>
      <rPr>
        <vertAlign val="subscript"/>
        <sz val="18"/>
        <color theme="1"/>
        <rFont val="Calibri"/>
      </rPr>
      <t xml:space="preserve">21 </t>
    </r>
    <r>
      <rPr>
        <sz val="18"/>
        <color theme="1"/>
        <rFont val="Calibri"/>
      </rPr>
      <t>=</t>
    </r>
  </si>
  <si>
    <r>
      <rPr>
        <sz val="18"/>
        <color theme="1"/>
        <rFont val="Aptos Narrow"/>
      </rPr>
      <t>σ</t>
    </r>
    <r>
      <rPr>
        <vertAlign val="subscript"/>
        <sz val="18"/>
        <color theme="1"/>
        <rFont val="Calibri"/>
      </rPr>
      <t>2</t>
    </r>
    <r>
      <rPr>
        <sz val="18"/>
        <color theme="1"/>
        <rFont val="Calibri"/>
      </rPr>
      <t xml:space="preserve"> =</t>
    </r>
  </si>
  <si>
    <r>
      <rPr>
        <sz val="16"/>
        <color theme="1"/>
        <rFont val="Aptos Narrow"/>
      </rPr>
      <t>μ</t>
    </r>
    <r>
      <rPr>
        <vertAlign val="subscript"/>
        <sz val="16"/>
        <color theme="1"/>
        <rFont val="Calibri"/>
      </rPr>
      <t>2</t>
    </r>
    <r>
      <rPr>
        <sz val="16"/>
        <color theme="1"/>
        <rFont val="Calibri"/>
      </rPr>
      <t xml:space="preserve"> =</t>
    </r>
  </si>
  <si>
    <t>Regime 2</t>
  </si>
  <si>
    <r>
      <rPr>
        <sz val="18"/>
        <color theme="1"/>
        <rFont val="Aptos Narrow"/>
      </rPr>
      <t>Р</t>
    </r>
    <r>
      <rPr>
        <vertAlign val="subscript"/>
        <sz val="18"/>
        <color theme="1"/>
        <rFont val="Calibri"/>
      </rPr>
      <t xml:space="preserve">12 </t>
    </r>
    <r>
      <rPr>
        <sz val="18"/>
        <color theme="1"/>
        <rFont val="Calibri"/>
      </rPr>
      <t>=</t>
    </r>
  </si>
  <si>
    <r>
      <rPr>
        <sz val="18"/>
        <color theme="1"/>
        <rFont val="Aptos Narrow"/>
      </rPr>
      <t>σ</t>
    </r>
    <r>
      <rPr>
        <vertAlign val="subscript"/>
        <sz val="18"/>
        <color theme="1"/>
        <rFont val="Calibri"/>
      </rPr>
      <t>1</t>
    </r>
    <r>
      <rPr>
        <sz val="18"/>
        <color theme="1"/>
        <rFont val="Calibri"/>
      </rPr>
      <t xml:space="preserve"> =</t>
    </r>
  </si>
  <si>
    <r>
      <rPr>
        <sz val="16"/>
        <color theme="1"/>
        <rFont val="Aptos Narrow"/>
      </rPr>
      <t>μ</t>
    </r>
    <r>
      <rPr>
        <vertAlign val="subscript"/>
        <sz val="16"/>
        <color theme="1"/>
        <rFont val="Calibri"/>
      </rPr>
      <t xml:space="preserve">1 </t>
    </r>
    <r>
      <rPr>
        <sz val="16"/>
        <color theme="1"/>
        <rFont val="Calibri"/>
      </rPr>
      <t>=</t>
    </r>
  </si>
  <si>
    <t>Regime 1</t>
  </si>
  <si>
    <t>You decide to simulate the S&amp;P500 log returns (Y_t) with a RSLN-2 model.</t>
  </si>
  <si>
    <t>B</t>
  </si>
  <si>
    <t>A</t>
  </si>
  <si>
    <t>BIC</t>
  </si>
  <si>
    <t>AIC</t>
  </si>
  <si>
    <t>k</t>
  </si>
  <si>
    <t>Log-likelihood</t>
  </si>
  <si>
    <t>Model</t>
  </si>
  <si>
    <t>Completed table:</t>
  </si>
  <si>
    <t>n=500</t>
  </si>
  <si>
    <t>BIC=ll-k*ln(n)/2</t>
  </si>
  <si>
    <t>AIC=ll-k</t>
  </si>
  <si>
    <t xml:space="preserve">Model B has a better fit to the data based on the likelihood statistics. The log-likelihood, AIC and BIC are all higher for Model B. </t>
  </si>
  <si>
    <t xml:space="preserve">(b) (i) (1.5 points) Recommend which model should be chosen based on completed statistics. </t>
  </si>
  <si>
    <t>Bayes Information Criterion (BIC)</t>
  </si>
  <si>
    <t>Akaike Information Criterion (AIC)</t>
  </si>
  <si>
    <t>Sigma</t>
  </si>
  <si>
    <t>Z</t>
  </si>
  <si>
    <t>99% ES</t>
  </si>
  <si>
    <t>99% VaR</t>
  </si>
  <si>
    <t>Portfolio</t>
  </si>
  <si>
    <t>Part b</t>
  </si>
  <si>
    <t>ii. (1 point) 1-day 99% ES</t>
  </si>
  <si>
    <t xml:space="preserve">i. (0.5 points) 1-day 99% VaR </t>
  </si>
  <si>
    <t xml:space="preserve">(b) (1.5 points) Calculate the following for the portfolio: </t>
  </si>
  <si>
    <t>97.5% ES</t>
  </si>
  <si>
    <t>Part a</t>
  </si>
  <si>
    <t>ii. (1 point) 10-day 97.5% ES</t>
  </si>
  <si>
    <t xml:space="preserve">i. (0.5 points) 	10-day 99% VaR </t>
  </si>
  <si>
    <t>(a) (1.5 points) Calculate the following for one share of each stock in the portfolio:</t>
  </si>
  <si>
    <t xml:space="preserve">Assume returns over the risk horizon are normally distributed with a mean of zero and there are 250 trading days per year. </t>
  </si>
  <si>
    <t>ρ</t>
  </si>
  <si>
    <t>σ</t>
  </si>
  <si>
    <t>Closing Price ($)</t>
  </si>
  <si>
    <t>Shares</t>
  </si>
  <si>
    <t>Stock</t>
  </si>
  <si>
    <t>Answer:</t>
  </si>
  <si>
    <t>r(0,T)</t>
  </si>
  <si>
    <t>f(0,T-1,T)</t>
  </si>
  <si>
    <t>T</t>
  </si>
  <si>
    <t>Spot Rate</t>
  </si>
  <si>
    <t>Time</t>
  </si>
  <si>
    <t>Quarter</t>
  </si>
  <si>
    <t>Discounted Amount needed at time 0:</t>
  </si>
  <si>
    <t>Discount factor:</t>
  </si>
  <si>
    <t>That number then needs to be brought back to time 0.  (Apply the zero price to discount it back.)</t>
  </si>
  <si>
    <t>Shortfall:</t>
  </si>
  <si>
    <t>Liabilitity to Fund:</t>
  </si>
  <si>
    <t>Payoff From Part B:</t>
  </si>
  <si>
    <t>Notional From FRA at time 8:</t>
  </si>
  <si>
    <t>So first need to determine how much money you will have at time 8.  $100 + payoff from part a.</t>
  </si>
  <si>
    <t>Calculate the current value (time 0) of any additional investment needed to fund the liability given that you entered into this FRA.</t>
  </si>
  <si>
    <t>1.5 Points</t>
  </si>
  <si>
    <t>b</t>
  </si>
  <si>
    <t>f0,3,8 = -ln((Z0,8/Z0,3)/1.25)</t>
  </si>
  <si>
    <t>f(0,3,8) can be determined from the chart</t>
  </si>
  <si>
    <t>Delta = 1.25 = (8-3)/4</t>
  </si>
  <si>
    <t>N = $100 Million</t>
  </si>
  <si>
    <t>Fixed Leg of payoff is FRA is N * Delta * f(0,3,8)</t>
  </si>
  <si>
    <t>r(0,Tn) = -ln(Z(0,Tn)/Tn</t>
  </si>
  <si>
    <t>r(0,Tn) = (1/Tn) Sum(f(0,Ti-1,Ti)xDelta)</t>
  </si>
  <si>
    <t>f(t,T1,T2) = -ln (F(t,T1,T2)/ (T2-T1)</t>
  </si>
  <si>
    <t>F(t,T1,T2) = Z(t,T2)/Z(t,T1)</t>
  </si>
  <si>
    <t>Fill in the chart using formulas from chapter 5:</t>
  </si>
  <si>
    <t>Calculate the amount the bank is willing to pay at the end of the forward agreement</t>
  </si>
  <si>
    <t>2.5 Points</t>
  </si>
  <si>
    <t>a</t>
  </si>
  <si>
    <t>The bank will be paying the fixed leg of the contract while you will pay the floating rate based on the future unknown, r(0.75,2).</t>
  </si>
  <si>
    <t xml:space="preserve">A bank has available a Forward Rate Agreement using pricing based on the values in the above chart for a notional amount of $100 million dollars. </t>
  </si>
  <si>
    <t xml:space="preserve">Your Company has a receivable of $100 million dollars that will be paid in 3 quarter and wishes to invest that amount for an additional 5 quarters to fund a liability of $105.5 million.  </t>
  </si>
  <si>
    <t>Calculate the missing Spot Rates</t>
  </si>
  <si>
    <t xml:space="preserve">1 point </t>
  </si>
  <si>
    <t>Calculate the missing forward rates</t>
  </si>
  <si>
    <t>1 point</t>
  </si>
  <si>
    <t>Calculate the missing zero prices</t>
  </si>
  <si>
    <t>Part A</t>
  </si>
  <si>
    <t>Fill in the chart using formulas from chaprt 5:</t>
  </si>
  <si>
    <t>(Z(0,T)</t>
  </si>
  <si>
    <t>Alt Spot Rate</t>
  </si>
  <si>
    <t>Forward Rate(0, I,i+1)</t>
  </si>
  <si>
    <t>zero coupon price</t>
  </si>
  <si>
    <r>
      <t xml:space="preserve">(7 points) </t>
    </r>
    <r>
      <rPr>
        <sz val="12"/>
        <color theme="1"/>
        <rFont val="Times New Roman"/>
        <family val="1"/>
      </rPr>
      <t>You are an investment analyst working for ABC Life Insurance Company.</t>
    </r>
  </si>
  <si>
    <t xml:space="preserve">                 You are considering of using credit default swaps (CDS) to hedge the credit risk of your company’s asset portfolio.</t>
  </si>
  <si>
    <t xml:space="preserve">                 Your manager would like you to perform a calibration exercise using the assumptions given below:</t>
  </si>
  <si>
    <t>CDS Par Spread</t>
  </si>
  <si>
    <t>Discount Factor</t>
  </si>
  <si>
    <t>80 bps</t>
  </si>
  <si>
    <t>90 bps</t>
  </si>
  <si>
    <t>95 bps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</si>
  <si>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Issue date of these contracts is December 20, 2019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</si>
  <si>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Coupon is paid annually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</si>
  <si>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Recovery rate is 40%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</si>
  <si>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 is the CDS contract terms in years</t>
    </r>
  </si>
  <si>
    <t>Before starting of the calibration exercise, you are given that the hazard rate for 1-year CDS contract is 0.0133114.</t>
  </si>
  <si>
    <r>
      <t xml:space="preserve"> (a) </t>
    </r>
    <r>
      <rPr>
        <i/>
        <sz val="12"/>
        <color theme="1"/>
        <rFont val="Times New Roman"/>
        <family val="1"/>
      </rPr>
      <t>(1 point)</t>
    </r>
    <r>
      <rPr>
        <sz val="12"/>
        <color theme="1"/>
        <rFont val="Times New Roman"/>
        <family val="1"/>
      </rPr>
      <t xml:space="preserve">  Calculate the following for 1-year CDS contract:</t>
    </r>
  </si>
  <si>
    <t>i.  (0.5 points)   Value of protection leg, at contract issue date</t>
  </si>
  <si>
    <t>ii. (0.5 points)  Value of premium leg, at contract issue date</t>
  </si>
  <si>
    <t>Value of protection leg</t>
  </si>
  <si>
    <t>Value of premium leg</t>
  </si>
  <si>
    <t>Total: 4 GP</t>
  </si>
  <si>
    <t>Hazard rate h(t)</t>
  </si>
  <si>
    <t>Recovery R</t>
  </si>
  <si>
    <t>Q(0)</t>
  </si>
  <si>
    <t>Q(1)</t>
  </si>
  <si>
    <t>Value of protection</t>
  </si>
  <si>
    <t>[1 GP] for formula, [1 GP] for correct answer</t>
  </si>
  <si>
    <t>C(1)</t>
  </si>
  <si>
    <t>Value of premium</t>
  </si>
  <si>
    <r>
      <t xml:space="preserve">(b)	</t>
    </r>
    <r>
      <rPr>
        <i/>
        <sz val="12"/>
        <color theme="1"/>
        <rFont val="Times New Roman"/>
        <family val="1"/>
      </rPr>
      <t xml:space="preserve"> (1 point) </t>
    </r>
    <r>
      <rPr>
        <sz val="12"/>
        <color theme="1"/>
        <rFont val="Times New Roman"/>
        <family val="1"/>
      </rPr>
      <t xml:space="preserve"> Describe the calibration steps to obtain the term structure of survival probabilities.</t>
    </r>
  </si>
  <si>
    <t>Type your answer here:</t>
  </si>
  <si>
    <t>[1GP]</t>
  </si>
  <si>
    <t>This is done using a bootstrap method</t>
  </si>
  <si>
    <t>Search for the value of h(0.5) for which the model-implied upfront value equals to the market quoted upfront of the six-month contract given the fixed coupon.</t>
  </si>
  <si>
    <t>Using h(0.5), now search for the value of h(1.0) for which the model-implied upfront value equals to the market quoted upfront of the one-year contract given its fixed counpon.</t>
  </si>
  <si>
    <t>Repeat the step for each next longer maturity CDS, each time using knowledge of all the previously calibrated values of h(t) to calculate the next one</t>
  </si>
  <si>
    <t>At the end of the process, we should have a value of h for each market price</t>
  </si>
  <si>
    <t>Compute the market-implied value of Q(T) to any future time</t>
  </si>
  <si>
    <t>Now, you will continue the calibration exercise for 2-year and 3-year CDS contract.</t>
  </si>
  <si>
    <r>
      <t xml:space="preserve">(c)	</t>
    </r>
    <r>
      <rPr>
        <i/>
        <sz val="12"/>
        <color theme="1"/>
        <rFont val="Times New Roman"/>
        <family val="1"/>
      </rPr>
      <t xml:space="preserve"> (2.5 points) </t>
    </r>
    <r>
      <rPr>
        <sz val="12"/>
        <color theme="1"/>
        <rFont val="Times New Roman"/>
        <family val="1"/>
      </rPr>
      <t xml:space="preserve"> Calculate (use the “Goal Seek” function as needed) the following for each CDS contract:</t>
    </r>
  </si>
  <si>
    <t>i.      (1.5 points) Hazard rate</t>
  </si>
  <si>
    <t>ii.    (0.5 points) Value of protection leg, at contract issue date</t>
  </si>
  <si>
    <t>iii.   (0.5 points) Value of premium leg, at contract issue date</t>
  </si>
  <si>
    <t>Hazard rate</t>
  </si>
  <si>
    <t>Total: 8 GP</t>
  </si>
  <si>
    <t>For each contract maturity (maximum 4 GPs for each contract maturity)</t>
  </si>
  <si>
    <t xml:space="preserve">[1 GP]
</t>
  </si>
  <si>
    <r>
      <t>Correct formula for protection leg V</t>
    </r>
    <r>
      <rPr>
        <vertAlign val="subscript"/>
        <sz val="11"/>
        <color theme="1"/>
        <rFont val="Calibri"/>
        <family val="2"/>
        <scheme val="minor"/>
      </rPr>
      <t>protection</t>
    </r>
  </si>
  <si>
    <r>
      <t>Correct formula for premium leg V</t>
    </r>
    <r>
      <rPr>
        <vertAlign val="subscript"/>
        <sz val="11"/>
        <color theme="1"/>
        <rFont val="Calibri"/>
        <family val="2"/>
        <scheme val="minor"/>
      </rPr>
      <t>premium</t>
    </r>
  </si>
  <si>
    <t>Correct formula for surviving probablity Q(T)</t>
  </si>
  <si>
    <r>
      <t>V</t>
    </r>
    <r>
      <rPr>
        <i/>
        <vertAlign val="subscript"/>
        <sz val="11"/>
        <color theme="1"/>
        <rFont val="Calibri"/>
        <family val="2"/>
        <scheme val="minor"/>
      </rPr>
      <t>protection</t>
    </r>
    <r>
      <rPr>
        <i/>
        <sz val="11"/>
        <color theme="1"/>
        <rFont val="Calibri"/>
        <family val="2"/>
        <scheme val="minor"/>
      </rPr>
      <t xml:space="preserve"> - V</t>
    </r>
    <r>
      <rPr>
        <i/>
        <vertAlign val="subscript"/>
        <sz val="11"/>
        <color theme="1"/>
        <rFont val="Calibri"/>
        <family val="2"/>
        <scheme val="minor"/>
      </rPr>
      <t>premium</t>
    </r>
    <r>
      <rPr>
        <i/>
        <sz val="11"/>
        <color theme="1"/>
        <rFont val="Calibri"/>
        <family val="2"/>
        <scheme val="minor"/>
      </rPr>
      <t xml:space="preserve">  = 0</t>
    </r>
  </si>
  <si>
    <t>[1 GP]</t>
  </si>
  <si>
    <r>
      <t xml:space="preserve">correct numerical answer for h (t), Q(T), premium leg and protection leg, </t>
    </r>
    <r>
      <rPr>
        <b/>
        <sz val="11"/>
        <color theme="1"/>
        <rFont val="Calibri"/>
        <family val="2"/>
        <scheme val="minor"/>
      </rPr>
      <t>OR</t>
    </r>
  </si>
  <si>
    <t>partially correct numerical answers</t>
  </si>
  <si>
    <t>To start, candidate will need to copy the CDS Par Spread values and Discount Factors Z(t), given in the question</t>
  </si>
  <si>
    <t>Candidate will need to enter the formulas for Survival probability Q(t), value of protection leg,  value of premium leg, and U(0)</t>
  </si>
  <si>
    <t>Then solve h(t) for Vprotection-Vpremium = 0, using goal seek function</t>
  </si>
  <si>
    <t>to calculate h(2), select goal seek function, and set all three required inputs as shown in the screenshot, press ok.</t>
  </si>
  <si>
    <t>Repeat the same process for h(3) using inputs for h(3)</t>
  </si>
  <si>
    <t>R =</t>
  </si>
  <si>
    <t>Z(t)</t>
  </si>
  <si>
    <t>h(t)</t>
  </si>
  <si>
    <t>Q(t)</t>
  </si>
  <si>
    <t>Z(t)*(Q(t)+Q(t-1))</t>
  </si>
  <si>
    <t>V premium</t>
  </si>
  <si>
    <t>Z(t)*(Q(t-1)-Q(t))</t>
  </si>
  <si>
    <t>V protection</t>
  </si>
  <si>
    <t>U(0) =Vprotection - Vpremium</t>
  </si>
  <si>
    <t>On December 20, 2019, your manager entered into a 2-year term CDS contract to hedge against credit risk. The contract notional is $1 million. The upfront cost of entering the contract is zero.</t>
  </si>
  <si>
    <t>(d)  (1 point)  Calculate the coupon payment that the protection buyer would pay assuming a credit event is triggered on Feb 4, 2021.</t>
  </si>
  <si>
    <t>Payment</t>
  </si>
  <si>
    <t>Total: 2 GP</t>
  </si>
  <si>
    <t xml:space="preserve">Payment terminate following a credit event. </t>
  </si>
  <si>
    <t>All that is paid by the protection buyer on the premium leg is the amount of coupon that has accrued beteween the previous coupon payment date and the credit event.</t>
  </si>
  <si>
    <t>number of days between Dec 20, 2020 and Feb 4, 2021 using actual/360 day convention = 46 days</t>
  </si>
  <si>
    <t>coupon = 46/360 * $9000 = $1,150</t>
  </si>
  <si>
    <r>
      <rPr>
        <sz val="12"/>
        <color theme="1"/>
        <rFont val="Times New Roman"/>
        <family val="1"/>
      </rPr>
      <t xml:space="preserve">(e)  </t>
    </r>
    <r>
      <rPr>
        <i/>
        <sz val="12"/>
        <color theme="1"/>
        <rFont val="Times New Roman"/>
        <family val="1"/>
      </rPr>
      <t>(1.5 points</t>
    </r>
    <r>
      <rPr>
        <sz val="12"/>
        <color theme="1"/>
        <rFont val="Times New Roman"/>
        <family val="1"/>
      </rPr>
      <t xml:space="preserve">) </t>
    </r>
  </si>
  <si>
    <t>i.      (0.5 points) List two mechanisms for the protection buyer to receive the protection payment.</t>
  </si>
  <si>
    <t>Cash settlement</t>
  </si>
  <si>
    <t>Physical settlement</t>
  </si>
  <si>
    <t>ii.      (1 point) Describe what the protection buyer would receive under each mechanism.</t>
  </si>
  <si>
    <t>Physical settlement (Maximum 2GP)</t>
  </si>
  <si>
    <t>The protection buyer will receive the notional amount ($1 million) in cash</t>
  </si>
  <si>
    <t>and deliver the corresponding face value of the deliveryable obligations at the price determined by the auction</t>
  </si>
  <si>
    <t>The protection buyer can choose which deliverable obligations to deliver</t>
  </si>
  <si>
    <t>The protection buyer receive a cash amount equal to par minus the recovery price determined by the auction.</t>
  </si>
  <si>
    <t>cash amount = (1 – 40%) * $1 million = $600,000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</si>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</sst>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0000000_);_(* \(#,##0.00000000000\);_(* &quot;-&quot;??_);_(@_)"/>
    <numFmt numFmtId="167" formatCode="_(* #,##0.000000000000000_);_(* \(#,##0.000000000000000\);_(* &quot;-&quot;??_);_(@_)"/>
    <numFmt numFmtId="168" formatCode="0.0000"/>
    <numFmt numFmtId="169" formatCode="_(* #,##0.0_);_(* \(#,##0.0\);_(* &quot;-&quot;?_);_(@_)"/>
    <numFmt numFmtId="170" formatCode="0.000%"/>
    <numFmt numFmtId="172" formatCode="_(* #,##0.00000_);_(* \(#,##0.00000\);_(* &quot;-&quot;??_);_(@_)"/>
    <numFmt numFmtId="173" formatCode="0.00000"/>
    <numFmt numFmtId="174" formatCode="0.0000000"/>
    <numFmt numFmtId="175" formatCode="_(&quot;$&quot;* #,##0_);_(&quot;$&quot;* \(#,##0\);_(&quot;$&quot;* &quot;-&quot;??_);_(@_)"/>
  </numFmts>
  <fonts count="4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70C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FFFF"/>
      <name val="Times New Roman"/>
      <family val="1"/>
    </font>
    <font>
      <sz val="11"/>
      <color rgb="FF0070C0"/>
      <name val="Times New Roman"/>
      <family val="1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1"/>
      <name val="Calibri"/>
    </font>
    <font>
      <b/>
      <sz val="11"/>
      <color theme="1"/>
      <name val="等线"/>
    </font>
    <font>
      <sz val="11"/>
      <color theme="1"/>
      <name val="SwissReSans"/>
    </font>
    <font>
      <sz val="12"/>
      <color theme="1"/>
      <name val="Calibri"/>
    </font>
    <font>
      <vertAlign val="subscript"/>
      <sz val="12"/>
      <color theme="1"/>
      <name val="SwissReSans"/>
    </font>
    <font>
      <sz val="12"/>
      <color theme="1"/>
      <name val="SwissReSans"/>
    </font>
    <font>
      <vertAlign val="subscript"/>
      <sz val="11"/>
      <color theme="1"/>
      <name val="SwissReSans"/>
    </font>
    <font>
      <sz val="11"/>
      <color theme="1"/>
      <name val="等线"/>
    </font>
    <font>
      <sz val="18"/>
      <color theme="1"/>
      <name val="Calibri"/>
    </font>
    <font>
      <sz val="18"/>
      <color theme="1"/>
      <name val="Aptos Narrow"/>
    </font>
    <font>
      <vertAlign val="subscript"/>
      <sz val="18"/>
      <color theme="1"/>
      <name val="Calibri"/>
    </font>
    <font>
      <sz val="16"/>
      <color theme="1"/>
      <name val="Calibri"/>
    </font>
    <font>
      <sz val="16"/>
      <color theme="1"/>
      <name val="Aptos Narrow"/>
    </font>
    <font>
      <vertAlign val="subscript"/>
      <sz val="16"/>
      <color theme="1"/>
      <name val="Calibri"/>
    </font>
    <font>
      <i/>
      <sz val="12"/>
      <color theme="1"/>
      <name val="等线"/>
    </font>
    <font>
      <sz val="8"/>
      <color theme="1"/>
      <name val="Calibri"/>
    </font>
    <font>
      <i/>
      <sz val="12"/>
      <color theme="1"/>
      <name val="Calibri"/>
    </font>
    <font>
      <sz val="11"/>
      <color theme="1"/>
      <name val="Arial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5">
    <xf numFmtId="0" fontId="0" fillId="0" borderId="0" xfId="0"/>
    <xf numFmtId="43" fontId="0" fillId="0" borderId="0" xfId="1" applyFont="1"/>
    <xf numFmtId="164" fontId="0" fillId="0" borderId="0" xfId="1" applyNumberFormat="1" applyFont="1"/>
    <xf numFmtId="10" fontId="0" fillId="0" borderId="0" xfId="2" applyNumberFormat="1" applyFont="1"/>
    <xf numFmtId="165" fontId="0" fillId="0" borderId="0" xfId="1" applyNumberFormat="1" applyFont="1"/>
    <xf numFmtId="166" fontId="0" fillId="0" borderId="0" xfId="1" applyNumberFormat="1" applyFont="1"/>
    <xf numFmtId="166" fontId="0" fillId="2" borderId="0" xfId="1" applyNumberFormat="1" applyFont="1" applyFill="1"/>
    <xf numFmtId="167" fontId="0" fillId="2" borderId="0" xfId="1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8" fontId="6" fillId="2" borderId="0" xfId="0" applyNumberFormat="1" applyFont="1" applyFill="1" applyAlignment="1">
      <alignment horizontal="center"/>
    </xf>
    <xf numFmtId="0" fontId="7" fillId="0" borderId="0" xfId="0" quotePrefix="1" applyFont="1"/>
    <xf numFmtId="168" fontId="0" fillId="2" borderId="3" xfId="0" applyNumberFormat="1" applyFill="1" applyBorder="1"/>
    <xf numFmtId="0" fontId="0" fillId="4" borderId="3" xfId="0" applyFill="1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7" fillId="5" borderId="0" xfId="0" applyFont="1" applyFill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8" fontId="6" fillId="2" borderId="0" xfId="0" applyNumberFormat="1" applyFont="1" applyFill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9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3"/>
    <xf numFmtId="0" fontId="15" fillId="0" borderId="0" xfId="3" applyFont="1"/>
    <xf numFmtId="0" fontId="18" fillId="7" borderId="0" xfId="3" applyFont="1" applyFill="1"/>
    <xf numFmtId="0" fontId="18" fillId="0" borderId="0" xfId="3" applyFont="1" applyAlignment="1">
      <alignment wrapText="1"/>
    </xf>
    <xf numFmtId="0" fontId="23" fillId="0" borderId="0" xfId="3" applyFont="1"/>
    <xf numFmtId="0" fontId="23" fillId="0" borderId="11" xfId="3" applyFont="1" applyBorder="1"/>
    <xf numFmtId="0" fontId="24" fillId="0" borderId="9" xfId="3" applyFont="1" applyBorder="1"/>
    <xf numFmtId="0" fontId="23" fillId="0" borderId="9" xfId="3" applyFont="1" applyBorder="1" applyAlignment="1">
      <alignment horizontal="left"/>
    </xf>
    <xf numFmtId="0" fontId="24" fillId="0" borderId="9" xfId="3" applyFont="1" applyBorder="1" applyAlignment="1">
      <alignment vertical="top" wrapText="1"/>
    </xf>
    <xf numFmtId="0" fontId="27" fillId="0" borderId="9" xfId="3" applyFont="1" applyBorder="1" applyAlignment="1">
      <alignment vertical="top" wrapText="1"/>
    </xf>
    <xf numFmtId="0" fontId="30" fillId="0" borderId="10" xfId="3" applyFont="1" applyBorder="1" applyAlignment="1">
      <alignment vertical="center" wrapText="1"/>
    </xf>
    <xf numFmtId="0" fontId="31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 wrapText="1"/>
    </xf>
    <xf numFmtId="0" fontId="19" fillId="0" borderId="12" xfId="3" applyFont="1" applyBorder="1" applyAlignment="1">
      <alignment horizontal="center" vertical="center" wrapText="1"/>
    </xf>
    <xf numFmtId="0" fontId="19" fillId="7" borderId="12" xfId="3" applyFont="1" applyFill="1" applyBorder="1" applyAlignment="1">
      <alignment horizontal="center" vertical="center" wrapText="1"/>
    </xf>
    <xf numFmtId="0" fontId="19" fillId="0" borderId="13" xfId="3" applyFont="1" applyBorder="1" applyAlignment="1">
      <alignment horizontal="center" vertical="center" wrapText="1"/>
    </xf>
    <xf numFmtId="1" fontId="19" fillId="7" borderId="12" xfId="3" applyNumberFormat="1" applyFont="1" applyFill="1" applyBorder="1" applyAlignment="1">
      <alignment horizontal="center" vertical="center" wrapText="1"/>
    </xf>
    <xf numFmtId="0" fontId="32" fillId="0" borderId="14" xfId="3" applyFont="1" applyBorder="1" applyAlignment="1">
      <alignment horizontal="center" vertical="center" wrapText="1"/>
    </xf>
    <xf numFmtId="0" fontId="32" fillId="0" borderId="14" xfId="3" applyFont="1" applyBorder="1" applyAlignment="1">
      <alignment vertical="center" wrapText="1"/>
    </xf>
    <xf numFmtId="0" fontId="32" fillId="0" borderId="15" xfId="3" applyFont="1" applyBorder="1" applyAlignment="1">
      <alignment horizontal="center" vertical="center" wrapText="1"/>
    </xf>
    <xf numFmtId="0" fontId="18" fillId="0" borderId="0" xfId="3" applyFont="1"/>
    <xf numFmtId="0" fontId="17" fillId="0" borderId="0" xfId="3" applyFont="1" applyAlignment="1">
      <alignment horizontal="left" wrapText="1"/>
    </xf>
    <xf numFmtId="0" fontId="23" fillId="0" borderId="0" xfId="3" applyFont="1" applyAlignment="1">
      <alignment horizontal="left" wrapText="1"/>
    </xf>
    <xf numFmtId="0" fontId="33" fillId="7" borderId="0" xfId="3" applyFont="1" applyFill="1"/>
    <xf numFmtId="0" fontId="19" fillId="0" borderId="0" xfId="3" applyFont="1" applyAlignment="1">
      <alignment horizontal="left" vertical="center"/>
    </xf>
    <xf numFmtId="0" fontId="2" fillId="0" borderId="0" xfId="4"/>
    <xf numFmtId="43" fontId="2" fillId="0" borderId="0" xfId="4" applyNumberFormat="1"/>
    <xf numFmtId="43" fontId="0" fillId="8" borderId="0" xfId="5" applyFont="1" applyFill="1"/>
    <xf numFmtId="43" fontId="0" fillId="0" borderId="0" xfId="5" applyFont="1"/>
    <xf numFmtId="43" fontId="2" fillId="2" borderId="3" xfId="4" applyNumberFormat="1" applyFill="1" applyBorder="1"/>
    <xf numFmtId="0" fontId="2" fillId="4" borderId="3" xfId="4" applyFill="1" applyBorder="1"/>
    <xf numFmtId="43" fontId="0" fillId="2" borderId="3" xfId="5" applyFont="1" applyFill="1" applyBorder="1"/>
    <xf numFmtId="0" fontId="2" fillId="4" borderId="3" xfId="4" applyFill="1" applyBorder="1" applyAlignment="1">
      <alignment horizontal="center"/>
    </xf>
    <xf numFmtId="0" fontId="5" fillId="4" borderId="3" xfId="4" applyFont="1" applyFill="1" applyBorder="1"/>
    <xf numFmtId="0" fontId="2" fillId="0" borderId="0" xfId="4" applyAlignment="1">
      <alignment horizontal="left" indent="2"/>
    </xf>
    <xf numFmtId="169" fontId="2" fillId="0" borderId="0" xfId="4" applyNumberFormat="1"/>
    <xf numFmtId="43" fontId="0" fillId="8" borderId="3" xfId="5" applyFont="1" applyFill="1" applyBorder="1" applyAlignment="1">
      <alignment horizontal="left"/>
    </xf>
    <xf numFmtId="43" fontId="0" fillId="8" borderId="3" xfId="5" applyFont="1" applyFill="1" applyBorder="1"/>
    <xf numFmtId="164" fontId="0" fillId="8" borderId="3" xfId="5" applyNumberFormat="1" applyFont="1" applyFill="1" applyBorder="1" applyAlignment="1">
      <alignment horizontal="left" indent="4"/>
    </xf>
    <xf numFmtId="0" fontId="5" fillId="0" borderId="0" xfId="4" applyFont="1"/>
    <xf numFmtId="0" fontId="2" fillId="0" borderId="0" xfId="6"/>
    <xf numFmtId="0" fontId="2" fillId="2" borderId="0" xfId="6" applyFill="1"/>
    <xf numFmtId="172" fontId="2" fillId="0" borderId="0" xfId="6" applyNumberFormat="1"/>
    <xf numFmtId="0" fontId="35" fillId="0" borderId="0" xfId="6" applyFont="1"/>
    <xf numFmtId="164" fontId="2" fillId="0" borderId="0" xfId="6" applyNumberFormat="1"/>
    <xf numFmtId="164" fontId="2" fillId="2" borderId="0" xfId="6" applyNumberFormat="1" applyFill="1"/>
    <xf numFmtId="164" fontId="0" fillId="2" borderId="0" xfId="5" applyNumberFormat="1" applyFont="1" applyFill="1"/>
    <xf numFmtId="170" fontId="4" fillId="0" borderId="0" xfId="6" applyNumberFormat="1" applyFont="1"/>
    <xf numFmtId="170" fontId="0" fillId="2" borderId="0" xfId="7" applyNumberFormat="1" applyFont="1" applyFill="1"/>
    <xf numFmtId="172" fontId="4" fillId="10" borderId="0" xfId="5" applyNumberFormat="1" applyFont="1" applyFill="1"/>
    <xf numFmtId="170" fontId="0" fillId="0" borderId="0" xfId="7" applyNumberFormat="1" applyFont="1"/>
    <xf numFmtId="172" fontId="0" fillId="0" borderId="0" xfId="5" applyNumberFormat="1" applyFont="1"/>
    <xf numFmtId="170" fontId="0" fillId="10" borderId="0" xfId="7" applyNumberFormat="1" applyFont="1" applyFill="1"/>
    <xf numFmtId="172" fontId="0" fillId="2" borderId="0" xfId="5" applyNumberFormat="1" applyFont="1" applyFill="1"/>
    <xf numFmtId="172" fontId="4" fillId="0" borderId="0" xfId="5" applyNumberFormat="1" applyFont="1"/>
    <xf numFmtId="0" fontId="4" fillId="0" borderId="0" xfId="6" applyFont="1"/>
    <xf numFmtId="10" fontId="0" fillId="0" borderId="0" xfId="2" applyNumberFormat="1" applyFont="1" applyAlignment="1">
      <alignment horizontal="center"/>
    </xf>
    <xf numFmtId="0" fontId="5" fillId="3" borderId="2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0" fillId="0" borderId="8" xfId="0" applyBorder="1" applyAlignment="1">
      <alignment horizontal="center" wrapText="1"/>
    </xf>
    <xf numFmtId="0" fontId="17" fillId="6" borderId="10" xfId="3" applyFont="1" applyFill="1" applyBorder="1" applyAlignment="1">
      <alignment horizontal="left" wrapText="1"/>
    </xf>
    <xf numFmtId="0" fontId="16" fillId="0" borderId="9" xfId="3" applyFont="1" applyBorder="1"/>
    <xf numFmtId="0" fontId="18" fillId="0" borderId="0" xfId="3" applyFont="1" applyAlignment="1">
      <alignment wrapText="1"/>
    </xf>
    <xf numFmtId="0" fontId="14" fillId="0" borderId="0" xfId="3"/>
    <xf numFmtId="0" fontId="19" fillId="0" borderId="0" xfId="3" applyFont="1" applyAlignment="1">
      <alignment horizontal="left" vertical="center" wrapText="1"/>
    </xf>
    <xf numFmtId="0" fontId="5" fillId="5" borderId="2" xfId="6" applyFont="1" applyFill="1" applyBorder="1" applyAlignment="1">
      <alignment horizontal="left" wrapText="1"/>
    </xf>
    <xf numFmtId="0" fontId="5" fillId="5" borderId="1" xfId="6" applyFont="1" applyFill="1" applyBorder="1" applyAlignment="1">
      <alignment horizontal="left" wrapText="1"/>
    </xf>
    <xf numFmtId="0" fontId="2" fillId="0" borderId="0" xfId="4" applyAlignment="1">
      <alignment horizontal="left" wrapText="1" indent="2"/>
    </xf>
    <xf numFmtId="0" fontId="34" fillId="9" borderId="2" xfId="4" applyFont="1" applyFill="1" applyBorder="1" applyAlignment="1">
      <alignment horizontal="left" wrapText="1"/>
    </xf>
    <xf numFmtId="0" fontId="34" fillId="9" borderId="1" xfId="4" applyFont="1" applyFill="1" applyBorder="1" applyAlignment="1">
      <alignment horizontal="left" wrapText="1"/>
    </xf>
    <xf numFmtId="0" fontId="2" fillId="0" borderId="0" xfId="4" applyAlignment="1">
      <alignment horizontal="left" wrapText="1"/>
    </xf>
    <xf numFmtId="0" fontId="36" fillId="0" borderId="0" xfId="8" applyFont="1"/>
    <xf numFmtId="0" fontId="1" fillId="0" borderId="0" xfId="8"/>
    <xf numFmtId="0" fontId="37" fillId="0" borderId="0" xfId="8" applyFont="1" applyAlignment="1">
      <alignment vertical="center"/>
    </xf>
    <xf numFmtId="0" fontId="38" fillId="0" borderId="0" xfId="8" applyFont="1" applyAlignment="1">
      <alignment vertical="center"/>
    </xf>
    <xf numFmtId="0" fontId="7" fillId="0" borderId="3" xfId="8" applyFont="1" applyBorder="1" applyAlignment="1">
      <alignment horizontal="center"/>
    </xf>
    <xf numFmtId="0" fontId="6" fillId="0" borderId="3" xfId="8" applyFont="1" applyBorder="1" applyAlignment="1">
      <alignment horizontal="center"/>
    </xf>
    <xf numFmtId="173" fontId="6" fillId="0" borderId="3" xfId="8" applyNumberFormat="1" applyFont="1" applyBorder="1" applyAlignment="1">
      <alignment horizontal="center"/>
    </xf>
    <xf numFmtId="0" fontId="38" fillId="0" borderId="0" xfId="8" applyFont="1" applyAlignment="1">
      <alignment horizontal="left" vertical="center" indent="4"/>
    </xf>
    <xf numFmtId="0" fontId="39" fillId="0" borderId="0" xfId="8" applyFont="1" applyAlignment="1">
      <alignment horizontal="left" vertical="center" indent="4"/>
    </xf>
    <xf numFmtId="0" fontId="38" fillId="0" borderId="0" xfId="8" applyFont="1"/>
    <xf numFmtId="0" fontId="6" fillId="0" borderId="0" xfId="8" applyFont="1" applyAlignment="1">
      <alignment wrapText="1"/>
    </xf>
    <xf numFmtId="0" fontId="6" fillId="0" borderId="0" xfId="8" applyFont="1"/>
    <xf numFmtId="0" fontId="5" fillId="3" borderId="1" xfId="8" applyFont="1" applyFill="1" applyBorder="1" applyAlignment="1">
      <alignment horizontal="left"/>
    </xf>
    <xf numFmtId="0" fontId="5" fillId="3" borderId="1" xfId="8" applyFont="1" applyFill="1" applyBorder="1" applyAlignment="1">
      <alignment horizontal="left" wrapText="1"/>
    </xf>
    <xf numFmtId="174" fontId="1" fillId="2" borderId="0" xfId="8" applyNumberFormat="1" applyFill="1"/>
    <xf numFmtId="0" fontId="5" fillId="3" borderId="16" xfId="8" applyFont="1" applyFill="1" applyBorder="1" applyAlignment="1">
      <alignment horizontal="left"/>
    </xf>
    <xf numFmtId="0" fontId="5" fillId="3" borderId="17" xfId="8" applyFont="1" applyFill="1" applyBorder="1" applyAlignment="1">
      <alignment horizontal="left" wrapText="1"/>
    </xf>
    <xf numFmtId="0" fontId="5" fillId="3" borderId="18" xfId="8" applyFont="1" applyFill="1" applyBorder="1" applyAlignment="1">
      <alignment horizontal="left" wrapText="1"/>
    </xf>
    <xf numFmtId="0" fontId="41" fillId="11" borderId="19" xfId="8" applyFont="1" applyFill="1" applyBorder="1"/>
    <xf numFmtId="0" fontId="1" fillId="11" borderId="0" xfId="8" applyFill="1"/>
    <xf numFmtId="0" fontId="1" fillId="11" borderId="20" xfId="8" applyFill="1" applyBorder="1"/>
    <xf numFmtId="0" fontId="42" fillId="11" borderId="19" xfId="8" applyFont="1" applyFill="1" applyBorder="1"/>
    <xf numFmtId="0" fontId="1" fillId="11" borderId="19" xfId="8" applyFill="1" applyBorder="1"/>
    <xf numFmtId="0" fontId="1" fillId="11" borderId="19" xfId="8" applyFill="1" applyBorder="1" applyAlignment="1">
      <alignment wrapText="1"/>
    </xf>
    <xf numFmtId="9" fontId="1" fillId="11" borderId="0" xfId="8" applyNumberFormat="1" applyFill="1"/>
    <xf numFmtId="0" fontId="5" fillId="11" borderId="19" xfId="8" applyFont="1" applyFill="1" applyBorder="1"/>
    <xf numFmtId="0" fontId="1" fillId="11" borderId="21" xfId="8" applyFill="1" applyBorder="1"/>
    <xf numFmtId="0" fontId="1" fillId="11" borderId="8" xfId="8" applyFill="1" applyBorder="1"/>
    <xf numFmtId="0" fontId="1" fillId="11" borderId="4" xfId="8" applyFill="1" applyBorder="1"/>
    <xf numFmtId="0" fontId="5" fillId="3" borderId="17" xfId="8" applyFont="1" applyFill="1" applyBorder="1" applyAlignment="1">
      <alignment horizontal="left"/>
    </xf>
    <xf numFmtId="0" fontId="1" fillId="0" borderId="22" xfId="8" applyBorder="1"/>
    <xf numFmtId="0" fontId="1" fillId="0" borderId="23" xfId="8" applyBorder="1"/>
    <xf numFmtId="0" fontId="38" fillId="11" borderId="19" xfId="8" applyFont="1" applyFill="1" applyBorder="1" applyAlignment="1">
      <alignment vertical="center"/>
    </xf>
    <xf numFmtId="0" fontId="38" fillId="11" borderId="21" xfId="8" applyFont="1" applyFill="1" applyBorder="1" applyAlignment="1">
      <alignment vertical="center"/>
    </xf>
    <xf numFmtId="0" fontId="1" fillId="0" borderId="0" xfId="8" applyAlignment="1">
      <alignment wrapText="1"/>
    </xf>
    <xf numFmtId="0" fontId="1" fillId="0" borderId="19" xfId="8" applyBorder="1"/>
    <xf numFmtId="0" fontId="1" fillId="0" borderId="20" xfId="8" applyBorder="1"/>
    <xf numFmtId="0" fontId="1" fillId="0" borderId="24" xfId="8" applyBorder="1" applyAlignment="1">
      <alignment horizontal="center" wrapText="1"/>
    </xf>
    <xf numFmtId="0" fontId="1" fillId="8" borderId="3" xfId="8" applyFill="1" applyBorder="1" applyAlignment="1">
      <alignment horizontal="center" wrapText="1"/>
    </xf>
    <xf numFmtId="0" fontId="1" fillId="0" borderId="3" xfId="8" applyBorder="1" applyAlignment="1">
      <alignment horizontal="center" wrapText="1"/>
    </xf>
    <xf numFmtId="0" fontId="0" fillId="0" borderId="25" xfId="9" applyNumberFormat="1" applyFont="1" applyBorder="1" applyAlignment="1">
      <alignment horizontal="center"/>
    </xf>
    <xf numFmtId="174" fontId="1" fillId="2" borderId="3" xfId="8" applyNumberFormat="1" applyFill="1" applyBorder="1"/>
    <xf numFmtId="0" fontId="1" fillId="2" borderId="3" xfId="8" applyFill="1" applyBorder="1"/>
    <xf numFmtId="0" fontId="5" fillId="3" borderId="26" xfId="8" applyFont="1" applyFill="1" applyBorder="1" applyAlignment="1">
      <alignment horizontal="left"/>
    </xf>
    <xf numFmtId="0" fontId="5" fillId="3" borderId="27" xfId="8" applyFont="1" applyFill="1" applyBorder="1" applyAlignment="1">
      <alignment horizontal="left" wrapText="1"/>
    </xf>
    <xf numFmtId="0" fontId="42" fillId="11" borderId="0" xfId="8" applyFont="1" applyFill="1"/>
    <xf numFmtId="0" fontId="1" fillId="11" borderId="19" xfId="8" applyFill="1" applyBorder="1" applyAlignment="1">
      <alignment horizontal="left" indent="1"/>
    </xf>
    <xf numFmtId="0" fontId="1" fillId="11" borderId="25" xfId="8" applyFill="1" applyBorder="1" applyAlignment="1">
      <alignment horizontal="center" vertical="center" wrapText="1"/>
    </xf>
    <xf numFmtId="0" fontId="1" fillId="11" borderId="3" xfId="8" applyFill="1" applyBorder="1" applyAlignment="1">
      <alignment horizontal="center" vertical="center" wrapText="1"/>
    </xf>
    <xf numFmtId="0" fontId="1" fillId="11" borderId="25" xfId="8" applyFill="1" applyBorder="1"/>
    <xf numFmtId="0" fontId="1" fillId="11" borderId="3" xfId="8" applyFill="1" applyBorder="1"/>
    <xf numFmtId="0" fontId="1" fillId="11" borderId="3" xfId="8" applyFill="1" applyBorder="1" applyAlignment="1">
      <alignment wrapText="1"/>
    </xf>
    <xf numFmtId="168" fontId="1" fillId="11" borderId="3" xfId="8" applyNumberFormat="1" applyFill="1" applyBorder="1"/>
    <xf numFmtId="173" fontId="1" fillId="11" borderId="3" xfId="8" applyNumberFormat="1" applyFill="1" applyBorder="1"/>
    <xf numFmtId="174" fontId="1" fillId="11" borderId="3" xfId="8" applyNumberFormat="1" applyFill="1" applyBorder="1"/>
    <xf numFmtId="174" fontId="1" fillId="11" borderId="3" xfId="8" applyNumberFormat="1" applyFill="1" applyBorder="1" applyAlignment="1">
      <alignment wrapText="1"/>
    </xf>
    <xf numFmtId="0" fontId="1" fillId="11" borderId="0" xfId="8" applyFill="1" applyAlignment="1">
      <alignment wrapText="1"/>
    </xf>
    <xf numFmtId="0" fontId="1" fillId="11" borderId="8" xfId="8" applyFill="1" applyBorder="1" applyAlignment="1">
      <alignment wrapText="1"/>
    </xf>
    <xf numFmtId="175" fontId="1" fillId="2" borderId="0" xfId="8" applyNumberFormat="1" applyFill="1"/>
    <xf numFmtId="0" fontId="38" fillId="0" borderId="0" xfId="8" applyFont="1" applyAlignment="1">
      <alignment horizontal="left" vertical="center"/>
    </xf>
    <xf numFmtId="0" fontId="37" fillId="0" borderId="0" xfId="8" applyFont="1"/>
    <xf numFmtId="0" fontId="5" fillId="3" borderId="18" xfId="8" applyFont="1" applyFill="1" applyBorder="1" applyAlignment="1">
      <alignment horizontal="left"/>
    </xf>
    <xf numFmtId="0" fontId="0" fillId="11" borderId="0" xfId="10" applyNumberFormat="1" applyFont="1" applyFill="1" applyBorder="1" applyAlignment="1"/>
    <xf numFmtId="0" fontId="38" fillId="11" borderId="21" xfId="8" applyFont="1" applyFill="1" applyBorder="1" applyAlignment="1">
      <alignment horizontal="left" vertical="center" indent="4"/>
    </xf>
  </cellXfs>
  <cellStyles count="11">
    <cellStyle name="Comma" xfId="1" builtinId="3"/>
    <cellStyle name="Comma 2" xfId="5" xr:uid="{66EE4F09-38CF-41B1-91D7-6A619AB2452F}"/>
    <cellStyle name="Currency 2" xfId="10" xr:uid="{136917FB-0A61-47C0-B9D7-80F99E726913}"/>
    <cellStyle name="Normal" xfId="0" builtinId="0"/>
    <cellStyle name="Normal 2" xfId="3" xr:uid="{45088E1E-74B4-4F40-9EFD-9BB26791DB65}"/>
    <cellStyle name="Normal 2 3" xfId="6" xr:uid="{127042ED-F43C-42AD-8AE5-614D15753CDE}"/>
    <cellStyle name="Normal 3" xfId="4" xr:uid="{BC481AFE-9315-4710-BBA1-6096736FAEA3}"/>
    <cellStyle name="Normal 4" xfId="8" xr:uid="{688C222D-BB88-4BA2-B95B-A92298B0E34D}"/>
    <cellStyle name="Percent" xfId="2" builtinId="5"/>
    <cellStyle name="Percent 2" xfId="7" xr:uid="{8C937CAE-8822-4C29-87DE-255DBE4F0090}"/>
    <cellStyle name="Percent 3" xfId="9" xr:uid="{B7202437-D21F-45F1-B71C-D6CDDB5E5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tmp"/><Relationship Id="rId1" Type="http://schemas.openxmlformats.org/officeDocument/2006/relationships/image" Target="../media/image2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23825" cy="0"/>
    <xdr:pic>
      <xdr:nvPicPr>
        <xdr:cNvPr id="2" name="image1.png">
          <a:extLst>
            <a:ext uri="{FF2B5EF4-FFF2-40B4-BE49-F238E27FC236}">
              <a16:creationId xmlns:a16="http://schemas.microsoft.com/office/drawing/2014/main" id="{FE128126-E6FA-4F92-B7C3-18256A33D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035040"/>
          <a:ext cx="123825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7</xdr:row>
      <xdr:rowOff>85725</xdr:rowOff>
    </xdr:from>
    <xdr:to>
      <xdr:col>19</xdr:col>
      <xdr:colOff>352425</xdr:colOff>
      <xdr:row>11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4A47E1-651D-4C5F-A082-739F0C546B57}"/>
            </a:ext>
          </a:extLst>
        </xdr:cNvPr>
        <xdr:cNvSpPr txBox="1"/>
      </xdr:nvSpPr>
      <xdr:spPr>
        <a:xfrm>
          <a:off x="8877300" y="1365885"/>
          <a:ext cx="3057525" cy="7029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So rounding does have some effect in these calculations.  The</a:t>
          </a:r>
          <a:r>
            <a:rPr lang="en-US" sz="1100" baseline="0"/>
            <a:t> shaded table has been done rounding everything to 5 decimals.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100542</xdr:colOff>
      <xdr:row>32</xdr:row>
      <xdr:rowOff>15875</xdr:rowOff>
    </xdr:from>
    <xdr:to>
      <xdr:col>3</xdr:col>
      <xdr:colOff>994379</xdr:colOff>
      <xdr:row>34</xdr:row>
      <xdr:rowOff>69426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C8D3B0DE-97F5-4D65-8291-5E0AF883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317" y="6588125"/>
          <a:ext cx="2398787" cy="4345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4</xdr:col>
      <xdr:colOff>247044</xdr:colOff>
      <xdr:row>41</xdr:row>
      <xdr:rowOff>73872</xdr:rowOff>
    </xdr:to>
    <xdr:pic>
      <xdr:nvPicPr>
        <xdr:cNvPr id="3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29344CC6-830A-496F-BF3C-8A39E1802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905750"/>
          <a:ext cx="2761644" cy="454872"/>
        </a:xfrm>
        <a:prstGeom prst="rect">
          <a:avLst/>
        </a:prstGeom>
      </xdr:spPr>
    </xdr:pic>
    <xdr:clientData/>
  </xdr:twoCellAnchor>
  <xdr:twoCellAnchor editAs="oneCell">
    <xdr:from>
      <xdr:col>8</xdr:col>
      <xdr:colOff>807357</xdr:colOff>
      <xdr:row>88</xdr:row>
      <xdr:rowOff>72571</xdr:rowOff>
    </xdr:from>
    <xdr:to>
      <xdr:col>11</xdr:col>
      <xdr:colOff>84818</xdr:colOff>
      <xdr:row>97</xdr:row>
      <xdr:rowOff>35711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03C9C9-7590-40AE-9997-E81652824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6482" y="17833521"/>
          <a:ext cx="2106386" cy="1677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3520/OneDrive%20-%20Social%20Security%20Administration/Documents/Personal/soa%20exam/QFI/2022/QWS/Topic%202/QFIQF%202022%20Kim%20T2Q1.CB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ecae2ab329deaad/2022%20QFI-QF%20Prereview/2022%20Spring/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7676-F19A-BD46-B004-5359970B61DC}">
  <dimension ref="B1:K21"/>
  <sheetViews>
    <sheetView workbookViewId="0">
      <selection activeCell="C19" sqref="C19"/>
    </sheetView>
  </sheetViews>
  <sheetFormatPr defaultColWidth="10.875" defaultRowHeight="15.75"/>
  <cols>
    <col min="6" max="6" width="14.75" bestFit="1" customWidth="1"/>
    <col min="7" max="7" width="10.875" customWidth="1"/>
    <col min="8" max="8" width="11.5" customWidth="1"/>
    <col min="9" max="9" width="10.875" customWidth="1"/>
    <col min="10" max="10" width="14.125" bestFit="1" customWidth="1"/>
    <col min="11" max="11" width="18.75" bestFit="1" customWidth="1"/>
  </cols>
  <sheetData>
    <row r="1" spans="2:11">
      <c r="B1" s="1"/>
      <c r="C1" s="2"/>
      <c r="D1" s="86" t="s">
        <v>4</v>
      </c>
      <c r="E1" s="86"/>
      <c r="F1" s="86"/>
      <c r="G1" s="1"/>
      <c r="H1" s="2"/>
      <c r="I1" s="86" t="s">
        <v>4</v>
      </c>
      <c r="J1" s="86"/>
      <c r="K1" s="86"/>
    </row>
    <row r="2" spans="2:11">
      <c r="B2" s="1" t="s">
        <v>0</v>
      </c>
      <c r="C2" s="2" t="s">
        <v>1</v>
      </c>
      <c r="D2" s="3" t="s">
        <v>2</v>
      </c>
      <c r="E2" s="2" t="s">
        <v>3</v>
      </c>
      <c r="F2" s="4" t="s">
        <v>4</v>
      </c>
      <c r="G2" s="1" t="s">
        <v>0</v>
      </c>
      <c r="H2" s="2" t="s">
        <v>1</v>
      </c>
      <c r="I2" s="2" t="s">
        <v>2</v>
      </c>
      <c r="J2" s="2" t="s">
        <v>3</v>
      </c>
      <c r="K2" s="4" t="s">
        <v>4</v>
      </c>
    </row>
    <row r="3" spans="2:11">
      <c r="B3" s="1">
        <v>6.16</v>
      </c>
      <c r="C3" s="2">
        <v>173200</v>
      </c>
      <c r="D3" s="3"/>
      <c r="E3" s="2">
        <f t="shared" ref="E3:E20" si="0">C3*B3</f>
        <v>1066912</v>
      </c>
      <c r="F3" s="4"/>
      <c r="G3" s="1">
        <v>232.779999</v>
      </c>
      <c r="H3" s="2">
        <v>26978900</v>
      </c>
      <c r="I3" s="3"/>
      <c r="J3" s="2">
        <f t="shared" ref="J3:J20" si="1">H3*G3</f>
        <v>6280148315.0211</v>
      </c>
      <c r="K3" s="4"/>
    </row>
    <row r="4" spans="2:11">
      <c r="B4" s="1">
        <v>5.92</v>
      </c>
      <c r="C4" s="2">
        <v>222300</v>
      </c>
      <c r="D4" s="3">
        <f t="shared" ref="D4:D20" si="2">B4/B3-1</f>
        <v>-3.8961038961038974E-2</v>
      </c>
      <c r="E4" s="2">
        <f t="shared" si="0"/>
        <v>1316016</v>
      </c>
      <c r="F4" s="5">
        <f>ABS(D4)/E4</f>
        <v>2.9605292763187511E-8</v>
      </c>
      <c r="G4" s="1">
        <v>233.270004</v>
      </c>
      <c r="H4" s="2">
        <v>16400500</v>
      </c>
      <c r="I4" s="3">
        <f t="shared" ref="I4:I20" si="3">G4/G3-1</f>
        <v>2.1050133263382786E-3</v>
      </c>
      <c r="J4" s="2">
        <f t="shared" si="1"/>
        <v>3825744700.6020002</v>
      </c>
      <c r="K4" s="4">
        <f t="shared" ref="K4:K20" si="4">ABS(I4)/J4</f>
        <v>5.5022315681625184E-13</v>
      </c>
    </row>
    <row r="5" spans="2:11">
      <c r="B5" s="1">
        <v>5.74</v>
      </c>
      <c r="C5" s="2">
        <v>230100</v>
      </c>
      <c r="D5" s="3">
        <f t="shared" si="2"/>
        <v>-3.0405405405405372E-2</v>
      </c>
      <c r="E5" s="2">
        <f t="shared" si="0"/>
        <v>1320774</v>
      </c>
      <c r="F5" s="5">
        <f t="shared" ref="F5:F20" si="5">ABS(D5)/E5</f>
        <v>2.3020899416104021E-8</v>
      </c>
      <c r="G5" s="1">
        <v>233.36999499999999</v>
      </c>
      <c r="H5" s="2">
        <v>16865600</v>
      </c>
      <c r="I5" s="3">
        <f t="shared" si="3"/>
        <v>4.2864919743390573E-4</v>
      </c>
      <c r="J5" s="2">
        <f t="shared" si="1"/>
        <v>3935924987.6719999</v>
      </c>
      <c r="K5" s="4">
        <f t="shared" si="4"/>
        <v>1.0890685131868859E-13</v>
      </c>
    </row>
    <row r="6" spans="2:11">
      <c r="B6" s="1">
        <v>5.59</v>
      </c>
      <c r="C6" s="2">
        <v>209300</v>
      </c>
      <c r="D6" s="3">
        <f t="shared" si="2"/>
        <v>-2.6132404181184676E-2</v>
      </c>
      <c r="E6" s="2">
        <f t="shared" si="0"/>
        <v>1169987</v>
      </c>
      <c r="F6" s="5">
        <f t="shared" si="5"/>
        <v>2.2335636362784098E-8</v>
      </c>
      <c r="G6" s="1">
        <v>233.08000200000001</v>
      </c>
      <c r="H6" s="2">
        <v>19119000</v>
      </c>
      <c r="I6" s="3">
        <f t="shared" si="3"/>
        <v>-1.242631898757951E-3</v>
      </c>
      <c r="J6" s="2">
        <f t="shared" si="1"/>
        <v>4456256558.2379999</v>
      </c>
      <c r="K6" s="4">
        <f t="shared" si="4"/>
        <v>2.7885106759860491E-13</v>
      </c>
    </row>
    <row r="7" spans="2:11">
      <c r="B7" s="1">
        <v>5.73</v>
      </c>
      <c r="C7" s="2">
        <v>181600</v>
      </c>
      <c r="D7" s="3">
        <f t="shared" si="2"/>
        <v>2.5044722719141488E-2</v>
      </c>
      <c r="E7" s="2">
        <f t="shared" si="0"/>
        <v>1040568.0000000001</v>
      </c>
      <c r="F7" s="5">
        <f t="shared" si="5"/>
        <v>2.4068319147947549E-8</v>
      </c>
      <c r="G7" s="1">
        <v>235.78999300000001</v>
      </c>
      <c r="H7" s="2">
        <v>20449000</v>
      </c>
      <c r="I7" s="3">
        <f t="shared" si="3"/>
        <v>1.1626870502601028E-2</v>
      </c>
      <c r="J7" s="2">
        <f t="shared" si="1"/>
        <v>4821669566.8570004</v>
      </c>
      <c r="K7" s="4">
        <f t="shared" si="4"/>
        <v>2.4113785362898664E-12</v>
      </c>
    </row>
    <row r="8" spans="2:11">
      <c r="B8" s="1">
        <v>5.61</v>
      </c>
      <c r="C8" s="2">
        <v>229100</v>
      </c>
      <c r="D8" s="3">
        <f t="shared" si="2"/>
        <v>-2.0942408376963373E-2</v>
      </c>
      <c r="E8" s="2">
        <f t="shared" si="0"/>
        <v>1285251</v>
      </c>
      <c r="F8" s="5">
        <f t="shared" si="5"/>
        <v>1.6294411268276291E-8</v>
      </c>
      <c r="G8" s="1">
        <v>233.80999800000001</v>
      </c>
      <c r="H8" s="2">
        <v>16155300</v>
      </c>
      <c r="I8" s="3">
        <f t="shared" si="3"/>
        <v>-8.3972817285761225E-3</v>
      </c>
      <c r="J8" s="2">
        <f t="shared" si="1"/>
        <v>3777270660.6894002</v>
      </c>
      <c r="K8" s="4">
        <f t="shared" si="4"/>
        <v>2.2231082924419062E-12</v>
      </c>
    </row>
    <row r="9" spans="2:11">
      <c r="B9" s="1">
        <v>5.34</v>
      </c>
      <c r="C9" s="2">
        <v>301700</v>
      </c>
      <c r="D9" s="3">
        <f t="shared" si="2"/>
        <v>-4.8128342245989386E-2</v>
      </c>
      <c r="E9" s="2">
        <f t="shared" si="0"/>
        <v>1611078</v>
      </c>
      <c r="F9" s="5">
        <f t="shared" si="5"/>
        <v>2.9873378102108889E-8</v>
      </c>
      <c r="G9" s="1">
        <v>238.86000100000001</v>
      </c>
      <c r="H9" s="2">
        <v>20653200</v>
      </c>
      <c r="I9" s="3">
        <f t="shared" si="3"/>
        <v>2.1598747030484144E-2</v>
      </c>
      <c r="J9" s="2">
        <f t="shared" si="1"/>
        <v>4933223372.6532001</v>
      </c>
      <c r="K9" s="4">
        <f t="shared" si="4"/>
        <v>4.3782219856928642E-12</v>
      </c>
    </row>
    <row r="10" spans="2:11">
      <c r="B10" s="1">
        <v>5.43</v>
      </c>
      <c r="C10" s="2">
        <v>192500</v>
      </c>
      <c r="D10" s="3">
        <f t="shared" si="2"/>
        <v>1.6853932584269593E-2</v>
      </c>
      <c r="E10" s="2">
        <f t="shared" si="0"/>
        <v>1045275</v>
      </c>
      <c r="F10" s="5">
        <f t="shared" si="5"/>
        <v>1.6123922015038717E-8</v>
      </c>
      <c r="G10" s="1">
        <v>238.820007</v>
      </c>
      <c r="H10" s="2">
        <v>18163800</v>
      </c>
      <c r="I10" s="3">
        <f t="shared" si="3"/>
        <v>-1.6743699167953707E-4</v>
      </c>
      <c r="J10" s="2">
        <f t="shared" si="1"/>
        <v>4337878843.1465998</v>
      </c>
      <c r="K10" s="4">
        <f t="shared" si="4"/>
        <v>3.8598817010316047E-14</v>
      </c>
    </row>
    <row r="11" spans="2:11">
      <c r="B11" s="1">
        <v>5.63</v>
      </c>
      <c r="C11" s="2">
        <v>224400</v>
      </c>
      <c r="D11" s="3">
        <f t="shared" si="2"/>
        <v>3.6832412523020386E-2</v>
      </c>
      <c r="E11" s="2">
        <f t="shared" si="0"/>
        <v>1263372</v>
      </c>
      <c r="F11" s="5">
        <f t="shared" si="5"/>
        <v>2.9154051635638899E-8</v>
      </c>
      <c r="G11" s="1">
        <v>242.490005</v>
      </c>
      <c r="H11" s="2">
        <v>21193100</v>
      </c>
      <c r="I11" s="3">
        <f t="shared" si="3"/>
        <v>1.5367213350764075E-2</v>
      </c>
      <c r="J11" s="2">
        <f t="shared" si="1"/>
        <v>5139114924.9654999</v>
      </c>
      <c r="K11" s="4">
        <f t="shared" si="4"/>
        <v>2.9902451249165708E-12</v>
      </c>
    </row>
    <row r="12" spans="2:11">
      <c r="B12" s="1">
        <v>5.59</v>
      </c>
      <c r="C12" s="2">
        <v>166600</v>
      </c>
      <c r="D12" s="3">
        <f t="shared" si="2"/>
        <v>-7.1047957371225268E-3</v>
      </c>
      <c r="E12" s="2">
        <f t="shared" si="0"/>
        <v>931294</v>
      </c>
      <c r="F12" s="5">
        <f t="shared" si="5"/>
        <v>7.6289504035487462E-9</v>
      </c>
      <c r="G12" s="1">
        <v>246.85000600000001</v>
      </c>
      <c r="H12" s="2">
        <v>22943300</v>
      </c>
      <c r="I12" s="3">
        <f t="shared" si="3"/>
        <v>1.7980126644807637E-2</v>
      </c>
      <c r="J12" s="2">
        <f t="shared" si="1"/>
        <v>5663553742.6598005</v>
      </c>
      <c r="K12" s="4">
        <f t="shared" si="4"/>
        <v>3.1747075178920343E-12</v>
      </c>
    </row>
    <row r="13" spans="2:11">
      <c r="B13" s="1">
        <v>5.75</v>
      </c>
      <c r="C13" s="2">
        <v>224300</v>
      </c>
      <c r="D13" s="3">
        <f t="shared" si="2"/>
        <v>2.8622540250447193E-2</v>
      </c>
      <c r="E13" s="2">
        <f t="shared" si="0"/>
        <v>1289725</v>
      </c>
      <c r="F13" s="5">
        <f t="shared" si="5"/>
        <v>2.2192746709916604E-8</v>
      </c>
      <c r="G13" s="1">
        <v>245.63999899999999</v>
      </c>
      <c r="H13" s="2">
        <v>21599800</v>
      </c>
      <c r="I13" s="3">
        <f t="shared" si="3"/>
        <v>-4.9017904419254021E-3</v>
      </c>
      <c r="J13" s="2">
        <f t="shared" si="1"/>
        <v>5305774850.4001999</v>
      </c>
      <c r="K13" s="4">
        <f t="shared" si="4"/>
        <v>9.2385948897844274E-13</v>
      </c>
    </row>
    <row r="14" spans="2:11">
      <c r="B14" s="1">
        <v>5.87</v>
      </c>
      <c r="C14" s="2">
        <v>355600</v>
      </c>
      <c r="D14" s="3">
        <f t="shared" si="2"/>
        <v>2.0869565217391362E-2</v>
      </c>
      <c r="E14" s="2">
        <f t="shared" si="0"/>
        <v>2087372</v>
      </c>
      <c r="F14" s="5">
        <f t="shared" si="5"/>
        <v>9.9980095629295412E-9</v>
      </c>
      <c r="G14" s="1">
        <v>248.320007</v>
      </c>
      <c r="H14" s="2">
        <v>27738500</v>
      </c>
      <c r="I14" s="3">
        <f t="shared" si="3"/>
        <v>1.0910307811880404E-2</v>
      </c>
      <c r="J14" s="2">
        <f t="shared" si="1"/>
        <v>6888024514.1695004</v>
      </c>
      <c r="K14" s="4">
        <f t="shared" si="4"/>
        <v>1.5839531043242631E-12</v>
      </c>
    </row>
    <row r="15" spans="2:11">
      <c r="B15" s="1">
        <v>5.68</v>
      </c>
      <c r="C15" s="2">
        <v>206000</v>
      </c>
      <c r="D15" s="3">
        <f t="shared" si="2"/>
        <v>-3.2367972742759821E-2</v>
      </c>
      <c r="E15" s="2">
        <f t="shared" si="0"/>
        <v>1170080</v>
      </c>
      <c r="F15" s="5">
        <f t="shared" si="5"/>
        <v>2.7663042478086814E-8</v>
      </c>
      <c r="G15" s="1">
        <v>246.740005</v>
      </c>
      <c r="H15" s="2">
        <v>17748100</v>
      </c>
      <c r="I15" s="3">
        <f t="shared" si="3"/>
        <v>-6.362765606719778E-3</v>
      </c>
      <c r="J15" s="2">
        <f t="shared" si="1"/>
        <v>4379166282.7404995</v>
      </c>
      <c r="K15" s="4">
        <f t="shared" si="4"/>
        <v>1.4529627778230732E-12</v>
      </c>
    </row>
    <row r="16" spans="2:11">
      <c r="B16" s="1">
        <v>5.68</v>
      </c>
      <c r="C16" s="2">
        <v>154800</v>
      </c>
      <c r="D16" s="3">
        <f t="shared" si="2"/>
        <v>0</v>
      </c>
      <c r="E16" s="2">
        <f t="shared" si="0"/>
        <v>879264</v>
      </c>
      <c r="F16" s="5">
        <f t="shared" si="5"/>
        <v>0</v>
      </c>
      <c r="G16" s="1">
        <v>249.21000699999999</v>
      </c>
      <c r="H16" s="2">
        <v>17724300</v>
      </c>
      <c r="I16" s="3">
        <f t="shared" si="3"/>
        <v>1.0010545310639829E-2</v>
      </c>
      <c r="J16" s="2">
        <f t="shared" si="1"/>
        <v>4417072927.0700998</v>
      </c>
      <c r="K16" s="4">
        <f t="shared" si="4"/>
        <v>2.2663300959533736E-12</v>
      </c>
    </row>
    <row r="17" spans="2:11">
      <c r="B17" s="1">
        <v>5.63</v>
      </c>
      <c r="C17" s="2">
        <v>144900</v>
      </c>
      <c r="D17" s="3">
        <f t="shared" si="2"/>
        <v>-8.8028169014083835E-3</v>
      </c>
      <c r="E17" s="2">
        <f t="shared" si="0"/>
        <v>815787</v>
      </c>
      <c r="F17" s="5">
        <f t="shared" si="5"/>
        <v>1.0790582469944217E-8</v>
      </c>
      <c r="G17" s="1">
        <v>252.69000199999999</v>
      </c>
      <c r="H17" s="2">
        <v>22371400</v>
      </c>
      <c r="I17" s="3">
        <f t="shared" si="3"/>
        <v>1.3964106184548131E-2</v>
      </c>
      <c r="J17" s="2">
        <f t="shared" si="1"/>
        <v>5653029110.7427998</v>
      </c>
      <c r="K17" s="4">
        <f t="shared" si="4"/>
        <v>2.4701988811646623E-12</v>
      </c>
    </row>
    <row r="18" spans="2:11">
      <c r="B18" s="1">
        <v>5.88</v>
      </c>
      <c r="C18" s="2">
        <v>163800</v>
      </c>
      <c r="D18" s="3">
        <f t="shared" si="2"/>
        <v>4.4404973357015987E-2</v>
      </c>
      <c r="E18" s="2">
        <f t="shared" si="0"/>
        <v>963144</v>
      </c>
      <c r="F18" s="5">
        <f t="shared" si="5"/>
        <v>4.6104189360070752E-8</v>
      </c>
      <c r="G18" s="1">
        <v>262.040009</v>
      </c>
      <c r="H18" s="2">
        <v>25727200</v>
      </c>
      <c r="I18" s="3">
        <f t="shared" si="3"/>
        <v>3.7001887395608168E-2</v>
      </c>
      <c r="J18" s="2">
        <f t="shared" si="1"/>
        <v>6741555719.5447998</v>
      </c>
      <c r="K18" s="4">
        <f t="shared" si="4"/>
        <v>5.4886273932786829E-12</v>
      </c>
    </row>
    <row r="19" spans="2:11">
      <c r="B19" s="1">
        <v>5.59</v>
      </c>
      <c r="C19" s="2">
        <v>136600</v>
      </c>
      <c r="D19" s="3">
        <f t="shared" si="2"/>
        <v>-4.9319727891156462E-2</v>
      </c>
      <c r="E19" s="2">
        <f t="shared" si="0"/>
        <v>763594</v>
      </c>
      <c r="F19" s="5">
        <f t="shared" si="5"/>
        <v>6.4588941101104071E-8</v>
      </c>
      <c r="G19" s="1">
        <v>262.51998900000001</v>
      </c>
      <c r="H19" s="2">
        <v>23816500</v>
      </c>
      <c r="I19" s="3">
        <f t="shared" si="3"/>
        <v>1.8317050202818486E-3</v>
      </c>
      <c r="J19" s="2">
        <f t="shared" si="1"/>
        <v>6252307318.0185003</v>
      </c>
      <c r="K19" s="4">
        <f t="shared" si="4"/>
        <v>2.9296464922686462E-13</v>
      </c>
    </row>
    <row r="20" spans="2:11">
      <c r="B20" s="1">
        <v>5.59</v>
      </c>
      <c r="C20" s="2">
        <v>123300</v>
      </c>
      <c r="D20" s="3">
        <f t="shared" si="2"/>
        <v>0</v>
      </c>
      <c r="E20" s="2">
        <f t="shared" si="0"/>
        <v>689247</v>
      </c>
      <c r="F20" s="5">
        <f t="shared" si="5"/>
        <v>0</v>
      </c>
      <c r="G20" s="1">
        <v>264.72000100000002</v>
      </c>
      <c r="H20" s="2">
        <v>25473700</v>
      </c>
      <c r="I20" s="3">
        <f t="shared" si="3"/>
        <v>8.3803599428005082E-3</v>
      </c>
      <c r="J20" s="2">
        <f t="shared" si="1"/>
        <v>6743397889.4737005</v>
      </c>
      <c r="K20" s="4">
        <f t="shared" si="4"/>
        <v>1.2427503285668595E-12</v>
      </c>
    </row>
    <row r="21" spans="2:11">
      <c r="B21" s="1"/>
      <c r="C21" s="2"/>
      <c r="D21" s="3"/>
      <c r="E21" s="2"/>
      <c r="F21" s="6">
        <f>SUM(F4:F20)/COUNT(F4:F20)</f>
        <v>2.2320139576275691E-8</v>
      </c>
      <c r="G21" s="1"/>
      <c r="H21" s="2"/>
      <c r="K21" s="7">
        <f>SUM(K4:K20)/COUNT(K4:K20)</f>
        <v>1.8750522393701958E-12</v>
      </c>
    </row>
  </sheetData>
  <mergeCells count="2">
    <mergeCell ref="D1:F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2366-E27E-44D1-A4FC-C8FC94141636}">
  <dimension ref="A1:N155"/>
  <sheetViews>
    <sheetView topLeftCell="A15" zoomScale="85" zoomScaleNormal="85" workbookViewId="0">
      <selection activeCell="D34" sqref="D34"/>
    </sheetView>
  </sheetViews>
  <sheetFormatPr defaultColWidth="10.875" defaultRowHeight="15"/>
  <cols>
    <col min="1" max="1" width="10.875" style="8"/>
    <col min="2" max="3" width="14" style="9" customWidth="1"/>
    <col min="4" max="4" width="20.875" style="8" customWidth="1"/>
    <col min="5" max="16384" width="10.875" style="8"/>
  </cols>
  <sheetData>
    <row r="1" spans="1:3" ht="15.75">
      <c r="A1" t="s">
        <v>90</v>
      </c>
      <c r="B1" s="29"/>
      <c r="C1" s="29"/>
    </row>
    <row r="2" spans="1:3" ht="16.5" thickBot="1">
      <c r="A2"/>
      <c r="B2" s="89" t="s">
        <v>89</v>
      </c>
      <c r="C2" s="89"/>
    </row>
    <row r="3" spans="1:3" ht="15.75" thickBot="1">
      <c r="A3" s="28"/>
      <c r="B3" s="27" t="s">
        <v>73</v>
      </c>
      <c r="C3" s="27" t="s">
        <v>72</v>
      </c>
    </row>
    <row r="4" spans="1:3" ht="15.75" thickBot="1">
      <c r="A4" s="26" t="s">
        <v>88</v>
      </c>
      <c r="B4" s="25">
        <v>2.1</v>
      </c>
      <c r="C4" s="25">
        <v>1.8</v>
      </c>
    </row>
    <row r="5" spans="1:3" ht="15.75" thickBot="1">
      <c r="A5" s="26" t="s">
        <v>87</v>
      </c>
      <c r="B5" s="25">
        <v>-0.5</v>
      </c>
      <c r="C5" s="25">
        <v>-0.3</v>
      </c>
    </row>
    <row r="6" spans="1:3" ht="15.75" thickBot="1">
      <c r="A6" s="26" t="s">
        <v>86</v>
      </c>
      <c r="B6" s="25">
        <v>1.2</v>
      </c>
      <c r="C6" s="25">
        <v>-0.7</v>
      </c>
    </row>
    <row r="7" spans="1:3" ht="15.75" thickBot="1">
      <c r="A7" s="26" t="s">
        <v>85</v>
      </c>
      <c r="B7" s="25">
        <v>-1</v>
      </c>
      <c r="C7" s="25">
        <v>2.6</v>
      </c>
    </row>
    <row r="8" spans="1:3" ht="15.75" thickBot="1">
      <c r="A8" s="26" t="s">
        <v>84</v>
      </c>
      <c r="B8" s="25">
        <v>0.8</v>
      </c>
      <c r="C8" s="25">
        <v>1.5</v>
      </c>
    </row>
    <row r="9" spans="1:3" ht="15.75" thickBot="1">
      <c r="A9" s="26" t="s">
        <v>83</v>
      </c>
      <c r="B9" s="25">
        <v>-1.5</v>
      </c>
      <c r="C9" s="25">
        <v>-2</v>
      </c>
    </row>
    <row r="10" spans="1:3" ht="15.75" thickBot="1">
      <c r="A10" s="26" t="s">
        <v>82</v>
      </c>
      <c r="B10" s="25">
        <v>0.3</v>
      </c>
      <c r="C10" s="25">
        <v>-1.2</v>
      </c>
    </row>
    <row r="11" spans="1:3" ht="15.75" thickBot="1">
      <c r="A11" s="26" t="s">
        <v>81</v>
      </c>
      <c r="B11" s="25">
        <v>2.7</v>
      </c>
      <c r="C11" s="25">
        <v>3.2</v>
      </c>
    </row>
    <row r="12" spans="1:3" ht="15.75" thickBot="1">
      <c r="A12" s="26" t="s">
        <v>80</v>
      </c>
      <c r="B12" s="25">
        <v>-0.9</v>
      </c>
      <c r="C12" s="25">
        <v>0.1</v>
      </c>
    </row>
    <row r="13" spans="1:3" ht="15.75" thickBot="1">
      <c r="A13" s="26" t="s">
        <v>79</v>
      </c>
      <c r="B13" s="25">
        <v>1.4</v>
      </c>
      <c r="C13" s="25">
        <v>0.6</v>
      </c>
    </row>
    <row r="14" spans="1:3" ht="15.75" thickBot="1">
      <c r="A14" s="26" t="s">
        <v>78</v>
      </c>
      <c r="B14" s="25">
        <v>-0.3</v>
      </c>
      <c r="C14" s="25">
        <v>-0.5</v>
      </c>
    </row>
    <row r="15" spans="1:3" ht="15.75" thickBot="1">
      <c r="A15" s="26" t="s">
        <v>77</v>
      </c>
      <c r="B15" s="25">
        <v>2.2999999999999998</v>
      </c>
      <c r="C15" s="25">
        <v>1.9</v>
      </c>
    </row>
    <row r="18" spans="1:10" customFormat="1" ht="15.75">
      <c r="A18" s="8" t="s">
        <v>76</v>
      </c>
      <c r="J18" s="24"/>
    </row>
    <row r="19" spans="1:10" customFormat="1" ht="15.75">
      <c r="A19" s="8"/>
    </row>
    <row r="20" spans="1:10" customFormat="1" ht="15.75"/>
    <row r="21" spans="1:10" customFormat="1" ht="15.75">
      <c r="A21" s="87" t="s">
        <v>8</v>
      </c>
      <c r="B21" s="88"/>
      <c r="C21" s="88"/>
      <c r="D21" s="88"/>
      <c r="E21" s="88"/>
    </row>
    <row r="22" spans="1:10" customFormat="1" ht="15.75">
      <c r="A22" t="s">
        <v>75</v>
      </c>
      <c r="B22" s="23">
        <f>EXP(-(((-LN(C32))^C41+(-LN(C32))^C41)^(1/C41)))</f>
        <v>0.28993463968517769</v>
      </c>
    </row>
    <row r="23" spans="1:10" customFormat="1" ht="15.75"/>
    <row r="24" spans="1:10" customFormat="1" ht="15.75"/>
    <row r="25" spans="1:10" customFormat="1" ht="15.75">
      <c r="A25" s="87" t="s">
        <v>6</v>
      </c>
      <c r="B25" s="88"/>
      <c r="C25" s="88"/>
      <c r="D25" s="88"/>
      <c r="E25" s="88"/>
    </row>
    <row r="26" spans="1:10">
      <c r="A26" s="22" t="s">
        <v>74</v>
      </c>
    </row>
    <row r="27" spans="1:10" s="17" customFormat="1" ht="43.5">
      <c r="A27" s="21" t="s">
        <v>73</v>
      </c>
      <c r="B27" s="21" t="s">
        <v>72</v>
      </c>
      <c r="C27" s="20" t="s">
        <v>71</v>
      </c>
    </row>
    <row r="28" spans="1:10">
      <c r="A28" s="9" cm="1">
        <f t="array" ref="A28:A39">_xlfn._xlws.SORT(B4:B15)</f>
        <v>-1.5</v>
      </c>
      <c r="B28" s="9" cm="1">
        <f t="array" ref="B28:B39">_xlfn._xlws.SORT(C4:C15)</f>
        <v>-2</v>
      </c>
      <c r="C28" s="19">
        <f>1/12</f>
        <v>8.3333333333333329E-2</v>
      </c>
    </row>
    <row r="29" spans="1:10">
      <c r="A29" s="9">
        <v>-1</v>
      </c>
      <c r="B29" s="9">
        <v>-1.2</v>
      </c>
      <c r="C29" s="19">
        <f t="shared" ref="C29:C39" si="0">C28+1/12</f>
        <v>0.16666666666666666</v>
      </c>
    </row>
    <row r="30" spans="1:10">
      <c r="A30" s="9">
        <v>-0.9</v>
      </c>
      <c r="B30" s="9">
        <v>-0.7</v>
      </c>
      <c r="C30" s="19">
        <f t="shared" si="0"/>
        <v>0.25</v>
      </c>
    </row>
    <row r="31" spans="1:10">
      <c r="A31" s="9">
        <v>-0.5</v>
      </c>
      <c r="B31" s="9">
        <v>-0.5</v>
      </c>
      <c r="C31" s="19">
        <f t="shared" si="0"/>
        <v>0.33333333333333331</v>
      </c>
    </row>
    <row r="32" spans="1:10">
      <c r="A32" s="9">
        <v>-0.3</v>
      </c>
      <c r="B32" s="9">
        <v>-0.3</v>
      </c>
      <c r="C32" s="19">
        <f t="shared" si="0"/>
        <v>0.41666666666666663</v>
      </c>
    </row>
    <row r="33" spans="1:5">
      <c r="A33" s="9">
        <v>0.3</v>
      </c>
      <c r="B33" s="9">
        <v>0.1</v>
      </c>
      <c r="C33" s="19">
        <f t="shared" si="0"/>
        <v>0.49999999999999994</v>
      </c>
    </row>
    <row r="34" spans="1:5">
      <c r="A34" s="9">
        <v>0.8</v>
      </c>
      <c r="B34" s="9">
        <v>0.6</v>
      </c>
      <c r="C34" s="19">
        <f t="shared" si="0"/>
        <v>0.58333333333333326</v>
      </c>
    </row>
    <row r="35" spans="1:5">
      <c r="A35" s="9">
        <v>1.2</v>
      </c>
      <c r="B35" s="9">
        <v>1.5</v>
      </c>
      <c r="C35" s="19">
        <f t="shared" si="0"/>
        <v>0.66666666666666663</v>
      </c>
    </row>
    <row r="36" spans="1:5">
      <c r="A36" s="9">
        <v>1.4</v>
      </c>
      <c r="B36" s="9">
        <v>1.8</v>
      </c>
      <c r="C36" s="19">
        <f t="shared" si="0"/>
        <v>0.75</v>
      </c>
    </row>
    <row r="37" spans="1:5">
      <c r="A37" s="9">
        <v>2.1</v>
      </c>
      <c r="B37" s="9">
        <v>1.9</v>
      </c>
      <c r="C37" s="19">
        <f t="shared" si="0"/>
        <v>0.83333333333333337</v>
      </c>
    </row>
    <row r="38" spans="1:5">
      <c r="A38" s="9">
        <v>2.2999999999999998</v>
      </c>
      <c r="B38" s="9">
        <v>2.6</v>
      </c>
      <c r="C38" s="19">
        <f t="shared" si="0"/>
        <v>0.91666666666666674</v>
      </c>
    </row>
    <row r="39" spans="1:5">
      <c r="A39" s="9">
        <v>2.7</v>
      </c>
      <c r="B39" s="9">
        <v>3.2</v>
      </c>
      <c r="C39" s="19">
        <f t="shared" si="0"/>
        <v>1</v>
      </c>
    </row>
    <row r="41" spans="1:5">
      <c r="A41" s="8" t="s">
        <v>70</v>
      </c>
      <c r="B41" s="9" t="s">
        <v>69</v>
      </c>
      <c r="C41" s="9">
        <v>2</v>
      </c>
    </row>
    <row r="42" spans="1:5">
      <c r="A42" s="19">
        <f>EXP(-(((-LN(C32))^C41+(-LN(C32))^C41)^(1/C41)))</f>
        <v>0.28993463968517769</v>
      </c>
    </row>
    <row r="43" spans="1:5" customFormat="1" ht="15.75"/>
    <row r="44" spans="1:5" ht="15.75">
      <c r="A44" t="s">
        <v>68</v>
      </c>
    </row>
    <row r="45" spans="1:5" ht="15.75">
      <c r="A45"/>
    </row>
    <row r="46" spans="1:5" ht="15.75">
      <c r="A46" t="s">
        <v>67</v>
      </c>
    </row>
    <row r="47" spans="1:5" ht="15.75">
      <c r="A47"/>
    </row>
    <row r="48" spans="1:5">
      <c r="A48" s="87" t="s">
        <v>8</v>
      </c>
      <c r="B48" s="88"/>
      <c r="C48" s="88"/>
      <c r="D48" s="88"/>
      <c r="E48" s="88"/>
    </row>
    <row r="49" spans="1:14" ht="15.75">
      <c r="A49" s="13" t="s">
        <v>66</v>
      </c>
      <c r="B49" s="12">
        <f>B115</f>
        <v>0.39393939393939392</v>
      </c>
      <c r="C49"/>
      <c r="D49"/>
      <c r="E49"/>
    </row>
    <row r="50" spans="1:14" ht="15.75">
      <c r="A50"/>
      <c r="B50"/>
      <c r="C50"/>
      <c r="D50"/>
      <c r="E50"/>
    </row>
    <row r="51" spans="1:14" ht="15.75">
      <c r="A51"/>
      <c r="B51"/>
      <c r="C51"/>
      <c r="D51"/>
      <c r="E51"/>
    </row>
    <row r="52" spans="1:14">
      <c r="A52" s="87" t="s">
        <v>6</v>
      </c>
      <c r="B52" s="88"/>
      <c r="C52" s="88"/>
      <c r="D52" s="88"/>
      <c r="E52" s="88"/>
    </row>
    <row r="53" spans="1:14" s="17" customFormat="1" ht="40.9" customHeight="1">
      <c r="A53" s="17" t="s">
        <v>65</v>
      </c>
      <c r="B53" s="18" t="s">
        <v>64</v>
      </c>
      <c r="C53" s="18" t="s">
        <v>63</v>
      </c>
      <c r="D53" s="17" t="s">
        <v>62</v>
      </c>
      <c r="F53" s="17" t="s">
        <v>61</v>
      </c>
      <c r="G53" s="18" t="s">
        <v>60</v>
      </c>
      <c r="H53" s="18" t="s">
        <v>59</v>
      </c>
      <c r="I53" s="17" t="s">
        <v>58</v>
      </c>
      <c r="K53" s="17" t="s">
        <v>57</v>
      </c>
      <c r="L53" s="18" t="s">
        <v>56</v>
      </c>
      <c r="M53" s="18" t="s">
        <v>55</v>
      </c>
      <c r="N53" s="17" t="s">
        <v>54</v>
      </c>
    </row>
    <row r="54" spans="1:14">
      <c r="A54" s="8">
        <v>2</v>
      </c>
      <c r="B54" s="9">
        <f t="shared" ref="B54:C64" si="1">SIGN(B$127-B128)</f>
        <v>-1</v>
      </c>
      <c r="C54" s="9">
        <f t="shared" si="1"/>
        <v>-1</v>
      </c>
      <c r="D54" s="8">
        <f t="shared" ref="D54:D64" si="2">B54*C54</f>
        <v>1</v>
      </c>
      <c r="F54" s="8">
        <v>6</v>
      </c>
      <c r="G54" s="8">
        <f t="shared" ref="G54:G60" si="3">SIGN(INDEX($B$127:$B$138,MATCH(F$54-1,$A$127:$A$138,0))-INDEX($B$127:$B$138,MATCH(F54,$A$127:$A$138,0)))</f>
        <v>-1</v>
      </c>
      <c r="H54" s="8">
        <f t="shared" ref="H54:H60" si="4">SIGN(INDEX($C$127:$C$138,MATCH(F$54-1,$A$127:$A$138,0))-INDEX($C$127:$C$138,MATCH(F54,$A$127:$A$138,0)))</f>
        <v>-1</v>
      </c>
      <c r="I54" s="8">
        <f t="shared" ref="I54:I60" si="5">G54*H54</f>
        <v>1</v>
      </c>
      <c r="K54" s="8">
        <v>10</v>
      </c>
      <c r="L54" s="8">
        <f>SIGN(INDEX($B$127:$B$138,MATCH(K$54-1,$A$127:$A$138,0))-INDEX($B$127:$B$138,MATCH(K54,$A$127:$A$138,0)))</f>
        <v>1</v>
      </c>
      <c r="M54" s="8">
        <f>SIGN(INDEX($C$127:$C$138,MATCH(K$54-1,$A$127:$A$138,0))-INDEX($C$127:$C$138,MATCH(K54,$A$127:$A$138,0)))</f>
        <v>1</v>
      </c>
      <c r="N54" s="8">
        <f>L54*M54</f>
        <v>1</v>
      </c>
    </row>
    <row r="55" spans="1:14">
      <c r="A55" s="8">
        <f t="shared" ref="A55:A64" si="6">A54+1</f>
        <v>3</v>
      </c>
      <c r="B55" s="9">
        <f t="shared" si="1"/>
        <v>-1</v>
      </c>
      <c r="C55" s="9">
        <f t="shared" si="1"/>
        <v>-1</v>
      </c>
      <c r="D55" s="8">
        <f t="shared" si="2"/>
        <v>1</v>
      </c>
      <c r="F55" s="8">
        <f t="shared" ref="F55:F60" si="7">F54+1</f>
        <v>7</v>
      </c>
      <c r="G55" s="8">
        <f t="shared" si="3"/>
        <v>-1</v>
      </c>
      <c r="H55" s="8">
        <f t="shared" si="4"/>
        <v>-1</v>
      </c>
      <c r="I55" s="8">
        <f t="shared" si="5"/>
        <v>1</v>
      </c>
      <c r="K55" s="8">
        <f>K54+1</f>
        <v>11</v>
      </c>
      <c r="L55" s="8">
        <f>SIGN(INDEX($B$127:$B$138,MATCH(K$54-1,$A$127:$A$138,0))-INDEX($B$127:$B$138,MATCH(K55,$A$127:$A$138,0)))</f>
        <v>1</v>
      </c>
      <c r="M55" s="8">
        <f>SIGN(INDEX($C$127:$C$138,MATCH(K$54-1,$A$127:$A$138,0))-INDEX($C$127:$C$138,MATCH(K55,$A$127:$A$138,0)))</f>
        <v>-1</v>
      </c>
      <c r="N55" s="8">
        <f>L55*M55</f>
        <v>-1</v>
      </c>
    </row>
    <row r="56" spans="1:14">
      <c r="A56" s="8">
        <f t="shared" si="6"/>
        <v>4</v>
      </c>
      <c r="B56" s="9">
        <f t="shared" si="1"/>
        <v>-1</v>
      </c>
      <c r="C56" s="9">
        <f t="shared" si="1"/>
        <v>1</v>
      </c>
      <c r="D56" s="8">
        <f t="shared" si="2"/>
        <v>-1</v>
      </c>
      <c r="F56" s="8">
        <f t="shared" si="7"/>
        <v>8</v>
      </c>
      <c r="G56" s="8">
        <f t="shared" si="3"/>
        <v>1</v>
      </c>
      <c r="H56" s="8">
        <f t="shared" si="4"/>
        <v>1</v>
      </c>
      <c r="I56" s="8">
        <f t="shared" si="5"/>
        <v>1</v>
      </c>
      <c r="K56" s="8">
        <f>K55+1</f>
        <v>12</v>
      </c>
      <c r="L56" s="8">
        <f>SIGN(INDEX($B$127:$B$138,MATCH(K$54-1,$A$127:$A$138,0))-INDEX($B$127:$B$138,MATCH(K56,$A$127:$A$138,0)))</f>
        <v>1</v>
      </c>
      <c r="M56" s="8">
        <f>SIGN(INDEX($C$127:$C$138,MATCH(K$54-1,$A$127:$A$138,0))-INDEX($C$127:$C$138,MATCH(K56,$A$127:$A$138,0)))</f>
        <v>1</v>
      </c>
      <c r="N56" s="8">
        <f>L56*M56</f>
        <v>1</v>
      </c>
    </row>
    <row r="57" spans="1:14">
      <c r="A57" s="8">
        <f t="shared" si="6"/>
        <v>5</v>
      </c>
      <c r="B57" s="9">
        <f t="shared" si="1"/>
        <v>-1</v>
      </c>
      <c r="C57" s="9">
        <f t="shared" si="1"/>
        <v>-1</v>
      </c>
      <c r="D57" s="8">
        <f t="shared" si="2"/>
        <v>1</v>
      </c>
      <c r="F57" s="8">
        <f t="shared" si="7"/>
        <v>9</v>
      </c>
      <c r="G57" s="8">
        <f t="shared" si="3"/>
        <v>-1</v>
      </c>
      <c r="H57" s="8">
        <f t="shared" si="4"/>
        <v>-1</v>
      </c>
      <c r="I57" s="8">
        <f t="shared" si="5"/>
        <v>1</v>
      </c>
    </row>
    <row r="58" spans="1:14">
      <c r="A58" s="8">
        <f t="shared" si="6"/>
        <v>6</v>
      </c>
      <c r="B58" s="9">
        <f t="shared" si="1"/>
        <v>-1</v>
      </c>
      <c r="C58" s="9">
        <f t="shared" si="1"/>
        <v>-1</v>
      </c>
      <c r="D58" s="8">
        <f t="shared" si="2"/>
        <v>1</v>
      </c>
      <c r="F58" s="8">
        <f t="shared" si="7"/>
        <v>10</v>
      </c>
      <c r="G58" s="8">
        <f t="shared" si="3"/>
        <v>1</v>
      </c>
      <c r="H58" s="8">
        <f t="shared" si="4"/>
        <v>-1</v>
      </c>
      <c r="I58" s="8">
        <f t="shared" si="5"/>
        <v>-1</v>
      </c>
    </row>
    <row r="59" spans="1:14">
      <c r="A59" s="8">
        <f t="shared" si="6"/>
        <v>7</v>
      </c>
      <c r="B59" s="9">
        <f t="shared" si="1"/>
        <v>-1</v>
      </c>
      <c r="C59" s="9">
        <f t="shared" si="1"/>
        <v>-1</v>
      </c>
      <c r="D59" s="8">
        <f t="shared" si="2"/>
        <v>1</v>
      </c>
      <c r="F59" s="8">
        <f t="shared" si="7"/>
        <v>11</v>
      </c>
      <c r="G59" s="8">
        <f t="shared" si="3"/>
        <v>-1</v>
      </c>
      <c r="H59" s="8">
        <f t="shared" si="4"/>
        <v>-1</v>
      </c>
      <c r="I59" s="8">
        <f t="shared" si="5"/>
        <v>1</v>
      </c>
    </row>
    <row r="60" spans="1:14">
      <c r="A60" s="8">
        <f t="shared" si="6"/>
        <v>8</v>
      </c>
      <c r="B60" s="9">
        <f t="shared" si="1"/>
        <v>1</v>
      </c>
      <c r="C60" s="9">
        <f t="shared" si="1"/>
        <v>1</v>
      </c>
      <c r="D60" s="8">
        <f t="shared" si="2"/>
        <v>1</v>
      </c>
      <c r="F60" s="8">
        <f t="shared" si="7"/>
        <v>12</v>
      </c>
      <c r="G60" s="8">
        <f t="shared" si="3"/>
        <v>1</v>
      </c>
      <c r="H60" s="8">
        <f t="shared" si="4"/>
        <v>1</v>
      </c>
      <c r="I60" s="8">
        <f t="shared" si="5"/>
        <v>1</v>
      </c>
    </row>
    <row r="61" spans="1:14">
      <c r="A61" s="8">
        <f t="shared" si="6"/>
        <v>9</v>
      </c>
      <c r="B61" s="9">
        <f t="shared" si="1"/>
        <v>-1</v>
      </c>
      <c r="C61" s="9">
        <f t="shared" si="1"/>
        <v>-1</v>
      </c>
      <c r="D61" s="8">
        <f t="shared" si="2"/>
        <v>1</v>
      </c>
    </row>
    <row r="62" spans="1:14">
      <c r="A62" s="8">
        <f t="shared" si="6"/>
        <v>10</v>
      </c>
      <c r="B62" s="9">
        <f t="shared" si="1"/>
        <v>-1</v>
      </c>
      <c r="C62" s="9">
        <f t="shared" si="1"/>
        <v>-1</v>
      </c>
      <c r="D62" s="8">
        <f t="shared" si="2"/>
        <v>1</v>
      </c>
    </row>
    <row r="63" spans="1:14">
      <c r="A63" s="8">
        <f t="shared" si="6"/>
        <v>11</v>
      </c>
      <c r="B63" s="9">
        <f t="shared" si="1"/>
        <v>-1</v>
      </c>
      <c r="C63" s="9">
        <f t="shared" si="1"/>
        <v>-1</v>
      </c>
      <c r="D63" s="8">
        <f t="shared" si="2"/>
        <v>1</v>
      </c>
    </row>
    <row r="64" spans="1:14">
      <c r="A64" s="8">
        <f t="shared" si="6"/>
        <v>12</v>
      </c>
      <c r="B64" s="9">
        <f t="shared" si="1"/>
        <v>1</v>
      </c>
      <c r="C64" s="9">
        <f t="shared" si="1"/>
        <v>1</v>
      </c>
      <c r="D64" s="8">
        <f t="shared" si="2"/>
        <v>1</v>
      </c>
    </row>
    <row r="65" spans="1:14">
      <c r="D65" s="16">
        <f>SUM(D54:D64)</f>
        <v>9</v>
      </c>
      <c r="I65" s="16">
        <f>SUM(I54:I64)</f>
        <v>5</v>
      </c>
      <c r="N65" s="16">
        <f>SUM(N54:N64)</f>
        <v>1</v>
      </c>
    </row>
    <row r="66" spans="1:14" s="17" customFormat="1" ht="45">
      <c r="A66" s="17" t="s">
        <v>53</v>
      </c>
      <c r="B66" s="18" t="s">
        <v>52</v>
      </c>
      <c r="C66" s="18" t="s">
        <v>51</v>
      </c>
      <c r="D66" s="17" t="s">
        <v>50</v>
      </c>
      <c r="F66" s="17" t="s">
        <v>49</v>
      </c>
      <c r="G66" s="18" t="s">
        <v>48</v>
      </c>
      <c r="H66" s="18" t="s">
        <v>47</v>
      </c>
      <c r="I66" s="17" t="s">
        <v>46</v>
      </c>
      <c r="K66" s="17" t="s">
        <v>45</v>
      </c>
      <c r="L66" s="18" t="s">
        <v>44</v>
      </c>
      <c r="M66" s="18" t="s">
        <v>43</v>
      </c>
      <c r="N66" s="17" t="s">
        <v>42</v>
      </c>
    </row>
    <row r="67" spans="1:14">
      <c r="A67" s="8">
        <v>3</v>
      </c>
      <c r="B67" s="9">
        <f t="shared" ref="B67:C76" si="8">SIGN(B$128-B129)</f>
        <v>1</v>
      </c>
      <c r="C67" s="9">
        <f t="shared" si="8"/>
        <v>-1</v>
      </c>
      <c r="D67" s="8">
        <f t="shared" ref="D67:D76" si="9">B67*C67</f>
        <v>-1</v>
      </c>
      <c r="F67" s="8">
        <v>7</v>
      </c>
      <c r="G67" s="8">
        <f t="shared" ref="G67:G72" si="10">SIGN(INDEX($B$127:$B$138,MATCH(F$67-1,$A$127:$A$138,0))-INDEX($B$127:$B$138,MATCH(F67,$A$127:$A$138,0)))</f>
        <v>1</v>
      </c>
      <c r="H67" s="8">
        <f t="shared" ref="H67:H72" si="11">SIGN(INDEX($C$127:$C$138,MATCH(F$67-1,$A$127:$A$138,0))-INDEX($C$127:$C$138,MATCH(F67,$A$127:$A$138,0)))</f>
        <v>1</v>
      </c>
      <c r="I67" s="8">
        <f t="shared" ref="I67:I72" si="12">G67*H67</f>
        <v>1</v>
      </c>
      <c r="K67" s="8">
        <v>11</v>
      </c>
      <c r="L67" s="8">
        <f>SIGN(INDEX($B$127:$B$138,MATCH(K$67-1,$A$127:$A$138,0))-INDEX($B$127:$B$138,MATCH(K67,$A$127:$A$138,0)))</f>
        <v>-1</v>
      </c>
      <c r="M67" s="8">
        <f>SIGN(INDEX($C$127:$C$138,MATCH(K$67-1,$A$127:$A$138,0))-INDEX($C$127:$C$138,MATCH(K67,$A$127:$A$138,0)))</f>
        <v>-1</v>
      </c>
      <c r="N67" s="8">
        <f>L67*M67</f>
        <v>1</v>
      </c>
    </row>
    <row r="68" spans="1:14">
      <c r="A68" s="8">
        <f t="shared" ref="A68:A76" si="13">A67+1</f>
        <v>4</v>
      </c>
      <c r="B68" s="9">
        <f t="shared" si="8"/>
        <v>-1</v>
      </c>
      <c r="C68" s="9">
        <f t="shared" si="8"/>
        <v>1</v>
      </c>
      <c r="D68" s="8">
        <f t="shared" si="9"/>
        <v>-1</v>
      </c>
      <c r="F68" s="8">
        <f>F67+1</f>
        <v>8</v>
      </c>
      <c r="G68" s="8">
        <f t="shared" si="10"/>
        <v>1</v>
      </c>
      <c r="H68" s="8">
        <f t="shared" si="11"/>
        <v>1</v>
      </c>
      <c r="I68" s="8">
        <f t="shared" si="12"/>
        <v>1</v>
      </c>
      <c r="K68" s="8">
        <f>K67+1</f>
        <v>12</v>
      </c>
      <c r="L68" s="8">
        <f>SIGN(INDEX($B$127:$B$138,MATCH(K$67-1,$A$127:$A$138,0))-INDEX($B$127:$B$138,MATCH(K68,$A$127:$A$138,0)))</f>
        <v>1</v>
      </c>
      <c r="M68" s="8">
        <f>SIGN(INDEX($C$127:$C$138,MATCH(K$67-1,$A$127:$A$138,0))-INDEX($C$127:$C$138,MATCH(K68,$A$127:$A$138,0)))</f>
        <v>1</v>
      </c>
      <c r="N68" s="8">
        <f>L68*M68</f>
        <v>1</v>
      </c>
    </row>
    <row r="69" spans="1:14">
      <c r="A69" s="8">
        <f t="shared" si="13"/>
        <v>5</v>
      </c>
      <c r="B69" s="9">
        <f t="shared" si="8"/>
        <v>1</v>
      </c>
      <c r="C69" s="9">
        <f t="shared" si="8"/>
        <v>1</v>
      </c>
      <c r="D69" s="8">
        <f t="shared" si="9"/>
        <v>1</v>
      </c>
      <c r="F69" s="8">
        <f>F68+1</f>
        <v>9</v>
      </c>
      <c r="G69" s="8">
        <f t="shared" si="10"/>
        <v>1</v>
      </c>
      <c r="H69" s="8">
        <f t="shared" si="11"/>
        <v>1</v>
      </c>
      <c r="I69" s="8">
        <f t="shared" si="12"/>
        <v>1</v>
      </c>
    </row>
    <row r="70" spans="1:14">
      <c r="A70" s="8">
        <f t="shared" si="13"/>
        <v>6</v>
      </c>
      <c r="B70" s="9">
        <f t="shared" si="8"/>
        <v>-1</v>
      </c>
      <c r="C70" s="9">
        <f t="shared" si="8"/>
        <v>-1</v>
      </c>
      <c r="D70" s="8">
        <f t="shared" si="9"/>
        <v>1</v>
      </c>
      <c r="F70" s="8">
        <f>F69+1</f>
        <v>10</v>
      </c>
      <c r="G70" s="8">
        <f t="shared" si="10"/>
        <v>1</v>
      </c>
      <c r="H70" s="8">
        <f t="shared" si="11"/>
        <v>1</v>
      </c>
      <c r="I70" s="8">
        <f t="shared" si="12"/>
        <v>1</v>
      </c>
    </row>
    <row r="71" spans="1:14">
      <c r="A71" s="8">
        <f t="shared" si="13"/>
        <v>7</v>
      </c>
      <c r="B71" s="9">
        <f t="shared" si="8"/>
        <v>1</v>
      </c>
      <c r="C71" s="9">
        <f t="shared" si="8"/>
        <v>-1</v>
      </c>
      <c r="D71" s="8">
        <f t="shared" si="9"/>
        <v>-1</v>
      </c>
      <c r="F71" s="8">
        <f>F70+1</f>
        <v>11</v>
      </c>
      <c r="G71" s="8">
        <f t="shared" si="10"/>
        <v>1</v>
      </c>
      <c r="H71" s="8">
        <f t="shared" si="11"/>
        <v>1</v>
      </c>
      <c r="I71" s="8">
        <f t="shared" si="12"/>
        <v>1</v>
      </c>
    </row>
    <row r="72" spans="1:14">
      <c r="A72" s="8">
        <f t="shared" si="13"/>
        <v>8</v>
      </c>
      <c r="B72" s="9">
        <f t="shared" si="8"/>
        <v>1</v>
      </c>
      <c r="C72" s="9">
        <f t="shared" si="8"/>
        <v>1</v>
      </c>
      <c r="D72" s="8">
        <f t="shared" si="9"/>
        <v>1</v>
      </c>
      <c r="F72" s="8">
        <f>F71+1</f>
        <v>12</v>
      </c>
      <c r="G72" s="8">
        <f t="shared" si="10"/>
        <v>1</v>
      </c>
      <c r="H72" s="8">
        <f t="shared" si="11"/>
        <v>1</v>
      </c>
      <c r="I72" s="8">
        <f t="shared" si="12"/>
        <v>1</v>
      </c>
    </row>
    <row r="73" spans="1:14">
      <c r="A73" s="8">
        <f t="shared" si="13"/>
        <v>9</v>
      </c>
      <c r="B73" s="9">
        <f t="shared" si="8"/>
        <v>-1</v>
      </c>
      <c r="C73" s="9">
        <f t="shared" si="8"/>
        <v>1</v>
      </c>
      <c r="D73" s="8">
        <f t="shared" si="9"/>
        <v>-1</v>
      </c>
    </row>
    <row r="74" spans="1:14">
      <c r="A74" s="8">
        <f t="shared" si="13"/>
        <v>10</v>
      </c>
      <c r="B74" s="9">
        <f t="shared" si="8"/>
        <v>1</v>
      </c>
      <c r="C74" s="9">
        <f t="shared" si="8"/>
        <v>1</v>
      </c>
      <c r="D74" s="8">
        <f t="shared" si="9"/>
        <v>1</v>
      </c>
    </row>
    <row r="75" spans="1:14">
      <c r="A75" s="8">
        <f t="shared" si="13"/>
        <v>11</v>
      </c>
      <c r="B75" s="9">
        <f t="shared" si="8"/>
        <v>1</v>
      </c>
      <c r="C75" s="9">
        <f t="shared" si="8"/>
        <v>-1</v>
      </c>
      <c r="D75" s="8">
        <f t="shared" si="9"/>
        <v>-1</v>
      </c>
    </row>
    <row r="76" spans="1:14">
      <c r="A76" s="8">
        <f t="shared" si="13"/>
        <v>12</v>
      </c>
      <c r="B76" s="9">
        <f t="shared" si="8"/>
        <v>1</v>
      </c>
      <c r="C76" s="9">
        <f t="shared" si="8"/>
        <v>1</v>
      </c>
      <c r="D76" s="8">
        <f t="shared" si="9"/>
        <v>1</v>
      </c>
    </row>
    <row r="77" spans="1:14">
      <c r="D77" s="16">
        <f>SUM(D67:D76)</f>
        <v>0</v>
      </c>
      <c r="I77" s="16">
        <f>SUM(I67:I76)</f>
        <v>6</v>
      </c>
      <c r="N77" s="16">
        <f>SUM(N67:N76)</f>
        <v>2</v>
      </c>
    </row>
    <row r="78" spans="1:14" s="17" customFormat="1" ht="45">
      <c r="A78" s="17" t="s">
        <v>41</v>
      </c>
      <c r="B78" s="18" t="s">
        <v>40</v>
      </c>
      <c r="C78" s="18" t="s">
        <v>39</v>
      </c>
      <c r="D78" s="17" t="s">
        <v>38</v>
      </c>
      <c r="F78" s="17" t="s">
        <v>37</v>
      </c>
      <c r="G78" s="18" t="s">
        <v>36</v>
      </c>
      <c r="H78" s="18" t="s">
        <v>35</v>
      </c>
      <c r="I78" s="17" t="s">
        <v>34</v>
      </c>
      <c r="K78" s="17" t="s">
        <v>33</v>
      </c>
      <c r="L78" s="18" t="s">
        <v>32</v>
      </c>
      <c r="M78" s="18" t="s">
        <v>31</v>
      </c>
      <c r="N78" s="17" t="s">
        <v>30</v>
      </c>
    </row>
    <row r="79" spans="1:14">
      <c r="A79" s="8">
        <v>4</v>
      </c>
      <c r="B79" s="9">
        <f t="shared" ref="B79:C87" si="14">SIGN(B$129-B130)</f>
        <v>-1</v>
      </c>
      <c r="C79" s="9">
        <f t="shared" si="14"/>
        <v>1</v>
      </c>
      <c r="D79" s="8">
        <f t="shared" ref="D79:D87" si="15">B79*C79</f>
        <v>-1</v>
      </c>
      <c r="F79" s="8">
        <v>8</v>
      </c>
      <c r="G79" s="8">
        <f>SIGN(INDEX($B$127:$B$138,MATCH(F$79-1,$A$127:$A$138,0))-INDEX($B$127:$B$138,MATCH(F79,$A$127:$A$138,0)))</f>
        <v>1</v>
      </c>
      <c r="H79" s="8">
        <f>SIGN(INDEX($C$127:$C$138,MATCH(F$79-1,$A$127:$A$138,0))-INDEX($C$127:$C$138,MATCH(F79,$A$127:$A$138,0)))</f>
        <v>1</v>
      </c>
      <c r="I79" s="8">
        <f>G79*H79</f>
        <v>1</v>
      </c>
      <c r="K79" s="8">
        <v>12</v>
      </c>
      <c r="L79" s="8">
        <f>SIGN(INDEX($B$127:$B$138,MATCH(K$79-1,$A$127:$A$138,0))-INDEX($B$127:$B$138,MATCH(K79,$A$127:$A$138,0)))</f>
        <v>1</v>
      </c>
      <c r="M79" s="8">
        <f>SIGN(INDEX($C$127:$C$138,MATCH(K$79-1,$A$127:$A$138,0))-INDEX($C$127:$C$138,MATCH(K79,$A$127:$A$138,0)))</f>
        <v>1</v>
      </c>
      <c r="N79" s="8">
        <f>L79*M79</f>
        <v>1</v>
      </c>
    </row>
    <row r="80" spans="1:14">
      <c r="A80" s="8">
        <f t="shared" ref="A80:A87" si="16">A79+1</f>
        <v>5</v>
      </c>
      <c r="B80" s="9">
        <f t="shared" si="14"/>
        <v>-1</v>
      </c>
      <c r="C80" s="9">
        <f t="shared" si="14"/>
        <v>1</v>
      </c>
      <c r="D80" s="8">
        <f t="shared" si="15"/>
        <v>-1</v>
      </c>
      <c r="F80" s="8">
        <f>F79+1</f>
        <v>9</v>
      </c>
      <c r="G80" s="8">
        <f>SIGN(INDEX($B$127:$B$138,MATCH(F$79-1,$A$127:$A$138,0))-INDEX($B$127:$B$138,MATCH(F80,$A$127:$A$138,0)))</f>
        <v>-1</v>
      </c>
      <c r="H80" s="8">
        <f>SIGN(INDEX($C$127:$C$138,MATCH(F$79-1,$A$127:$A$138,0))-INDEX($C$127:$C$138,MATCH(F80,$A$127:$A$138,0)))</f>
        <v>1</v>
      </c>
      <c r="I80" s="8">
        <f>G80*H80</f>
        <v>-1</v>
      </c>
    </row>
    <row r="81" spans="1:14">
      <c r="A81" s="8">
        <f t="shared" si="16"/>
        <v>6</v>
      </c>
      <c r="B81" s="9">
        <f t="shared" si="14"/>
        <v>-1</v>
      </c>
      <c r="C81" s="9">
        <f t="shared" si="14"/>
        <v>-1</v>
      </c>
      <c r="D81" s="8">
        <f t="shared" si="15"/>
        <v>1</v>
      </c>
      <c r="F81" s="8">
        <f>F80+1</f>
        <v>10</v>
      </c>
      <c r="G81" s="8">
        <f>SIGN(INDEX($B$127:$B$138,MATCH(F$79-1,$A$127:$A$138,0))-INDEX($B$127:$B$138,MATCH(F81,$A$127:$A$138,0)))</f>
        <v>1</v>
      </c>
      <c r="H81" s="8">
        <f>SIGN(INDEX($C$127:$C$138,MATCH(F$79-1,$A$127:$A$138,0))-INDEX($C$127:$C$138,MATCH(F81,$A$127:$A$138,0)))</f>
        <v>1</v>
      </c>
      <c r="I81" s="8">
        <f>G81*H81</f>
        <v>1</v>
      </c>
    </row>
    <row r="82" spans="1:14">
      <c r="A82" s="8">
        <f t="shared" si="16"/>
        <v>7</v>
      </c>
      <c r="B82" s="9">
        <f t="shared" si="14"/>
        <v>-1</v>
      </c>
      <c r="C82" s="9">
        <f t="shared" si="14"/>
        <v>-1</v>
      </c>
      <c r="D82" s="8">
        <f t="shared" si="15"/>
        <v>1</v>
      </c>
      <c r="F82" s="8">
        <f>F81+1</f>
        <v>11</v>
      </c>
      <c r="G82" s="8">
        <f>SIGN(INDEX($B$127:$B$138,MATCH(F$79-1,$A$127:$A$138,0))-INDEX($B$127:$B$138,MATCH(F82,$A$127:$A$138,0)))</f>
        <v>-1</v>
      </c>
      <c r="H82" s="8">
        <f>SIGN(INDEX($C$127:$C$138,MATCH(F$79-1,$A$127:$A$138,0))-INDEX($C$127:$C$138,MATCH(F82,$A$127:$A$138,0)))</f>
        <v>1</v>
      </c>
      <c r="I82" s="8">
        <f>G82*H82</f>
        <v>-1</v>
      </c>
    </row>
    <row r="83" spans="1:14">
      <c r="A83" s="8">
        <f t="shared" si="16"/>
        <v>8</v>
      </c>
      <c r="B83" s="9">
        <f t="shared" si="14"/>
        <v>1</v>
      </c>
      <c r="C83" s="9">
        <f t="shared" si="14"/>
        <v>1</v>
      </c>
      <c r="D83" s="8">
        <f t="shared" si="15"/>
        <v>1</v>
      </c>
      <c r="F83" s="8">
        <f>F82+1</f>
        <v>12</v>
      </c>
      <c r="G83" s="8">
        <f>SIGN(INDEX($B$127:$B$138,MATCH(F$79-1,$A$127:$A$138,0))-INDEX($B$127:$B$138,MATCH(F83,$A$127:$A$138,0)))</f>
        <v>1</v>
      </c>
      <c r="H83" s="8">
        <f>SIGN(INDEX($C$127:$C$138,MATCH(F$79-1,$A$127:$A$138,0))-INDEX($C$127:$C$138,MATCH(F83,$A$127:$A$138,0)))</f>
        <v>1</v>
      </c>
      <c r="I83" s="8">
        <f>G83*H83</f>
        <v>1</v>
      </c>
    </row>
    <row r="84" spans="1:14">
      <c r="A84" s="8">
        <f t="shared" si="16"/>
        <v>9</v>
      </c>
      <c r="B84" s="9">
        <f t="shared" si="14"/>
        <v>-1</v>
      </c>
      <c r="C84" s="9">
        <f t="shared" si="14"/>
        <v>1</v>
      </c>
      <c r="D84" s="8">
        <f t="shared" si="15"/>
        <v>-1</v>
      </c>
    </row>
    <row r="85" spans="1:14">
      <c r="A85" s="8">
        <f t="shared" si="16"/>
        <v>10</v>
      </c>
      <c r="B85" s="9">
        <f t="shared" si="14"/>
        <v>1</v>
      </c>
      <c r="C85" s="9">
        <f t="shared" si="14"/>
        <v>1</v>
      </c>
      <c r="D85" s="8">
        <f t="shared" si="15"/>
        <v>1</v>
      </c>
    </row>
    <row r="86" spans="1:14">
      <c r="A86" s="8">
        <f t="shared" si="16"/>
        <v>11</v>
      </c>
      <c r="B86" s="9">
        <f t="shared" si="14"/>
        <v>-1</v>
      </c>
      <c r="C86" s="9">
        <f t="shared" si="14"/>
        <v>1</v>
      </c>
      <c r="D86" s="8">
        <f t="shared" si="15"/>
        <v>-1</v>
      </c>
    </row>
    <row r="87" spans="1:14">
      <c r="A87" s="8">
        <f t="shared" si="16"/>
        <v>12</v>
      </c>
      <c r="B87" s="9">
        <f t="shared" si="14"/>
        <v>1</v>
      </c>
      <c r="C87" s="9">
        <f t="shared" si="14"/>
        <v>1</v>
      </c>
      <c r="D87" s="8">
        <f t="shared" si="15"/>
        <v>1</v>
      </c>
    </row>
    <row r="88" spans="1:14">
      <c r="D88" s="16">
        <f>SUM(D79:D87)</f>
        <v>1</v>
      </c>
      <c r="I88" s="16">
        <f>SUM(I79:I87)</f>
        <v>1</v>
      </c>
      <c r="N88" s="16">
        <f>SUM(N79:N87)</f>
        <v>1</v>
      </c>
    </row>
    <row r="89" spans="1:14" s="17" customFormat="1" ht="45">
      <c r="A89" s="17" t="s">
        <v>29</v>
      </c>
      <c r="B89" s="18" t="s">
        <v>28</v>
      </c>
      <c r="C89" s="18" t="s">
        <v>27</v>
      </c>
      <c r="D89" s="17" t="s">
        <v>26</v>
      </c>
      <c r="F89" s="17" t="s">
        <v>25</v>
      </c>
      <c r="G89" s="18" t="s">
        <v>24</v>
      </c>
      <c r="H89" s="18" t="s">
        <v>23</v>
      </c>
      <c r="I89" s="17" t="s">
        <v>22</v>
      </c>
      <c r="L89" s="18"/>
      <c r="M89" s="18"/>
    </row>
    <row r="90" spans="1:14">
      <c r="A90" s="8">
        <v>5</v>
      </c>
      <c r="B90" s="9">
        <f t="shared" ref="B90:C97" si="17">SIGN(B$130-B131)</f>
        <v>1</v>
      </c>
      <c r="C90" s="9">
        <f t="shared" si="17"/>
        <v>-1</v>
      </c>
      <c r="D90" s="8">
        <f t="shared" ref="D90:D97" si="18">B90*C90</f>
        <v>-1</v>
      </c>
      <c r="F90" s="8">
        <v>9</v>
      </c>
      <c r="G90" s="8">
        <f>SIGN(INDEX($B$127:$B$138,MATCH(F$90-1,$A$127:$A$138,0))-INDEX($B$127:$B$138,MATCH(F90,$A$127:$A$138,0)))</f>
        <v>-1</v>
      </c>
      <c r="H90" s="8">
        <f>SIGN(INDEX($C$127:$C$138,MATCH(F$90-1,$A$127:$A$138,0))-INDEX($C$127:$C$138,MATCH(F90,$A$127:$A$138,0)))</f>
        <v>-1</v>
      </c>
      <c r="I90" s="8">
        <f>G90*H90</f>
        <v>1</v>
      </c>
    </row>
    <row r="91" spans="1:14">
      <c r="A91" s="8">
        <f t="shared" ref="A91:A97" si="19">A90+1</f>
        <v>6</v>
      </c>
      <c r="B91" s="9">
        <f t="shared" si="17"/>
        <v>-1</v>
      </c>
      <c r="C91" s="9">
        <f t="shared" si="17"/>
        <v>-1</v>
      </c>
      <c r="D91" s="8">
        <f t="shared" si="18"/>
        <v>1</v>
      </c>
      <c r="F91" s="8">
        <f>F90+1</f>
        <v>10</v>
      </c>
      <c r="G91" s="8">
        <f>SIGN(INDEX($B$127:$B$138,MATCH(F$90-1,$A$127:$A$138,0))-INDEX($B$127:$B$138,MATCH(F91,$A$127:$A$138,0)))</f>
        <v>-1</v>
      </c>
      <c r="H91" s="8">
        <f>SIGN(INDEX($C$127:$C$138,MATCH(F$90-1,$A$127:$A$138,0))-INDEX($C$127:$C$138,MATCH(F91,$A$127:$A$138,0)))</f>
        <v>-1</v>
      </c>
      <c r="I91" s="8">
        <f>G91*H91</f>
        <v>1</v>
      </c>
    </row>
    <row r="92" spans="1:14">
      <c r="A92" s="8">
        <f t="shared" si="19"/>
        <v>7</v>
      </c>
      <c r="B92" s="9">
        <f t="shared" si="17"/>
        <v>1</v>
      </c>
      <c r="C92" s="9">
        <f t="shared" si="17"/>
        <v>-1</v>
      </c>
      <c r="D92" s="8">
        <f t="shared" si="18"/>
        <v>-1</v>
      </c>
      <c r="F92" s="8">
        <f>F91+1</f>
        <v>11</v>
      </c>
      <c r="G92" s="8">
        <f>SIGN(INDEX($B$127:$B$138,MATCH(F$90-1,$A$127:$A$138,0))-INDEX($B$127:$B$138,MATCH(F92,$A$127:$A$138,0)))</f>
        <v>-1</v>
      </c>
      <c r="H92" s="8">
        <f>SIGN(INDEX($C$127:$C$138,MATCH(F$90-1,$A$127:$A$138,0))-INDEX($C$127:$C$138,MATCH(F92,$A$127:$A$138,0)))</f>
        <v>-1</v>
      </c>
      <c r="I92" s="8">
        <f>G92*H92</f>
        <v>1</v>
      </c>
    </row>
    <row r="93" spans="1:14">
      <c r="A93" s="8">
        <f t="shared" si="19"/>
        <v>8</v>
      </c>
      <c r="B93" s="9">
        <f t="shared" si="17"/>
        <v>1</v>
      </c>
      <c r="C93" s="9">
        <f t="shared" si="17"/>
        <v>1</v>
      </c>
      <c r="D93" s="8">
        <f t="shared" si="18"/>
        <v>1</v>
      </c>
      <c r="F93" s="8">
        <f>F92+1</f>
        <v>12</v>
      </c>
      <c r="G93" s="8">
        <f>SIGN(INDEX($B$127:$B$138,MATCH(F$90-1,$A$127:$A$138,0))-INDEX($B$127:$B$138,MATCH(F93,$A$127:$A$138,0)))</f>
        <v>-1</v>
      </c>
      <c r="H93" s="8">
        <f>SIGN(INDEX($C$127:$C$138,MATCH(F$90-1,$A$127:$A$138,0))-INDEX($C$127:$C$138,MATCH(F93,$A$127:$A$138,0)))</f>
        <v>-1</v>
      </c>
      <c r="I93" s="8">
        <f>G93*H93</f>
        <v>1</v>
      </c>
    </row>
    <row r="94" spans="1:14">
      <c r="A94" s="8">
        <f t="shared" si="19"/>
        <v>9</v>
      </c>
      <c r="B94" s="9">
        <f t="shared" si="17"/>
        <v>1</v>
      </c>
      <c r="C94" s="9">
        <f t="shared" si="17"/>
        <v>-1</v>
      </c>
      <c r="D94" s="8">
        <f t="shared" si="18"/>
        <v>-1</v>
      </c>
    </row>
    <row r="95" spans="1:14">
      <c r="A95" s="8">
        <f t="shared" si="19"/>
        <v>10</v>
      </c>
      <c r="B95" s="9">
        <f t="shared" si="17"/>
        <v>1</v>
      </c>
      <c r="C95" s="9">
        <f t="shared" si="17"/>
        <v>-1</v>
      </c>
      <c r="D95" s="8">
        <f t="shared" si="18"/>
        <v>-1</v>
      </c>
    </row>
    <row r="96" spans="1:14">
      <c r="A96" s="8">
        <f t="shared" si="19"/>
        <v>11</v>
      </c>
      <c r="B96" s="9">
        <f t="shared" si="17"/>
        <v>1</v>
      </c>
      <c r="C96" s="9">
        <f t="shared" si="17"/>
        <v>-1</v>
      </c>
      <c r="D96" s="8">
        <f t="shared" si="18"/>
        <v>-1</v>
      </c>
    </row>
    <row r="97" spans="1:9">
      <c r="A97" s="8">
        <f t="shared" si="19"/>
        <v>12</v>
      </c>
      <c r="B97" s="9">
        <f t="shared" si="17"/>
        <v>1</v>
      </c>
      <c r="C97" s="9">
        <f t="shared" si="17"/>
        <v>-1</v>
      </c>
      <c r="D97" s="8">
        <f t="shared" si="18"/>
        <v>-1</v>
      </c>
    </row>
    <row r="98" spans="1:9">
      <c r="D98" s="16">
        <f>SUM(D90:D97)</f>
        <v>-4</v>
      </c>
      <c r="I98" s="16">
        <f>SUM(I90:I97)</f>
        <v>4</v>
      </c>
    </row>
    <row r="101" spans="1:9" s="15" customFormat="1" ht="30">
      <c r="A101" s="15" t="s">
        <v>14</v>
      </c>
      <c r="B101" s="15" t="s">
        <v>21</v>
      </c>
      <c r="C101" s="15" t="s">
        <v>20</v>
      </c>
      <c r="D101" s="15" t="s">
        <v>19</v>
      </c>
    </row>
    <row r="102" spans="1:9">
      <c r="A102" s="8">
        <v>1</v>
      </c>
      <c r="B102" s="9">
        <v>11</v>
      </c>
      <c r="C102" s="9">
        <f>COUNTIF(D54:D64,1)</f>
        <v>10</v>
      </c>
      <c r="D102" s="9">
        <f>COUNTIF(D54:D64,-1)</f>
        <v>1</v>
      </c>
      <c r="E102" s="8">
        <f t="shared" ref="E102:E112" si="20">C102-D102</f>
        <v>9</v>
      </c>
    </row>
    <row r="103" spans="1:9">
      <c r="A103" s="8">
        <f t="shared" ref="A103:A112" si="21">A102+1</f>
        <v>2</v>
      </c>
      <c r="B103" s="9">
        <f t="shared" ref="B103:B112" si="22">B102-1</f>
        <v>10</v>
      </c>
      <c r="C103" s="9">
        <f>COUNTIF(D67:D76,1)</f>
        <v>5</v>
      </c>
      <c r="D103" s="9">
        <f>COUNTIF(D67:D76,-1)</f>
        <v>5</v>
      </c>
      <c r="E103" s="8">
        <f t="shared" si="20"/>
        <v>0</v>
      </c>
    </row>
    <row r="104" spans="1:9">
      <c r="A104" s="8">
        <f t="shared" si="21"/>
        <v>3</v>
      </c>
      <c r="B104" s="9">
        <f t="shared" si="22"/>
        <v>9</v>
      </c>
      <c r="C104" s="9">
        <f>COUNTIF(D79:D87,1)</f>
        <v>5</v>
      </c>
      <c r="D104" s="9">
        <f>COUNTIF(D79:D87,-1)</f>
        <v>4</v>
      </c>
      <c r="E104" s="8">
        <f t="shared" si="20"/>
        <v>1</v>
      </c>
    </row>
    <row r="105" spans="1:9">
      <c r="A105" s="8">
        <f t="shared" si="21"/>
        <v>4</v>
      </c>
      <c r="B105" s="9">
        <f t="shared" si="22"/>
        <v>8</v>
      </c>
      <c r="C105" s="9">
        <f>COUNTIF(D90:D97,1)</f>
        <v>2</v>
      </c>
      <c r="D105" s="9">
        <f>COUNTIF(D90:D97,-1)</f>
        <v>6</v>
      </c>
      <c r="E105" s="8">
        <f t="shared" si="20"/>
        <v>-4</v>
      </c>
    </row>
    <row r="106" spans="1:9">
      <c r="A106" s="8">
        <f t="shared" si="21"/>
        <v>5</v>
      </c>
      <c r="B106" s="9">
        <f t="shared" si="22"/>
        <v>7</v>
      </c>
      <c r="C106" s="9">
        <f>COUNTIF(I54:I64,1)</f>
        <v>6</v>
      </c>
      <c r="D106" s="9">
        <f>COUNTIF(I54:I64,-1)</f>
        <v>1</v>
      </c>
      <c r="E106" s="8">
        <f t="shared" si="20"/>
        <v>5</v>
      </c>
    </row>
    <row r="107" spans="1:9">
      <c r="A107" s="8">
        <f t="shared" si="21"/>
        <v>6</v>
      </c>
      <c r="B107" s="9">
        <f t="shared" si="22"/>
        <v>6</v>
      </c>
      <c r="C107" s="9">
        <f>COUNTIF(I67:I76,1)</f>
        <v>6</v>
      </c>
      <c r="D107" s="9">
        <f>COUNTIF(I67:I76,-1)</f>
        <v>0</v>
      </c>
      <c r="E107" s="8">
        <f t="shared" si="20"/>
        <v>6</v>
      </c>
    </row>
    <row r="108" spans="1:9">
      <c r="A108" s="8">
        <f t="shared" si="21"/>
        <v>7</v>
      </c>
      <c r="B108" s="9">
        <f t="shared" si="22"/>
        <v>5</v>
      </c>
      <c r="C108" s="9">
        <f>COUNTIF(I79:I87,1)</f>
        <v>3</v>
      </c>
      <c r="D108" s="9">
        <f>COUNTIF(I79:I87,-1)</f>
        <v>2</v>
      </c>
      <c r="E108" s="8">
        <f t="shared" si="20"/>
        <v>1</v>
      </c>
    </row>
    <row r="109" spans="1:9">
      <c r="A109" s="8">
        <f t="shared" si="21"/>
        <v>8</v>
      </c>
      <c r="B109" s="9">
        <f t="shared" si="22"/>
        <v>4</v>
      </c>
      <c r="C109" s="9">
        <f>COUNTIF(I90:I97,1)</f>
        <v>4</v>
      </c>
      <c r="D109" s="9">
        <f>COUNTIF(I90:I97,-1)</f>
        <v>0</v>
      </c>
      <c r="E109" s="8">
        <f t="shared" si="20"/>
        <v>4</v>
      </c>
    </row>
    <row r="110" spans="1:9">
      <c r="A110" s="8">
        <f t="shared" si="21"/>
        <v>9</v>
      </c>
      <c r="B110" s="9">
        <f t="shared" si="22"/>
        <v>3</v>
      </c>
      <c r="C110" s="9">
        <f>COUNTIF(N54:N64,1)</f>
        <v>2</v>
      </c>
      <c r="D110" s="9">
        <f>COUNTIF(N54:N64,-1)</f>
        <v>1</v>
      </c>
      <c r="E110" s="8">
        <f t="shared" si="20"/>
        <v>1</v>
      </c>
    </row>
    <row r="111" spans="1:9">
      <c r="A111" s="8">
        <f t="shared" si="21"/>
        <v>10</v>
      </c>
      <c r="B111" s="9">
        <f t="shared" si="22"/>
        <v>2</v>
      </c>
      <c r="C111" s="9">
        <f>COUNTIF(N67:N76,1)</f>
        <v>2</v>
      </c>
      <c r="D111" s="9">
        <f>COUNTIF(N67:N76,-1)</f>
        <v>0</v>
      </c>
      <c r="E111" s="8">
        <f t="shared" si="20"/>
        <v>2</v>
      </c>
    </row>
    <row r="112" spans="1:9">
      <c r="A112" s="8">
        <f t="shared" si="21"/>
        <v>11</v>
      </c>
      <c r="B112" s="9">
        <f t="shared" si="22"/>
        <v>1</v>
      </c>
      <c r="C112" s="9">
        <f>COUNTIF(N79:N87,1)</f>
        <v>1</v>
      </c>
      <c r="D112" s="9">
        <f>COUNTIF(N79:N87,-1)</f>
        <v>0</v>
      </c>
      <c r="E112" s="8">
        <f t="shared" si="20"/>
        <v>1</v>
      </c>
    </row>
    <row r="113" spans="1:5">
      <c r="B113" s="9">
        <f>SUM(B102:B112)</f>
        <v>66</v>
      </c>
      <c r="C113" s="9">
        <f>SUM(C102:C112)</f>
        <v>46</v>
      </c>
      <c r="D113" s="9">
        <f>SUM(D102:D112)</f>
        <v>20</v>
      </c>
    </row>
    <row r="114" spans="1:5">
      <c r="B114" s="8"/>
    </row>
    <row r="115" spans="1:5">
      <c r="A115" s="8" t="s">
        <v>18</v>
      </c>
      <c r="B115" s="10">
        <f>(C113-D113)/B113</f>
        <v>0.39393939393939392</v>
      </c>
    </row>
    <row r="117" spans="1:5" customFormat="1" ht="15.75">
      <c r="A117" t="s">
        <v>17</v>
      </c>
    </row>
    <row r="118" spans="1:5" customFormat="1" ht="15.75"/>
    <row r="119" spans="1:5" customFormat="1" ht="15.75">
      <c r="A119" s="87" t="s">
        <v>8</v>
      </c>
      <c r="B119" s="88"/>
      <c r="C119" s="88"/>
      <c r="D119" s="88"/>
      <c r="E119" s="88"/>
    </row>
    <row r="120" spans="1:5" customFormat="1" ht="15.75">
      <c r="A120" s="13" t="s">
        <v>16</v>
      </c>
      <c r="B120" s="12">
        <f>B140</f>
        <v>0.51048951048951052</v>
      </c>
    </row>
    <row r="121" spans="1:5" customFormat="1" ht="15.75"/>
    <row r="122" spans="1:5" customFormat="1" ht="15.75"/>
    <row r="123" spans="1:5" customFormat="1" ht="15.75">
      <c r="A123" s="87" t="s">
        <v>6</v>
      </c>
      <c r="B123" s="88"/>
      <c r="C123" s="88"/>
      <c r="D123" s="88"/>
      <c r="E123" s="88"/>
    </row>
    <row r="124" spans="1:5" customFormat="1" ht="15.75"/>
    <row r="125" spans="1:5" customFormat="1" ht="15.75">
      <c r="A125" s="8" t="s">
        <v>15</v>
      </c>
      <c r="B125" s="9"/>
      <c r="C125" s="9"/>
    </row>
    <row r="126" spans="1:5" customFormat="1" ht="15.75">
      <c r="A126" s="8" t="s">
        <v>14</v>
      </c>
      <c r="B126" s="9" t="s">
        <v>13</v>
      </c>
      <c r="C126" s="9" t="s">
        <v>12</v>
      </c>
    </row>
    <row r="127" spans="1:5" customFormat="1" ht="15.75">
      <c r="A127" s="8">
        <v>1</v>
      </c>
      <c r="B127" s="9">
        <f t="shared" ref="B127:C138" si="23">RANK(B4,B$4:B$15)</f>
        <v>3</v>
      </c>
      <c r="C127" s="9">
        <f t="shared" si="23"/>
        <v>4</v>
      </c>
    </row>
    <row r="128" spans="1:5" customFormat="1" ht="15.75">
      <c r="A128" s="8">
        <f t="shared" ref="A128:A138" si="24">A127+1</f>
        <v>2</v>
      </c>
      <c r="B128" s="9">
        <f t="shared" si="23"/>
        <v>9</v>
      </c>
      <c r="C128" s="9">
        <f t="shared" si="23"/>
        <v>8</v>
      </c>
    </row>
    <row r="129" spans="1:5" customFormat="1" ht="15.75">
      <c r="A129" s="8">
        <f t="shared" si="24"/>
        <v>3</v>
      </c>
      <c r="B129" s="9">
        <f t="shared" si="23"/>
        <v>5</v>
      </c>
      <c r="C129" s="9">
        <f t="shared" si="23"/>
        <v>10</v>
      </c>
    </row>
    <row r="130" spans="1:5" customFormat="1" ht="15.75">
      <c r="A130" s="8">
        <f t="shared" si="24"/>
        <v>4</v>
      </c>
      <c r="B130" s="9">
        <f t="shared" si="23"/>
        <v>11</v>
      </c>
      <c r="C130" s="9">
        <f t="shared" si="23"/>
        <v>2</v>
      </c>
    </row>
    <row r="131" spans="1:5" customFormat="1" ht="15.75">
      <c r="A131" s="8">
        <f t="shared" si="24"/>
        <v>5</v>
      </c>
      <c r="B131" s="9">
        <f t="shared" si="23"/>
        <v>6</v>
      </c>
      <c r="C131" s="9">
        <f t="shared" si="23"/>
        <v>5</v>
      </c>
    </row>
    <row r="132" spans="1:5" customFormat="1" ht="15.75">
      <c r="A132" s="8">
        <f t="shared" si="24"/>
        <v>6</v>
      </c>
      <c r="B132" s="9">
        <f t="shared" si="23"/>
        <v>12</v>
      </c>
      <c r="C132" s="9">
        <f t="shared" si="23"/>
        <v>12</v>
      </c>
    </row>
    <row r="133" spans="1:5" customFormat="1" ht="15.75">
      <c r="A133" s="8">
        <f t="shared" si="24"/>
        <v>7</v>
      </c>
      <c r="B133" s="9">
        <f t="shared" si="23"/>
        <v>7</v>
      </c>
      <c r="C133" s="9">
        <f t="shared" si="23"/>
        <v>11</v>
      </c>
    </row>
    <row r="134" spans="1:5" customFormat="1" ht="15.75">
      <c r="A134" s="8">
        <f t="shared" si="24"/>
        <v>8</v>
      </c>
      <c r="B134" s="9">
        <f t="shared" si="23"/>
        <v>1</v>
      </c>
      <c r="C134" s="9">
        <f t="shared" si="23"/>
        <v>1</v>
      </c>
    </row>
    <row r="135" spans="1:5">
      <c r="A135" s="8">
        <f t="shared" si="24"/>
        <v>9</v>
      </c>
      <c r="B135" s="9">
        <f t="shared" si="23"/>
        <v>10</v>
      </c>
      <c r="C135" s="9">
        <f t="shared" si="23"/>
        <v>7</v>
      </c>
    </row>
    <row r="136" spans="1:5">
      <c r="A136" s="8">
        <f t="shared" si="24"/>
        <v>10</v>
      </c>
      <c r="B136" s="9">
        <f t="shared" si="23"/>
        <v>4</v>
      </c>
      <c r="C136" s="9">
        <f t="shared" si="23"/>
        <v>6</v>
      </c>
    </row>
    <row r="137" spans="1:5">
      <c r="A137" s="8">
        <f t="shared" si="24"/>
        <v>11</v>
      </c>
      <c r="B137" s="9">
        <f t="shared" si="23"/>
        <v>8</v>
      </c>
      <c r="C137" s="9">
        <f t="shared" si="23"/>
        <v>9</v>
      </c>
    </row>
    <row r="138" spans="1:5">
      <c r="A138" s="8">
        <f t="shared" si="24"/>
        <v>12</v>
      </c>
      <c r="B138" s="9">
        <f t="shared" si="23"/>
        <v>2</v>
      </c>
      <c r="C138" s="9">
        <f t="shared" si="23"/>
        <v>3</v>
      </c>
    </row>
    <row r="140" spans="1:5">
      <c r="A140" s="14" t="s">
        <v>11</v>
      </c>
      <c r="B140" s="10">
        <f>CORREL(B127:B138,C127:C138)</f>
        <v>0.51048951048951052</v>
      </c>
    </row>
    <row r="141" spans="1:5">
      <c r="A141" s="8" t="s">
        <v>10</v>
      </c>
    </row>
    <row r="143" spans="1:5" ht="15.75">
      <c r="A143" t="s">
        <v>9</v>
      </c>
      <c r="B143"/>
      <c r="C143"/>
      <c r="D143"/>
      <c r="E143"/>
    </row>
    <row r="144" spans="1:5" ht="15.75">
      <c r="A144"/>
      <c r="B144"/>
      <c r="C144"/>
      <c r="D144"/>
      <c r="E144"/>
    </row>
    <row r="145" spans="1:5">
      <c r="A145" s="87" t="s">
        <v>8</v>
      </c>
      <c r="B145" s="88"/>
      <c r="C145" s="88"/>
      <c r="D145" s="88"/>
      <c r="E145" s="88"/>
    </row>
    <row r="146" spans="1:5" ht="15.75">
      <c r="A146" s="13" t="s">
        <v>7</v>
      </c>
      <c r="B146" s="12">
        <f>B151</f>
        <v>0.57454635946236743</v>
      </c>
      <c r="C146"/>
      <c r="D146"/>
      <c r="E146"/>
    </row>
    <row r="147" spans="1:5" ht="15.75">
      <c r="A147"/>
      <c r="B147"/>
      <c r="C147"/>
      <c r="D147"/>
      <c r="E147"/>
    </row>
    <row r="148" spans="1:5" ht="15.75">
      <c r="A148"/>
      <c r="B148"/>
      <c r="C148"/>
      <c r="D148"/>
      <c r="E148"/>
    </row>
    <row r="149" spans="1:5">
      <c r="A149" s="87" t="s">
        <v>6</v>
      </c>
      <c r="B149" s="88"/>
      <c r="C149" s="88"/>
      <c r="D149" s="88"/>
      <c r="E149" s="88"/>
    </row>
    <row r="151" spans="1:5" ht="28.15" customHeight="1">
      <c r="A151" s="11" t="s">
        <v>5</v>
      </c>
      <c r="B151" s="10">
        <f>CORREL(B4:B15,C4:C15)</f>
        <v>0.57454635946236743</v>
      </c>
      <c r="C151" s="8"/>
    </row>
    <row r="152" spans="1:5" ht="12.6" customHeight="1">
      <c r="B152" s="8"/>
      <c r="C152" s="8"/>
    </row>
    <row r="155" spans="1:5">
      <c r="B155" s="8"/>
    </row>
  </sheetData>
  <mergeCells count="9">
    <mergeCell ref="A123:E123"/>
    <mergeCell ref="A145:E145"/>
    <mergeCell ref="A149:E149"/>
    <mergeCell ref="B2:C2"/>
    <mergeCell ref="A21:E21"/>
    <mergeCell ref="A25:E25"/>
    <mergeCell ref="A48:E48"/>
    <mergeCell ref="A52:E52"/>
    <mergeCell ref="A119:E1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7D9E-FDED-4465-A1B3-2CE47163BC0C}">
  <dimension ref="A1:Z1006"/>
  <sheetViews>
    <sheetView topLeftCell="A5" workbookViewId="0"/>
  </sheetViews>
  <sheetFormatPr defaultColWidth="13" defaultRowHeight="15" customHeight="1"/>
  <cols>
    <col min="1" max="1" width="29.125" style="30" customWidth="1"/>
    <col min="2" max="2" width="12.25" style="30" customWidth="1"/>
    <col min="3" max="3" width="13.625" style="30" customWidth="1"/>
    <col min="4" max="4" width="12.875" style="30" customWidth="1"/>
    <col min="5" max="5" width="12.25" style="30" customWidth="1"/>
    <col min="6" max="26" width="7.75" style="30" customWidth="1"/>
    <col min="27" max="16384" width="13" style="30"/>
  </cols>
  <sheetData>
    <row r="1" spans="1:8" ht="14.25" customHeight="1"/>
    <row r="2" spans="1:8" ht="14.25" customHeight="1"/>
    <row r="3" spans="1:8" ht="14.25" customHeight="1">
      <c r="A3" s="54" t="s">
        <v>122</v>
      </c>
    </row>
    <row r="4" spans="1:8" ht="14.25" customHeight="1">
      <c r="A4" s="54" t="s">
        <v>121</v>
      </c>
    </row>
    <row r="5" spans="1:8" ht="14.25" customHeight="1" thickBot="1"/>
    <row r="6" spans="1:8" ht="14.25" customHeight="1" thickBot="1">
      <c r="A6" s="49" t="s">
        <v>114</v>
      </c>
      <c r="B6" s="48" t="s">
        <v>113</v>
      </c>
      <c r="C6" s="47" t="s">
        <v>112</v>
      </c>
      <c r="D6" s="47" t="s">
        <v>111</v>
      </c>
      <c r="E6" s="47" t="s">
        <v>110</v>
      </c>
    </row>
    <row r="7" spans="1:8" ht="14.25" customHeight="1" thickBot="1">
      <c r="A7" s="45" t="s">
        <v>109</v>
      </c>
      <c r="B7" s="43"/>
      <c r="C7" s="43">
        <v>2</v>
      </c>
      <c r="D7" s="43">
        <v>120</v>
      </c>
      <c r="E7" s="43"/>
    </row>
    <row r="8" spans="1:8" ht="14.25" customHeight="1" thickBot="1">
      <c r="A8" s="45" t="s">
        <v>108</v>
      </c>
      <c r="B8" s="43">
        <v>138</v>
      </c>
      <c r="C8" s="43">
        <v>6</v>
      </c>
      <c r="D8" s="43"/>
      <c r="E8" s="43">
        <v>119</v>
      </c>
    </row>
    <row r="9" spans="1:8" ht="14.25" customHeight="1"/>
    <row r="10" spans="1:8" ht="14.25" customHeight="1"/>
    <row r="11" spans="1:8" ht="14.25" customHeight="1">
      <c r="A11" s="92" t="s">
        <v>120</v>
      </c>
      <c r="B11" s="93"/>
      <c r="C11" s="93"/>
      <c r="D11" s="93"/>
      <c r="E11" s="93"/>
      <c r="F11" s="93"/>
      <c r="G11" s="93"/>
      <c r="H11" s="93"/>
    </row>
    <row r="12" spans="1:8" ht="14.25" customHeight="1">
      <c r="A12" s="93"/>
      <c r="B12" s="93"/>
      <c r="C12" s="93"/>
      <c r="D12" s="93"/>
      <c r="E12" s="93"/>
      <c r="F12" s="93"/>
      <c r="G12" s="93"/>
      <c r="H12" s="93"/>
    </row>
    <row r="13" spans="1:8" ht="14.25" customHeight="1">
      <c r="A13" s="33"/>
      <c r="B13" s="33"/>
      <c r="C13" s="33"/>
      <c r="D13" s="33"/>
      <c r="E13" s="33"/>
      <c r="F13" s="33"/>
      <c r="G13" s="33"/>
      <c r="H13" s="33"/>
    </row>
    <row r="14" spans="1:8" ht="14.25" customHeight="1"/>
    <row r="15" spans="1:8" ht="14.25" customHeight="1">
      <c r="A15" s="90" t="s">
        <v>8</v>
      </c>
      <c r="B15" s="91"/>
      <c r="C15" s="91"/>
      <c r="D15" s="91"/>
      <c r="E15" s="91"/>
    </row>
    <row r="16" spans="1:8" ht="14.25" customHeight="1">
      <c r="A16" s="53" t="s">
        <v>119</v>
      </c>
    </row>
    <row r="17" spans="1:26" ht="14.25" customHeight="1"/>
    <row r="18" spans="1:26" ht="14.25" customHeight="1"/>
    <row r="19" spans="1:26" ht="14.25" customHeight="1">
      <c r="A19" s="90" t="s">
        <v>6</v>
      </c>
      <c r="B19" s="91"/>
      <c r="C19" s="91"/>
      <c r="D19" s="91"/>
      <c r="E19" s="91"/>
    </row>
    <row r="20" spans="1:26" ht="14.25" customHeight="1">
      <c r="A20" s="52"/>
      <c r="B20" s="51"/>
      <c r="C20" s="51"/>
      <c r="D20" s="51"/>
      <c r="E20" s="51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4.25" customHeight="1">
      <c r="A21" s="31" t="s">
        <v>118</v>
      </c>
      <c r="B21" s="51"/>
      <c r="C21" s="51"/>
      <c r="D21" s="51"/>
      <c r="E21" s="51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25" customHeight="1">
      <c r="A22" s="31" t="s">
        <v>117</v>
      </c>
      <c r="B22" s="51"/>
      <c r="C22" s="51"/>
      <c r="D22" s="51"/>
      <c r="E22" s="51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4.25" customHeight="1"/>
    <row r="24" spans="1:26" ht="14.25" customHeight="1">
      <c r="A24" s="31" t="s">
        <v>116</v>
      </c>
    </row>
    <row r="25" spans="1:26" ht="14.25" customHeight="1"/>
    <row r="26" spans="1:26" ht="14.25" customHeight="1" thickBot="1">
      <c r="A26" s="31" t="s">
        <v>115</v>
      </c>
    </row>
    <row r="27" spans="1:26" ht="14.25" customHeight="1" thickBot="1">
      <c r="A27" s="49" t="s">
        <v>114</v>
      </c>
      <c r="B27" s="48" t="s">
        <v>113</v>
      </c>
      <c r="C27" s="47" t="s">
        <v>112</v>
      </c>
      <c r="D27" s="47" t="s">
        <v>111</v>
      </c>
      <c r="E27" s="47" t="s">
        <v>110</v>
      </c>
    </row>
    <row r="28" spans="1:26" ht="14.25" customHeight="1" thickBot="1">
      <c r="A28" s="45" t="s">
        <v>109</v>
      </c>
      <c r="B28" s="44">
        <f>D28+C28</f>
        <v>122</v>
      </c>
      <c r="C28" s="43">
        <v>2</v>
      </c>
      <c r="D28" s="43">
        <v>120</v>
      </c>
      <c r="E28" s="46">
        <f>B28-LN(500)/2*C28</f>
        <v>115.78539190157781</v>
      </c>
    </row>
    <row r="29" spans="1:26" ht="14.25" customHeight="1" thickBot="1">
      <c r="A29" s="45" t="s">
        <v>108</v>
      </c>
      <c r="B29" s="43">
        <v>138</v>
      </c>
      <c r="C29" s="43">
        <v>6</v>
      </c>
      <c r="D29" s="44">
        <f>B29-C29</f>
        <v>132</v>
      </c>
      <c r="E29" s="43">
        <v>119</v>
      </c>
    </row>
    <row r="30" spans="1:26" ht="14.25" customHeight="1"/>
    <row r="31" spans="1:26" ht="14.25" customHeight="1"/>
    <row r="32" spans="1:26" ht="14.25" customHeight="1">
      <c r="A32" s="42"/>
      <c r="B32" s="42"/>
      <c r="C32" s="42"/>
      <c r="D32" s="42"/>
      <c r="E32" s="42"/>
      <c r="F32" s="42"/>
      <c r="G32" s="42"/>
      <c r="H32" s="42"/>
    </row>
    <row r="33" spans="1:26" ht="14.25" customHeight="1">
      <c r="A33" s="94" t="s">
        <v>107</v>
      </c>
      <c r="B33" s="93"/>
      <c r="C33" s="93"/>
      <c r="D33" s="93"/>
      <c r="E33" s="93"/>
      <c r="F33" s="93"/>
      <c r="G33" s="93"/>
      <c r="H33" s="93"/>
    </row>
    <row r="34" spans="1:26" ht="14.25" customHeight="1">
      <c r="A34" s="41"/>
    </row>
    <row r="35" spans="1:26" ht="32.25" customHeight="1">
      <c r="A35" s="40" t="s">
        <v>106</v>
      </c>
      <c r="B35" s="39" t="s">
        <v>105</v>
      </c>
      <c r="C35" s="37">
        <v>1.7999999999999999E-2</v>
      </c>
      <c r="D35" s="38" t="s">
        <v>104</v>
      </c>
      <c r="E35" s="37">
        <v>0.04</v>
      </c>
      <c r="F35" s="36" t="s">
        <v>103</v>
      </c>
      <c r="G35" s="35">
        <v>0.1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33" customHeight="1">
      <c r="A36" s="40" t="s">
        <v>102</v>
      </c>
      <c r="B36" s="39" t="s">
        <v>101</v>
      </c>
      <c r="C36" s="37">
        <v>-1.2E-2</v>
      </c>
      <c r="D36" s="38" t="s">
        <v>100</v>
      </c>
      <c r="E36" s="37">
        <v>0.08</v>
      </c>
      <c r="F36" s="36" t="s">
        <v>99</v>
      </c>
      <c r="G36" s="35">
        <v>0.3</v>
      </c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92" t="s">
        <v>98</v>
      </c>
      <c r="B37" s="93"/>
      <c r="C37" s="93"/>
      <c r="D37" s="93"/>
      <c r="E37" s="93"/>
      <c r="F37" s="93"/>
      <c r="G37" s="93"/>
      <c r="H37" s="93"/>
    </row>
    <row r="38" spans="1:26" ht="14.25" customHeight="1">
      <c r="A38" s="93"/>
      <c r="B38" s="93"/>
      <c r="C38" s="93"/>
      <c r="D38" s="93"/>
      <c r="E38" s="93"/>
      <c r="F38" s="93"/>
      <c r="G38" s="93"/>
      <c r="H38" s="93"/>
    </row>
    <row r="39" spans="1:26" ht="14.25" customHeight="1">
      <c r="A39" s="33"/>
      <c r="B39" s="33"/>
      <c r="C39" s="33"/>
      <c r="D39" s="33"/>
      <c r="E39" s="33"/>
      <c r="F39" s="33"/>
      <c r="G39" s="33"/>
      <c r="H39" s="33"/>
    </row>
    <row r="40" spans="1:26" ht="14.25" customHeight="1"/>
    <row r="41" spans="1:26" ht="14.25" customHeight="1">
      <c r="A41" s="90" t="s">
        <v>8</v>
      </c>
      <c r="B41" s="91"/>
      <c r="C41" s="91"/>
      <c r="D41" s="91"/>
      <c r="E41" s="91"/>
    </row>
    <row r="42" spans="1:26" ht="14.25" customHeight="1">
      <c r="A42" s="31" t="s">
        <v>97</v>
      </c>
      <c r="B42" s="32">
        <f>C35*B47+C36*B48</f>
        <v>1.0499999999999995E-2</v>
      </c>
    </row>
    <row r="43" spans="1:26" ht="14.25" customHeight="1">
      <c r="A43" s="31" t="s">
        <v>96</v>
      </c>
      <c r="B43" s="32">
        <f>B51+B52</f>
        <v>2.96875E-3</v>
      </c>
    </row>
    <row r="44" spans="1:26" ht="14.25" customHeight="1"/>
    <row r="45" spans="1:26" ht="14.25" customHeight="1"/>
    <row r="46" spans="1:26" ht="14.25" customHeight="1">
      <c r="A46" s="90" t="s">
        <v>6</v>
      </c>
      <c r="B46" s="91"/>
      <c r="C46" s="91"/>
      <c r="D46" s="91"/>
      <c r="E46" s="91"/>
    </row>
    <row r="47" spans="1:26" ht="14.25" customHeight="1">
      <c r="A47" s="31" t="s">
        <v>95</v>
      </c>
      <c r="B47" s="31">
        <f>G36/SUM(G35:G36)</f>
        <v>0.74999999999999989</v>
      </c>
    </row>
    <row r="48" spans="1:26" ht="14.25" customHeight="1">
      <c r="A48" s="31" t="s">
        <v>94</v>
      </c>
      <c r="B48" s="31">
        <f>G35/SUM(G35:G36)</f>
        <v>0.25</v>
      </c>
    </row>
    <row r="49" spans="1:2" ht="14.25" customHeight="1">
      <c r="A49" s="31"/>
      <c r="B49" s="31"/>
    </row>
    <row r="50" spans="1:2" ht="14.25" customHeight="1">
      <c r="A50" s="31" t="s">
        <v>93</v>
      </c>
      <c r="B50" s="31">
        <f>B47*C35^2+B48*C36^2</f>
        <v>2.7899999999999995E-4</v>
      </c>
    </row>
    <row r="51" spans="1:2" ht="14.25" customHeight="1">
      <c r="A51" s="31" t="s">
        <v>92</v>
      </c>
      <c r="B51" s="31">
        <f>B50-B42^2</f>
        <v>1.6875000000000006E-4</v>
      </c>
    </row>
    <row r="52" spans="1:2" ht="14.25" customHeight="1">
      <c r="A52" s="31" t="s">
        <v>91</v>
      </c>
      <c r="B52" s="31">
        <f>B47*E35^2+B48*E36^2</f>
        <v>2.8E-3</v>
      </c>
    </row>
    <row r="53" spans="1:2" ht="14.25" customHeight="1"/>
    <row r="54" spans="1:2" ht="14.25" customHeight="1"/>
    <row r="55" spans="1:2" ht="14.25" customHeight="1"/>
    <row r="56" spans="1:2" ht="14.25" customHeight="1"/>
    <row r="57" spans="1:2" ht="14.25" customHeight="1"/>
    <row r="58" spans="1:2" ht="14.25" customHeight="1"/>
    <row r="59" spans="1:2" ht="14.25" customHeight="1"/>
    <row r="60" spans="1:2" ht="14.25" customHeight="1"/>
    <row r="61" spans="1:2" ht="14.25" customHeight="1"/>
    <row r="62" spans="1:2" ht="14.25" customHeight="1"/>
    <row r="63" spans="1:2" ht="14.25" customHeight="1"/>
    <row r="64" spans="1:2" ht="14.25" customHeight="1"/>
    <row r="65" s="30" customFormat="1" ht="14.25" customHeight="1"/>
    <row r="66" s="30" customFormat="1" ht="14.25" customHeight="1"/>
    <row r="67" s="30" customFormat="1" ht="14.25" customHeight="1"/>
    <row r="68" s="30" customFormat="1" ht="14.25" customHeight="1"/>
    <row r="69" s="30" customFormat="1" ht="14.25" customHeight="1"/>
    <row r="70" s="30" customFormat="1" ht="14.25" customHeight="1"/>
    <row r="71" s="30" customFormat="1" ht="14.25" customHeight="1"/>
    <row r="72" s="30" customFormat="1" ht="14.25" customHeight="1"/>
    <row r="73" s="30" customFormat="1" ht="14.25" customHeight="1"/>
    <row r="74" s="30" customFormat="1" ht="14.25" customHeight="1"/>
    <row r="75" s="30" customFormat="1" ht="14.25" customHeight="1"/>
    <row r="76" s="30" customFormat="1" ht="14.25" customHeight="1"/>
    <row r="77" s="30" customFormat="1" ht="14.25" customHeight="1"/>
    <row r="78" s="30" customFormat="1" ht="14.25" customHeight="1"/>
    <row r="79" s="30" customFormat="1" ht="14.25" customHeight="1"/>
    <row r="80" s="30" customFormat="1" ht="14.25" customHeight="1"/>
    <row r="81" s="30" customFormat="1" ht="14.25" customHeight="1"/>
    <row r="82" s="30" customFormat="1" ht="14.25" customHeight="1"/>
    <row r="83" s="30" customFormat="1" ht="14.25" customHeight="1"/>
    <row r="84" s="30" customFormat="1" ht="14.25" customHeight="1"/>
    <row r="85" s="30" customFormat="1" ht="14.25" customHeight="1"/>
    <row r="86" s="30" customFormat="1" ht="14.25" customHeight="1"/>
    <row r="87" s="30" customFormat="1" ht="14.25" customHeight="1"/>
    <row r="88" s="30" customFormat="1" ht="14.25" customHeight="1"/>
    <row r="89" s="30" customFormat="1" ht="14.25" customHeight="1"/>
    <row r="90" s="30" customFormat="1" ht="14.25" customHeight="1"/>
    <row r="91" s="30" customFormat="1" ht="14.25" customHeight="1"/>
    <row r="92" s="30" customFormat="1" ht="14.25" customHeight="1"/>
    <row r="93" s="30" customFormat="1" ht="14.25" customHeight="1"/>
    <row r="94" s="30" customFormat="1" ht="14.25" customHeight="1"/>
    <row r="95" s="30" customFormat="1" ht="14.25" customHeight="1"/>
    <row r="96" s="30" customFormat="1" ht="14.25" customHeight="1"/>
    <row r="97" s="30" customFormat="1" ht="14.25" customHeight="1"/>
    <row r="98" s="30" customFormat="1" ht="14.25" customHeight="1"/>
    <row r="99" s="30" customFormat="1" ht="14.25" customHeight="1"/>
    <row r="100" s="30" customFormat="1" ht="14.25" customHeight="1"/>
    <row r="101" s="30" customFormat="1" ht="14.25" customHeight="1"/>
    <row r="102" s="30" customFormat="1" ht="14.25" customHeight="1"/>
    <row r="103" s="30" customFormat="1" ht="14.25" customHeight="1"/>
    <row r="104" s="30" customFormat="1" ht="14.25" customHeight="1"/>
    <row r="105" s="30" customFormat="1" ht="14.25" customHeight="1"/>
    <row r="106" s="30" customFormat="1" ht="14.25" customHeight="1"/>
    <row r="107" s="30" customFormat="1" ht="14.25" customHeight="1"/>
    <row r="108" s="30" customFormat="1" ht="14.25" customHeight="1"/>
    <row r="109" s="30" customFormat="1" ht="14.25" customHeight="1"/>
    <row r="110" s="30" customFormat="1" ht="14.25" customHeight="1"/>
    <row r="111" s="30" customFormat="1" ht="14.25" customHeight="1"/>
    <row r="112" s="30" customFormat="1" ht="14.25" customHeight="1"/>
    <row r="113" s="30" customFormat="1" ht="14.25" customHeight="1"/>
    <row r="114" s="30" customFormat="1" ht="14.25" customHeight="1"/>
    <row r="115" s="30" customFormat="1" ht="14.25" customHeight="1"/>
    <row r="116" s="30" customFormat="1" ht="14.25" customHeight="1"/>
    <row r="117" s="30" customFormat="1" ht="14.25" customHeight="1"/>
    <row r="118" s="30" customFormat="1" ht="14.25" customHeight="1"/>
    <row r="119" s="30" customFormat="1" ht="14.25" customHeight="1"/>
    <row r="120" s="30" customFormat="1" ht="14.25" customHeight="1"/>
    <row r="121" s="30" customFormat="1" ht="14.25" customHeight="1"/>
    <row r="122" s="30" customFormat="1" ht="14.25" customHeight="1"/>
    <row r="123" s="30" customFormat="1" ht="14.25" customHeight="1"/>
    <row r="124" s="30" customFormat="1" ht="14.25" customHeight="1"/>
    <row r="125" s="30" customFormat="1" ht="14.25" customHeight="1"/>
    <row r="126" s="30" customFormat="1" ht="14.25" customHeight="1"/>
    <row r="127" s="30" customFormat="1" ht="14.25" customHeight="1"/>
    <row r="128" s="30" customFormat="1" ht="14.25" customHeight="1"/>
    <row r="129" s="30" customFormat="1" ht="14.25" customHeight="1"/>
    <row r="130" s="30" customFormat="1" ht="14.25" customHeight="1"/>
    <row r="131" s="30" customFormat="1" ht="14.25" customHeight="1"/>
    <row r="132" s="30" customFormat="1" ht="14.25" customHeight="1"/>
    <row r="133" s="30" customFormat="1" ht="14.25" customHeight="1"/>
    <row r="134" s="30" customFormat="1" ht="14.25" customHeight="1"/>
    <row r="135" s="30" customFormat="1" ht="14.25" customHeight="1"/>
    <row r="136" s="30" customFormat="1" ht="14.25" customHeight="1"/>
    <row r="137" s="30" customFormat="1" ht="14.25" customHeight="1"/>
    <row r="138" s="30" customFormat="1" ht="14.25" customHeight="1"/>
    <row r="139" s="30" customFormat="1" ht="14.25" customHeight="1"/>
    <row r="140" s="30" customFormat="1" ht="14.25" customHeight="1"/>
    <row r="141" s="30" customFormat="1" ht="14.25" customHeight="1"/>
    <row r="142" s="30" customFormat="1" ht="14.25" customHeight="1"/>
    <row r="143" s="30" customFormat="1" ht="14.25" customHeight="1"/>
    <row r="144" s="30" customFormat="1" ht="14.25" customHeight="1"/>
    <row r="145" s="30" customFormat="1" ht="14.25" customHeight="1"/>
    <row r="146" s="30" customFormat="1" ht="14.25" customHeight="1"/>
    <row r="147" s="30" customFormat="1" ht="14.25" customHeight="1"/>
    <row r="148" s="30" customFormat="1" ht="14.25" customHeight="1"/>
    <row r="149" s="30" customFormat="1" ht="14.25" customHeight="1"/>
    <row r="150" s="30" customFormat="1" ht="14.25" customHeight="1"/>
    <row r="151" s="30" customFormat="1" ht="14.25" customHeight="1"/>
    <row r="152" s="30" customFormat="1" ht="14.25" customHeight="1"/>
    <row r="153" s="30" customFormat="1" ht="14.25" customHeight="1"/>
    <row r="154" s="30" customFormat="1" ht="14.25" customHeight="1"/>
    <row r="155" s="30" customFormat="1" ht="14.25" customHeight="1"/>
    <row r="156" s="30" customFormat="1" ht="14.25" customHeight="1"/>
    <row r="157" s="30" customFormat="1" ht="14.25" customHeight="1"/>
    <row r="158" s="30" customFormat="1" ht="14.25" customHeight="1"/>
    <row r="159" s="30" customFormat="1" ht="14.25" customHeight="1"/>
    <row r="160" s="30" customFormat="1" ht="14.25" customHeight="1"/>
    <row r="161" s="30" customFormat="1" ht="14.25" customHeight="1"/>
    <row r="162" s="30" customFormat="1" ht="14.25" customHeight="1"/>
    <row r="163" s="30" customFormat="1" ht="14.25" customHeight="1"/>
    <row r="164" s="30" customFormat="1" ht="14.25" customHeight="1"/>
    <row r="165" s="30" customFormat="1" ht="14.25" customHeight="1"/>
    <row r="166" s="30" customFormat="1" ht="14.25" customHeight="1"/>
    <row r="167" s="30" customFormat="1" ht="14.25" customHeight="1"/>
    <row r="168" s="30" customFormat="1" ht="14.25" customHeight="1"/>
    <row r="169" s="30" customFormat="1" ht="14.25" customHeight="1"/>
    <row r="170" s="30" customFormat="1" ht="14.25" customHeight="1"/>
    <row r="171" s="30" customFormat="1" ht="14.25" customHeight="1"/>
    <row r="172" s="30" customFormat="1" ht="14.25" customHeight="1"/>
    <row r="173" s="30" customFormat="1" ht="14.25" customHeight="1"/>
    <row r="174" s="30" customFormat="1" ht="14.25" customHeight="1"/>
    <row r="175" s="30" customFormat="1" ht="14.25" customHeight="1"/>
    <row r="176" s="30" customFormat="1" ht="14.25" customHeight="1"/>
    <row r="177" s="30" customFormat="1" ht="14.25" customHeight="1"/>
    <row r="178" s="30" customFormat="1" ht="14.25" customHeight="1"/>
    <row r="179" s="30" customFormat="1" ht="14.25" customHeight="1"/>
    <row r="180" s="30" customFormat="1" ht="14.25" customHeight="1"/>
    <row r="181" s="30" customFormat="1" ht="14.25" customHeight="1"/>
    <row r="182" s="30" customFormat="1" ht="14.25" customHeight="1"/>
    <row r="183" s="30" customFormat="1" ht="14.25" customHeight="1"/>
    <row r="184" s="30" customFormat="1" ht="14.25" customHeight="1"/>
    <row r="185" s="30" customFormat="1" ht="14.25" customHeight="1"/>
    <row r="186" s="30" customFormat="1" ht="14.25" customHeight="1"/>
    <row r="187" s="30" customFormat="1" ht="14.25" customHeight="1"/>
    <row r="188" s="30" customFormat="1" ht="14.25" customHeight="1"/>
    <row r="189" s="30" customFormat="1" ht="14.25" customHeight="1"/>
    <row r="190" s="30" customFormat="1" ht="14.25" customHeight="1"/>
    <row r="191" s="30" customFormat="1" ht="14.25" customHeight="1"/>
    <row r="192" s="30" customFormat="1" ht="14.25" customHeight="1"/>
    <row r="193" s="30" customFormat="1" ht="14.25" customHeight="1"/>
    <row r="194" s="30" customFormat="1" ht="14.25" customHeight="1"/>
    <row r="195" s="30" customFormat="1" ht="14.25" customHeight="1"/>
    <row r="196" s="30" customFormat="1" ht="14.25" customHeight="1"/>
    <row r="197" s="30" customFormat="1" ht="14.25" customHeight="1"/>
    <row r="198" s="30" customFormat="1" ht="14.25" customHeight="1"/>
    <row r="199" s="30" customFormat="1" ht="14.25" customHeight="1"/>
    <row r="200" s="30" customFormat="1" ht="14.25" customHeight="1"/>
    <row r="201" s="30" customFormat="1" ht="14.25" customHeight="1"/>
    <row r="202" s="30" customFormat="1" ht="14.25" customHeight="1"/>
    <row r="203" s="30" customFormat="1" ht="14.25" customHeight="1"/>
    <row r="204" s="30" customFormat="1" ht="14.25" customHeight="1"/>
    <row r="205" s="30" customFormat="1" ht="14.25" customHeight="1"/>
    <row r="206" s="30" customFormat="1" ht="14.25" customHeight="1"/>
    <row r="207" s="30" customFormat="1" ht="14.25" customHeight="1"/>
    <row r="208" s="30" customFormat="1" ht="14.25" customHeight="1"/>
    <row r="209" s="30" customFormat="1" ht="14.25" customHeight="1"/>
    <row r="210" s="30" customFormat="1" ht="14.25" customHeight="1"/>
    <row r="211" s="30" customFormat="1" ht="14.25" customHeight="1"/>
    <row r="212" s="30" customFormat="1" ht="14.25" customHeight="1"/>
    <row r="213" s="30" customFormat="1" ht="14.25" customHeight="1"/>
    <row r="214" s="30" customFormat="1" ht="14.25" customHeight="1"/>
    <row r="215" s="30" customFormat="1" ht="14.25" customHeight="1"/>
    <row r="216" s="30" customFormat="1" ht="14.25" customHeight="1"/>
    <row r="217" s="30" customFormat="1" ht="14.25" customHeight="1"/>
    <row r="218" s="30" customFormat="1" ht="14.25" customHeight="1"/>
    <row r="219" s="30" customFormat="1" ht="14.25" customHeight="1"/>
    <row r="220" s="30" customFormat="1" ht="14.25" customHeight="1"/>
    <row r="221" s="30" customFormat="1" ht="14.25" customHeight="1"/>
    <row r="222" s="30" customFormat="1" ht="14.25" customHeight="1"/>
    <row r="223" s="30" customFormat="1" ht="14.25" customHeight="1"/>
    <row r="224" s="30" customFormat="1" ht="14.25" customHeight="1"/>
    <row r="225" s="30" customFormat="1" ht="14.25" customHeight="1"/>
    <row r="226" s="30" customFormat="1" ht="14.25" customHeight="1"/>
    <row r="227" s="30" customFormat="1" ht="14.25" customHeight="1"/>
    <row r="228" s="30" customFormat="1" ht="14.25" customHeight="1"/>
    <row r="229" s="30" customFormat="1" ht="14.25" customHeight="1"/>
    <row r="230" s="30" customFormat="1" ht="14.25" customHeight="1"/>
    <row r="231" s="30" customFormat="1" ht="14.25" customHeight="1"/>
    <row r="232" s="30" customFormat="1" ht="14.25" customHeight="1"/>
    <row r="233" s="30" customFormat="1" ht="14.25" customHeight="1"/>
    <row r="234" s="30" customFormat="1" ht="14.25" customHeight="1"/>
    <row r="235" s="30" customFormat="1" ht="14.25" customHeight="1"/>
    <row r="236" s="30" customFormat="1" ht="14.25" customHeight="1"/>
    <row r="237" s="30" customFormat="1" ht="14.25" customHeight="1"/>
    <row r="238" s="30" customFormat="1" ht="14.25" customHeight="1"/>
    <row r="239" s="30" customFormat="1" ht="14.25" customHeight="1"/>
    <row r="240" s="30" customFormat="1" ht="14.25" customHeight="1"/>
    <row r="241" s="30" customFormat="1" ht="14.25" customHeight="1"/>
    <row r="242" s="30" customFormat="1" ht="14.25" customHeight="1"/>
    <row r="243" s="30" customFormat="1" ht="14.25" customHeight="1"/>
    <row r="244" s="30" customFormat="1" ht="14.25" customHeight="1"/>
    <row r="245" s="30" customFormat="1" ht="14.25" customHeight="1"/>
    <row r="246" s="30" customFormat="1" ht="14.25" customHeight="1"/>
    <row r="247" s="30" customFormat="1" ht="14.25" customHeight="1"/>
    <row r="248" s="30" customFormat="1" ht="14.25" customHeight="1"/>
    <row r="249" s="30" customFormat="1" ht="14.25" customHeight="1"/>
    <row r="250" s="30" customFormat="1" ht="14.25" customHeight="1"/>
    <row r="251" s="30" customFormat="1" ht="14.25" customHeight="1"/>
    <row r="252" s="30" customFormat="1" ht="14.25" customHeight="1"/>
    <row r="253" s="30" customFormat="1" ht="14.25" customHeight="1"/>
    <row r="254" s="30" customFormat="1" ht="14.25" customHeight="1"/>
    <row r="255" s="30" customFormat="1" ht="14.25" customHeight="1"/>
    <row r="256" s="30" customFormat="1" ht="14.25" customHeight="1"/>
    <row r="257" s="30" customFormat="1" ht="14.25" customHeight="1"/>
    <row r="258" s="30" customFormat="1" ht="14.25" customHeight="1"/>
    <row r="259" s="30" customFormat="1" ht="14.25" customHeight="1"/>
    <row r="260" s="30" customFormat="1" ht="14.25" customHeight="1"/>
    <row r="261" s="30" customFormat="1" ht="14.25" customHeight="1"/>
    <row r="262" s="30" customFormat="1" ht="14.25" customHeight="1"/>
    <row r="263" s="30" customFormat="1" ht="14.25" customHeight="1"/>
    <row r="264" s="30" customFormat="1" ht="14.25" customHeight="1"/>
    <row r="265" s="30" customFormat="1" ht="14.25" customHeight="1"/>
    <row r="266" s="30" customFormat="1" ht="14.25" customHeight="1"/>
    <row r="267" s="30" customFormat="1" ht="14.25" customHeight="1"/>
    <row r="268" s="30" customFormat="1" ht="14.25" customHeight="1"/>
    <row r="269" s="30" customFormat="1" ht="14.25" customHeight="1"/>
    <row r="270" s="30" customFormat="1" ht="14.25" customHeight="1"/>
    <row r="271" s="30" customFormat="1" ht="14.25" customHeight="1"/>
    <row r="272" s="30" customFormat="1" ht="14.25" customHeight="1"/>
    <row r="273" s="30" customFormat="1" ht="14.25" customHeight="1"/>
    <row r="274" s="30" customFormat="1" ht="14.25" customHeight="1"/>
    <row r="275" s="30" customFormat="1" ht="14.25" customHeight="1"/>
    <row r="276" s="30" customFormat="1" ht="14.25" customHeight="1"/>
    <row r="277" s="30" customFormat="1" ht="14.25" customHeight="1"/>
    <row r="278" s="30" customFormat="1" ht="14.25" customHeight="1"/>
    <row r="279" s="30" customFormat="1" ht="14.25" customHeight="1"/>
    <row r="280" s="30" customFormat="1" ht="14.25" customHeight="1"/>
    <row r="281" s="30" customFormat="1" ht="14.25" customHeight="1"/>
    <row r="282" s="30" customFormat="1" ht="14.25" customHeight="1"/>
    <row r="283" s="30" customFormat="1" ht="14.25" customHeight="1"/>
    <row r="284" s="30" customFormat="1" ht="14.25" customHeight="1"/>
    <row r="285" s="30" customFormat="1" ht="14.25" customHeight="1"/>
    <row r="286" s="30" customFormat="1" ht="14.25" customHeight="1"/>
    <row r="287" s="30" customFormat="1" ht="14.25" customHeight="1"/>
    <row r="288" s="30" customFormat="1" ht="14.25" customHeight="1"/>
    <row r="289" s="30" customFormat="1" ht="14.25" customHeight="1"/>
    <row r="290" s="30" customFormat="1" ht="14.25" customHeight="1"/>
    <row r="291" s="30" customFormat="1" ht="14.25" customHeight="1"/>
    <row r="292" s="30" customFormat="1" ht="14.25" customHeight="1"/>
    <row r="293" s="30" customFormat="1" ht="14.25" customHeight="1"/>
    <row r="294" s="30" customFormat="1" ht="14.25" customHeight="1"/>
    <row r="295" s="30" customFormat="1" ht="14.25" customHeight="1"/>
    <row r="296" s="30" customFormat="1" ht="14.25" customHeight="1"/>
    <row r="297" s="30" customFormat="1" ht="14.25" customHeight="1"/>
    <row r="298" s="30" customFormat="1" ht="14.25" customHeight="1"/>
    <row r="299" s="30" customFormat="1" ht="14.25" customHeight="1"/>
    <row r="300" s="30" customFormat="1" ht="14.25" customHeight="1"/>
    <row r="301" s="30" customFormat="1" ht="14.25" customHeight="1"/>
    <row r="302" s="30" customFormat="1" ht="14.25" customHeight="1"/>
    <row r="303" s="30" customFormat="1" ht="14.25" customHeight="1"/>
    <row r="304" s="30" customFormat="1" ht="14.25" customHeight="1"/>
    <row r="305" s="30" customFormat="1" ht="14.25" customHeight="1"/>
    <row r="306" s="30" customFormat="1" ht="14.25" customHeight="1"/>
    <row r="307" s="30" customFormat="1" ht="14.25" customHeight="1"/>
    <row r="308" s="30" customFormat="1" ht="14.25" customHeight="1"/>
    <row r="309" s="30" customFormat="1" ht="14.25" customHeight="1"/>
    <row r="310" s="30" customFormat="1" ht="14.25" customHeight="1"/>
    <row r="311" s="30" customFormat="1" ht="14.25" customHeight="1"/>
    <row r="312" s="30" customFormat="1" ht="14.25" customHeight="1"/>
    <row r="313" s="30" customFormat="1" ht="14.25" customHeight="1"/>
    <row r="314" s="30" customFormat="1" ht="14.25" customHeight="1"/>
    <row r="315" s="30" customFormat="1" ht="14.25" customHeight="1"/>
    <row r="316" s="30" customFormat="1" ht="14.25" customHeight="1"/>
    <row r="317" s="30" customFormat="1" ht="14.25" customHeight="1"/>
    <row r="318" s="30" customFormat="1" ht="14.25" customHeight="1"/>
    <row r="319" s="30" customFormat="1" ht="14.25" customHeight="1"/>
    <row r="320" s="30" customFormat="1" ht="14.25" customHeight="1"/>
    <row r="321" s="30" customFormat="1" ht="14.25" customHeight="1"/>
    <row r="322" s="30" customFormat="1" ht="14.25" customHeight="1"/>
    <row r="323" s="30" customFormat="1" ht="14.25" customHeight="1"/>
    <row r="324" s="30" customFormat="1" ht="14.25" customHeight="1"/>
    <row r="325" s="30" customFormat="1" ht="14.25" customHeight="1"/>
    <row r="326" s="30" customFormat="1" ht="14.25" customHeight="1"/>
    <row r="327" s="30" customFormat="1" ht="14.25" customHeight="1"/>
    <row r="328" s="30" customFormat="1" ht="14.25" customHeight="1"/>
    <row r="329" s="30" customFormat="1" ht="14.25" customHeight="1"/>
    <row r="330" s="30" customFormat="1" ht="14.25" customHeight="1"/>
    <row r="331" s="30" customFormat="1" ht="14.25" customHeight="1"/>
    <row r="332" s="30" customFormat="1" ht="14.25" customHeight="1"/>
    <row r="333" s="30" customFormat="1" ht="14.25" customHeight="1"/>
    <row r="334" s="30" customFormat="1" ht="14.25" customHeight="1"/>
    <row r="335" s="30" customFormat="1" ht="14.25" customHeight="1"/>
    <row r="336" s="30" customFormat="1" ht="14.25" customHeight="1"/>
    <row r="337" s="30" customFormat="1" ht="14.25" customHeight="1"/>
    <row r="338" s="30" customFormat="1" ht="14.25" customHeight="1"/>
    <row r="339" s="30" customFormat="1" ht="14.25" customHeight="1"/>
    <row r="340" s="30" customFormat="1" ht="14.25" customHeight="1"/>
    <row r="341" s="30" customFormat="1" ht="14.25" customHeight="1"/>
    <row r="342" s="30" customFormat="1" ht="14.25" customHeight="1"/>
    <row r="343" s="30" customFormat="1" ht="14.25" customHeight="1"/>
    <row r="344" s="30" customFormat="1" ht="14.25" customHeight="1"/>
    <row r="345" s="30" customFormat="1" ht="14.25" customHeight="1"/>
    <row r="346" s="30" customFormat="1" ht="14.25" customHeight="1"/>
    <row r="347" s="30" customFormat="1" ht="14.25" customHeight="1"/>
    <row r="348" s="30" customFormat="1" ht="14.25" customHeight="1"/>
    <row r="349" s="30" customFormat="1" ht="14.25" customHeight="1"/>
    <row r="350" s="30" customFormat="1" ht="14.25" customHeight="1"/>
    <row r="351" s="30" customFormat="1" ht="14.25" customHeight="1"/>
    <row r="352" s="30" customFormat="1" ht="14.25" customHeight="1"/>
    <row r="353" s="30" customFormat="1" ht="14.25" customHeight="1"/>
    <row r="354" s="30" customFormat="1" ht="14.25" customHeight="1"/>
    <row r="355" s="30" customFormat="1" ht="14.25" customHeight="1"/>
    <row r="356" s="30" customFormat="1" ht="14.25" customHeight="1"/>
    <row r="357" s="30" customFormat="1" ht="14.25" customHeight="1"/>
    <row r="358" s="30" customFormat="1" ht="14.25" customHeight="1"/>
    <row r="359" s="30" customFormat="1" ht="14.25" customHeight="1"/>
    <row r="360" s="30" customFormat="1" ht="14.25" customHeight="1"/>
    <row r="361" s="30" customFormat="1" ht="14.25" customHeight="1"/>
    <row r="362" s="30" customFormat="1" ht="14.25" customHeight="1"/>
    <row r="363" s="30" customFormat="1" ht="14.25" customHeight="1"/>
    <row r="364" s="30" customFormat="1" ht="14.25" customHeight="1"/>
    <row r="365" s="30" customFormat="1" ht="14.25" customHeight="1"/>
    <row r="366" s="30" customFormat="1" ht="14.25" customHeight="1"/>
    <row r="367" s="30" customFormat="1" ht="14.25" customHeight="1"/>
    <row r="368" s="30" customFormat="1" ht="14.25" customHeight="1"/>
    <row r="369" s="30" customFormat="1" ht="14.25" customHeight="1"/>
    <row r="370" s="30" customFormat="1" ht="14.25" customHeight="1"/>
    <row r="371" s="30" customFormat="1" ht="14.25" customHeight="1"/>
    <row r="372" s="30" customFormat="1" ht="14.25" customHeight="1"/>
    <row r="373" s="30" customFormat="1" ht="14.25" customHeight="1"/>
    <row r="374" s="30" customFormat="1" ht="14.25" customHeight="1"/>
    <row r="375" s="30" customFormat="1" ht="14.25" customHeight="1"/>
    <row r="376" s="30" customFormat="1" ht="14.25" customHeight="1"/>
    <row r="377" s="30" customFormat="1" ht="14.25" customHeight="1"/>
    <row r="378" s="30" customFormat="1" ht="14.25" customHeight="1"/>
    <row r="379" s="30" customFormat="1" ht="14.25" customHeight="1"/>
    <row r="380" s="30" customFormat="1" ht="14.25" customHeight="1"/>
    <row r="381" s="30" customFormat="1" ht="14.25" customHeight="1"/>
    <row r="382" s="30" customFormat="1" ht="14.25" customHeight="1"/>
    <row r="383" s="30" customFormat="1" ht="14.25" customHeight="1"/>
    <row r="384" s="30" customFormat="1" ht="14.25" customHeight="1"/>
    <row r="385" s="30" customFormat="1" ht="14.25" customHeight="1"/>
    <row r="386" s="30" customFormat="1" ht="14.25" customHeight="1"/>
    <row r="387" s="30" customFormat="1" ht="14.25" customHeight="1"/>
    <row r="388" s="30" customFormat="1" ht="14.25" customHeight="1"/>
    <row r="389" s="30" customFormat="1" ht="14.25" customHeight="1"/>
    <row r="390" s="30" customFormat="1" ht="14.25" customHeight="1"/>
    <row r="391" s="30" customFormat="1" ht="14.25" customHeight="1"/>
    <row r="392" s="30" customFormat="1" ht="14.25" customHeight="1"/>
    <row r="393" s="30" customFormat="1" ht="14.25" customHeight="1"/>
    <row r="394" s="30" customFormat="1" ht="14.25" customHeight="1"/>
    <row r="395" s="30" customFormat="1" ht="14.25" customHeight="1"/>
    <row r="396" s="30" customFormat="1" ht="14.25" customHeight="1"/>
    <row r="397" s="30" customFormat="1" ht="14.25" customHeight="1"/>
    <row r="398" s="30" customFormat="1" ht="14.25" customHeight="1"/>
    <row r="399" s="30" customFormat="1" ht="14.25" customHeight="1"/>
    <row r="400" s="30" customFormat="1" ht="14.25" customHeight="1"/>
    <row r="401" s="30" customFormat="1" ht="14.25" customHeight="1"/>
    <row r="402" s="30" customFormat="1" ht="14.25" customHeight="1"/>
    <row r="403" s="30" customFormat="1" ht="14.25" customHeight="1"/>
    <row r="404" s="30" customFormat="1" ht="14.25" customHeight="1"/>
    <row r="405" s="30" customFormat="1" ht="14.25" customHeight="1"/>
    <row r="406" s="30" customFormat="1" ht="14.25" customHeight="1"/>
    <row r="407" s="30" customFormat="1" ht="14.25" customHeight="1"/>
    <row r="408" s="30" customFormat="1" ht="14.25" customHeight="1"/>
    <row r="409" s="30" customFormat="1" ht="14.25" customHeight="1"/>
    <row r="410" s="30" customFormat="1" ht="14.25" customHeight="1"/>
    <row r="411" s="30" customFormat="1" ht="14.25" customHeight="1"/>
    <row r="412" s="30" customFormat="1" ht="14.25" customHeight="1"/>
    <row r="413" s="30" customFormat="1" ht="14.25" customHeight="1"/>
    <row r="414" s="30" customFormat="1" ht="14.25" customHeight="1"/>
    <row r="415" s="30" customFormat="1" ht="14.25" customHeight="1"/>
    <row r="416" s="30" customFormat="1" ht="14.25" customHeight="1"/>
    <row r="417" s="30" customFormat="1" ht="14.25" customHeight="1"/>
    <row r="418" s="30" customFormat="1" ht="14.25" customHeight="1"/>
    <row r="419" s="30" customFormat="1" ht="14.25" customHeight="1"/>
    <row r="420" s="30" customFormat="1" ht="14.25" customHeight="1"/>
    <row r="421" s="30" customFormat="1" ht="14.25" customHeight="1"/>
    <row r="422" s="30" customFormat="1" ht="14.25" customHeight="1"/>
    <row r="423" s="30" customFormat="1" ht="14.25" customHeight="1"/>
    <row r="424" s="30" customFormat="1" ht="14.25" customHeight="1"/>
    <row r="425" s="30" customFormat="1" ht="14.25" customHeight="1"/>
    <row r="426" s="30" customFormat="1" ht="14.25" customHeight="1"/>
    <row r="427" s="30" customFormat="1" ht="14.25" customHeight="1"/>
    <row r="428" s="30" customFormat="1" ht="14.25" customHeight="1"/>
    <row r="429" s="30" customFormat="1" ht="14.25" customHeight="1"/>
    <row r="430" s="30" customFormat="1" ht="14.25" customHeight="1"/>
    <row r="431" s="30" customFormat="1" ht="14.25" customHeight="1"/>
    <row r="432" s="30" customFormat="1" ht="14.25" customHeight="1"/>
    <row r="433" s="30" customFormat="1" ht="14.25" customHeight="1"/>
    <row r="434" s="30" customFormat="1" ht="14.25" customHeight="1"/>
    <row r="435" s="30" customFormat="1" ht="14.25" customHeight="1"/>
    <row r="436" s="30" customFormat="1" ht="14.25" customHeight="1"/>
    <row r="437" s="30" customFormat="1" ht="14.25" customHeight="1"/>
    <row r="438" s="30" customFormat="1" ht="14.25" customHeight="1"/>
    <row r="439" s="30" customFormat="1" ht="14.25" customHeight="1"/>
    <row r="440" s="30" customFormat="1" ht="14.25" customHeight="1"/>
    <row r="441" s="30" customFormat="1" ht="14.25" customHeight="1"/>
    <row r="442" s="30" customFormat="1" ht="14.25" customHeight="1"/>
    <row r="443" s="30" customFormat="1" ht="14.25" customHeight="1"/>
    <row r="444" s="30" customFormat="1" ht="14.25" customHeight="1"/>
    <row r="445" s="30" customFormat="1" ht="14.25" customHeight="1"/>
    <row r="446" s="30" customFormat="1" ht="14.25" customHeight="1"/>
    <row r="447" s="30" customFormat="1" ht="14.25" customHeight="1"/>
    <row r="448" s="30" customFormat="1" ht="14.25" customHeight="1"/>
    <row r="449" s="30" customFormat="1" ht="14.25" customHeight="1"/>
    <row r="450" s="30" customFormat="1" ht="14.25" customHeight="1"/>
    <row r="451" s="30" customFormat="1" ht="14.25" customHeight="1"/>
    <row r="452" s="30" customFormat="1" ht="14.25" customHeight="1"/>
    <row r="453" s="30" customFormat="1" ht="14.25" customHeight="1"/>
    <row r="454" s="30" customFormat="1" ht="14.25" customHeight="1"/>
    <row r="455" s="30" customFormat="1" ht="14.25" customHeight="1"/>
    <row r="456" s="30" customFormat="1" ht="14.25" customHeight="1"/>
    <row r="457" s="30" customFormat="1" ht="14.25" customHeight="1"/>
    <row r="458" s="30" customFormat="1" ht="14.25" customHeight="1"/>
    <row r="459" s="30" customFormat="1" ht="14.25" customHeight="1"/>
    <row r="460" s="30" customFormat="1" ht="14.25" customHeight="1"/>
    <row r="461" s="30" customFormat="1" ht="14.25" customHeight="1"/>
    <row r="462" s="30" customFormat="1" ht="14.25" customHeight="1"/>
    <row r="463" s="30" customFormat="1" ht="14.25" customHeight="1"/>
    <row r="464" s="30" customFormat="1" ht="14.25" customHeight="1"/>
    <row r="465" s="30" customFormat="1" ht="14.25" customHeight="1"/>
    <row r="466" s="30" customFormat="1" ht="14.25" customHeight="1"/>
    <row r="467" s="30" customFormat="1" ht="14.25" customHeight="1"/>
    <row r="468" s="30" customFormat="1" ht="14.25" customHeight="1"/>
    <row r="469" s="30" customFormat="1" ht="14.25" customHeight="1"/>
    <row r="470" s="30" customFormat="1" ht="14.25" customHeight="1"/>
    <row r="471" s="30" customFormat="1" ht="14.25" customHeight="1"/>
    <row r="472" s="30" customFormat="1" ht="14.25" customHeight="1"/>
    <row r="473" s="30" customFormat="1" ht="14.25" customHeight="1"/>
    <row r="474" s="30" customFormat="1" ht="14.25" customHeight="1"/>
    <row r="475" s="30" customFormat="1" ht="14.25" customHeight="1"/>
    <row r="476" s="30" customFormat="1" ht="14.25" customHeight="1"/>
    <row r="477" s="30" customFormat="1" ht="14.25" customHeight="1"/>
    <row r="478" s="30" customFormat="1" ht="14.25" customHeight="1"/>
    <row r="479" s="30" customFormat="1" ht="14.25" customHeight="1"/>
    <row r="480" s="30" customFormat="1" ht="14.25" customHeight="1"/>
    <row r="481" s="30" customFormat="1" ht="14.25" customHeight="1"/>
    <row r="482" s="30" customFormat="1" ht="14.25" customHeight="1"/>
    <row r="483" s="30" customFormat="1" ht="14.25" customHeight="1"/>
    <row r="484" s="30" customFormat="1" ht="14.25" customHeight="1"/>
    <row r="485" s="30" customFormat="1" ht="14.25" customHeight="1"/>
    <row r="486" s="30" customFormat="1" ht="14.25" customHeight="1"/>
    <row r="487" s="30" customFormat="1" ht="14.25" customHeight="1"/>
    <row r="488" s="30" customFormat="1" ht="14.25" customHeight="1"/>
    <row r="489" s="30" customFormat="1" ht="14.25" customHeight="1"/>
    <row r="490" s="30" customFormat="1" ht="14.25" customHeight="1"/>
    <row r="491" s="30" customFormat="1" ht="14.25" customHeight="1"/>
    <row r="492" s="30" customFormat="1" ht="14.25" customHeight="1"/>
    <row r="493" s="30" customFormat="1" ht="14.25" customHeight="1"/>
    <row r="494" s="30" customFormat="1" ht="14.25" customHeight="1"/>
    <row r="495" s="30" customFormat="1" ht="14.25" customHeight="1"/>
    <row r="496" s="30" customFormat="1" ht="14.25" customHeight="1"/>
    <row r="497" s="30" customFormat="1" ht="14.25" customHeight="1"/>
    <row r="498" s="30" customFormat="1" ht="14.25" customHeight="1"/>
    <row r="499" s="30" customFormat="1" ht="14.25" customHeight="1"/>
    <row r="500" s="30" customFormat="1" ht="14.25" customHeight="1"/>
    <row r="501" s="30" customFormat="1" ht="14.25" customHeight="1"/>
    <row r="502" s="30" customFormat="1" ht="14.25" customHeight="1"/>
    <row r="503" s="30" customFormat="1" ht="14.25" customHeight="1"/>
    <row r="504" s="30" customFormat="1" ht="14.25" customHeight="1"/>
    <row r="505" s="30" customFormat="1" ht="14.25" customHeight="1"/>
    <row r="506" s="30" customFormat="1" ht="14.25" customHeight="1"/>
    <row r="507" s="30" customFormat="1" ht="14.25" customHeight="1"/>
    <row r="508" s="30" customFormat="1" ht="14.25" customHeight="1"/>
    <row r="509" s="30" customFormat="1" ht="14.25" customHeight="1"/>
    <row r="510" s="30" customFormat="1" ht="14.25" customHeight="1"/>
    <row r="511" s="30" customFormat="1" ht="14.25" customHeight="1"/>
    <row r="512" s="30" customFormat="1" ht="14.25" customHeight="1"/>
    <row r="513" s="30" customFormat="1" ht="14.25" customHeight="1"/>
    <row r="514" s="30" customFormat="1" ht="14.25" customHeight="1"/>
    <row r="515" s="30" customFormat="1" ht="14.25" customHeight="1"/>
    <row r="516" s="30" customFormat="1" ht="14.25" customHeight="1"/>
    <row r="517" s="30" customFormat="1" ht="14.25" customHeight="1"/>
    <row r="518" s="30" customFormat="1" ht="14.25" customHeight="1"/>
    <row r="519" s="30" customFormat="1" ht="14.25" customHeight="1"/>
    <row r="520" s="30" customFormat="1" ht="14.25" customHeight="1"/>
    <row r="521" s="30" customFormat="1" ht="14.25" customHeight="1"/>
    <row r="522" s="30" customFormat="1" ht="14.25" customHeight="1"/>
    <row r="523" s="30" customFormat="1" ht="14.25" customHeight="1"/>
    <row r="524" s="30" customFormat="1" ht="14.25" customHeight="1"/>
    <row r="525" s="30" customFormat="1" ht="14.25" customHeight="1"/>
    <row r="526" s="30" customFormat="1" ht="14.25" customHeight="1"/>
    <row r="527" s="30" customFormat="1" ht="14.25" customHeight="1"/>
    <row r="528" s="30" customFormat="1" ht="14.25" customHeight="1"/>
    <row r="529" s="30" customFormat="1" ht="14.25" customHeight="1"/>
    <row r="530" s="30" customFormat="1" ht="14.25" customHeight="1"/>
    <row r="531" s="30" customFormat="1" ht="14.25" customHeight="1"/>
    <row r="532" s="30" customFormat="1" ht="14.25" customHeight="1"/>
    <row r="533" s="30" customFormat="1" ht="14.25" customHeight="1"/>
    <row r="534" s="30" customFormat="1" ht="14.25" customHeight="1"/>
    <row r="535" s="30" customFormat="1" ht="14.25" customHeight="1"/>
    <row r="536" s="30" customFormat="1" ht="14.25" customHeight="1"/>
    <row r="537" s="30" customFormat="1" ht="14.25" customHeight="1"/>
    <row r="538" s="30" customFormat="1" ht="14.25" customHeight="1"/>
    <row r="539" s="30" customFormat="1" ht="14.25" customHeight="1"/>
    <row r="540" s="30" customFormat="1" ht="14.25" customHeight="1"/>
    <row r="541" s="30" customFormat="1" ht="14.25" customHeight="1"/>
    <row r="542" s="30" customFormat="1" ht="14.25" customHeight="1"/>
    <row r="543" s="30" customFormat="1" ht="14.25" customHeight="1"/>
    <row r="544" s="30" customFormat="1" ht="14.25" customHeight="1"/>
    <row r="545" s="30" customFormat="1" ht="14.25" customHeight="1"/>
    <row r="546" s="30" customFormat="1" ht="14.25" customHeight="1"/>
    <row r="547" s="30" customFormat="1" ht="14.25" customHeight="1"/>
    <row r="548" s="30" customFormat="1" ht="14.25" customHeight="1"/>
    <row r="549" s="30" customFormat="1" ht="14.25" customHeight="1"/>
    <row r="550" s="30" customFormat="1" ht="14.25" customHeight="1"/>
    <row r="551" s="30" customFormat="1" ht="14.25" customHeight="1"/>
    <row r="552" s="30" customFormat="1" ht="14.25" customHeight="1"/>
    <row r="553" s="30" customFormat="1" ht="14.25" customHeight="1"/>
    <row r="554" s="30" customFormat="1" ht="14.25" customHeight="1"/>
    <row r="555" s="30" customFormat="1" ht="14.25" customHeight="1"/>
    <row r="556" s="30" customFormat="1" ht="14.25" customHeight="1"/>
    <row r="557" s="30" customFormat="1" ht="14.25" customHeight="1"/>
    <row r="558" s="30" customFormat="1" ht="14.25" customHeight="1"/>
    <row r="559" s="30" customFormat="1" ht="14.25" customHeight="1"/>
    <row r="560" s="30" customFormat="1" ht="14.25" customHeight="1"/>
    <row r="561" s="30" customFormat="1" ht="14.25" customHeight="1"/>
    <row r="562" s="30" customFormat="1" ht="14.25" customHeight="1"/>
    <row r="563" s="30" customFormat="1" ht="14.25" customHeight="1"/>
    <row r="564" s="30" customFormat="1" ht="14.25" customHeight="1"/>
    <row r="565" s="30" customFormat="1" ht="14.25" customHeight="1"/>
    <row r="566" s="30" customFormat="1" ht="14.25" customHeight="1"/>
    <row r="567" s="30" customFormat="1" ht="14.25" customHeight="1"/>
    <row r="568" s="30" customFormat="1" ht="14.25" customHeight="1"/>
    <row r="569" s="30" customFormat="1" ht="14.25" customHeight="1"/>
    <row r="570" s="30" customFormat="1" ht="14.25" customHeight="1"/>
    <row r="571" s="30" customFormat="1" ht="14.25" customHeight="1"/>
    <row r="572" s="30" customFormat="1" ht="14.25" customHeight="1"/>
    <row r="573" s="30" customFormat="1" ht="14.25" customHeight="1"/>
    <row r="574" s="30" customFormat="1" ht="14.25" customHeight="1"/>
    <row r="575" s="30" customFormat="1" ht="14.25" customHeight="1"/>
    <row r="576" s="30" customFormat="1" ht="14.25" customHeight="1"/>
    <row r="577" s="30" customFormat="1" ht="14.25" customHeight="1"/>
    <row r="578" s="30" customFormat="1" ht="14.25" customHeight="1"/>
    <row r="579" s="30" customFormat="1" ht="14.25" customHeight="1"/>
    <row r="580" s="30" customFormat="1" ht="14.25" customHeight="1"/>
    <row r="581" s="30" customFormat="1" ht="14.25" customHeight="1"/>
    <row r="582" s="30" customFormat="1" ht="14.25" customHeight="1"/>
    <row r="583" s="30" customFormat="1" ht="14.25" customHeight="1"/>
    <row r="584" s="30" customFormat="1" ht="14.25" customHeight="1"/>
    <row r="585" s="30" customFormat="1" ht="14.25" customHeight="1"/>
    <row r="586" s="30" customFormat="1" ht="14.25" customHeight="1"/>
    <row r="587" s="30" customFormat="1" ht="14.25" customHeight="1"/>
    <row r="588" s="30" customFormat="1" ht="14.25" customHeight="1"/>
    <row r="589" s="30" customFormat="1" ht="14.25" customHeight="1"/>
    <row r="590" s="30" customFormat="1" ht="14.25" customHeight="1"/>
    <row r="591" s="30" customFormat="1" ht="14.25" customHeight="1"/>
    <row r="592" s="30" customFormat="1" ht="14.25" customHeight="1"/>
    <row r="593" s="30" customFormat="1" ht="14.25" customHeight="1"/>
    <row r="594" s="30" customFormat="1" ht="14.25" customHeight="1"/>
    <row r="595" s="30" customFormat="1" ht="14.25" customHeight="1"/>
    <row r="596" s="30" customFormat="1" ht="14.25" customHeight="1"/>
    <row r="597" s="30" customFormat="1" ht="14.25" customHeight="1"/>
    <row r="598" s="30" customFormat="1" ht="14.25" customHeight="1"/>
    <row r="599" s="30" customFormat="1" ht="14.25" customHeight="1"/>
    <row r="600" s="30" customFormat="1" ht="14.25" customHeight="1"/>
    <row r="601" s="30" customFormat="1" ht="14.25" customHeight="1"/>
    <row r="602" s="30" customFormat="1" ht="14.25" customHeight="1"/>
    <row r="603" s="30" customFormat="1" ht="14.25" customHeight="1"/>
    <row r="604" s="30" customFormat="1" ht="14.25" customHeight="1"/>
    <row r="605" s="30" customFormat="1" ht="14.25" customHeight="1"/>
    <row r="606" s="30" customFormat="1" ht="14.25" customHeight="1"/>
    <row r="607" s="30" customFormat="1" ht="14.25" customHeight="1"/>
    <row r="608" s="30" customFormat="1" ht="14.25" customHeight="1"/>
    <row r="609" s="30" customFormat="1" ht="14.25" customHeight="1"/>
    <row r="610" s="30" customFormat="1" ht="14.25" customHeight="1"/>
    <row r="611" s="30" customFormat="1" ht="14.25" customHeight="1"/>
    <row r="612" s="30" customFormat="1" ht="14.25" customHeight="1"/>
    <row r="613" s="30" customFormat="1" ht="14.25" customHeight="1"/>
    <row r="614" s="30" customFormat="1" ht="14.25" customHeight="1"/>
    <row r="615" s="30" customFormat="1" ht="14.25" customHeight="1"/>
    <row r="616" s="30" customFormat="1" ht="14.25" customHeight="1"/>
    <row r="617" s="30" customFormat="1" ht="14.25" customHeight="1"/>
    <row r="618" s="30" customFormat="1" ht="14.25" customHeight="1"/>
    <row r="619" s="30" customFormat="1" ht="14.25" customHeight="1"/>
    <row r="620" s="30" customFormat="1" ht="14.25" customHeight="1"/>
    <row r="621" s="30" customFormat="1" ht="14.25" customHeight="1"/>
    <row r="622" s="30" customFormat="1" ht="14.25" customHeight="1"/>
    <row r="623" s="30" customFormat="1" ht="14.25" customHeight="1"/>
    <row r="624" s="30" customFormat="1" ht="14.25" customHeight="1"/>
    <row r="625" s="30" customFormat="1" ht="14.25" customHeight="1"/>
    <row r="626" s="30" customFormat="1" ht="14.25" customHeight="1"/>
    <row r="627" s="30" customFormat="1" ht="14.25" customHeight="1"/>
    <row r="628" s="30" customFormat="1" ht="14.25" customHeight="1"/>
    <row r="629" s="30" customFormat="1" ht="14.25" customHeight="1"/>
    <row r="630" s="30" customFormat="1" ht="14.25" customHeight="1"/>
    <row r="631" s="30" customFormat="1" ht="14.25" customHeight="1"/>
    <row r="632" s="30" customFormat="1" ht="14.25" customHeight="1"/>
    <row r="633" s="30" customFormat="1" ht="14.25" customHeight="1"/>
    <row r="634" s="30" customFormat="1" ht="14.25" customHeight="1"/>
    <row r="635" s="30" customFormat="1" ht="14.25" customHeight="1"/>
    <row r="636" s="30" customFormat="1" ht="14.25" customHeight="1"/>
    <row r="637" s="30" customFormat="1" ht="14.25" customHeight="1"/>
    <row r="638" s="30" customFormat="1" ht="14.25" customHeight="1"/>
    <row r="639" s="30" customFormat="1" ht="14.25" customHeight="1"/>
    <row r="640" s="30" customFormat="1" ht="14.25" customHeight="1"/>
    <row r="641" s="30" customFormat="1" ht="14.25" customHeight="1"/>
    <row r="642" s="30" customFormat="1" ht="14.25" customHeight="1"/>
    <row r="643" s="30" customFormat="1" ht="14.25" customHeight="1"/>
    <row r="644" s="30" customFormat="1" ht="14.25" customHeight="1"/>
    <row r="645" s="30" customFormat="1" ht="14.25" customHeight="1"/>
    <row r="646" s="30" customFormat="1" ht="14.25" customHeight="1"/>
    <row r="647" s="30" customFormat="1" ht="14.25" customHeight="1"/>
    <row r="648" s="30" customFormat="1" ht="14.25" customHeight="1"/>
    <row r="649" s="30" customFormat="1" ht="14.25" customHeight="1"/>
    <row r="650" s="30" customFormat="1" ht="14.25" customHeight="1"/>
    <row r="651" s="30" customFormat="1" ht="14.25" customHeight="1"/>
    <row r="652" s="30" customFormat="1" ht="14.25" customHeight="1"/>
    <row r="653" s="30" customFormat="1" ht="14.25" customHeight="1"/>
    <row r="654" s="30" customFormat="1" ht="14.25" customHeight="1"/>
    <row r="655" s="30" customFormat="1" ht="14.25" customHeight="1"/>
    <row r="656" s="30" customFormat="1" ht="14.25" customHeight="1"/>
    <row r="657" s="30" customFormat="1" ht="14.25" customHeight="1"/>
    <row r="658" s="30" customFormat="1" ht="14.25" customHeight="1"/>
    <row r="659" s="30" customFormat="1" ht="14.25" customHeight="1"/>
    <row r="660" s="30" customFormat="1" ht="14.25" customHeight="1"/>
    <row r="661" s="30" customFormat="1" ht="14.25" customHeight="1"/>
    <row r="662" s="30" customFormat="1" ht="14.25" customHeight="1"/>
    <row r="663" s="30" customFormat="1" ht="14.25" customHeight="1"/>
    <row r="664" s="30" customFormat="1" ht="14.25" customHeight="1"/>
    <row r="665" s="30" customFormat="1" ht="14.25" customHeight="1"/>
    <row r="666" s="30" customFormat="1" ht="14.25" customHeight="1"/>
    <row r="667" s="30" customFormat="1" ht="14.25" customHeight="1"/>
    <row r="668" s="30" customFormat="1" ht="14.25" customHeight="1"/>
    <row r="669" s="30" customFormat="1" ht="14.25" customHeight="1"/>
    <row r="670" s="30" customFormat="1" ht="14.25" customHeight="1"/>
    <row r="671" s="30" customFormat="1" ht="14.25" customHeight="1"/>
    <row r="672" s="30" customFormat="1" ht="14.25" customHeight="1"/>
    <row r="673" s="30" customFormat="1" ht="14.25" customHeight="1"/>
    <row r="674" s="30" customFormat="1" ht="14.25" customHeight="1"/>
    <row r="675" s="30" customFormat="1" ht="14.25" customHeight="1"/>
    <row r="676" s="30" customFormat="1" ht="14.25" customHeight="1"/>
    <row r="677" s="30" customFormat="1" ht="14.25" customHeight="1"/>
    <row r="678" s="30" customFormat="1" ht="14.25" customHeight="1"/>
    <row r="679" s="30" customFormat="1" ht="14.25" customHeight="1"/>
    <row r="680" s="30" customFormat="1" ht="14.25" customHeight="1"/>
    <row r="681" s="30" customFormat="1" ht="14.25" customHeight="1"/>
    <row r="682" s="30" customFormat="1" ht="14.25" customHeight="1"/>
    <row r="683" s="30" customFormat="1" ht="14.25" customHeight="1"/>
    <row r="684" s="30" customFormat="1" ht="14.25" customHeight="1"/>
    <row r="685" s="30" customFormat="1" ht="14.25" customHeight="1"/>
    <row r="686" s="30" customFormat="1" ht="14.25" customHeight="1"/>
    <row r="687" s="30" customFormat="1" ht="14.25" customHeight="1"/>
    <row r="688" s="30" customFormat="1" ht="14.25" customHeight="1"/>
    <row r="689" s="30" customFormat="1" ht="14.25" customHeight="1"/>
    <row r="690" s="30" customFormat="1" ht="14.25" customHeight="1"/>
    <row r="691" s="30" customFormat="1" ht="14.25" customHeight="1"/>
    <row r="692" s="30" customFormat="1" ht="14.25" customHeight="1"/>
    <row r="693" s="30" customFormat="1" ht="14.25" customHeight="1"/>
    <row r="694" s="30" customFormat="1" ht="14.25" customHeight="1"/>
    <row r="695" s="30" customFormat="1" ht="14.25" customHeight="1"/>
    <row r="696" s="30" customFormat="1" ht="14.25" customHeight="1"/>
    <row r="697" s="30" customFormat="1" ht="14.25" customHeight="1"/>
    <row r="698" s="30" customFormat="1" ht="14.25" customHeight="1"/>
    <row r="699" s="30" customFormat="1" ht="14.25" customHeight="1"/>
    <row r="700" s="30" customFormat="1" ht="14.25" customHeight="1"/>
    <row r="701" s="30" customFormat="1" ht="14.25" customHeight="1"/>
    <row r="702" s="30" customFormat="1" ht="14.25" customHeight="1"/>
    <row r="703" s="30" customFormat="1" ht="14.25" customHeight="1"/>
    <row r="704" s="30" customFormat="1" ht="14.25" customHeight="1"/>
    <row r="705" s="30" customFormat="1" ht="14.25" customHeight="1"/>
    <row r="706" s="30" customFormat="1" ht="14.25" customHeight="1"/>
    <row r="707" s="30" customFormat="1" ht="14.25" customHeight="1"/>
    <row r="708" s="30" customFormat="1" ht="14.25" customHeight="1"/>
    <row r="709" s="30" customFormat="1" ht="14.25" customHeight="1"/>
    <row r="710" s="30" customFormat="1" ht="14.25" customHeight="1"/>
    <row r="711" s="30" customFormat="1" ht="14.25" customHeight="1"/>
    <row r="712" s="30" customFormat="1" ht="14.25" customHeight="1"/>
    <row r="713" s="30" customFormat="1" ht="14.25" customHeight="1"/>
    <row r="714" s="30" customFormat="1" ht="14.25" customHeight="1"/>
    <row r="715" s="30" customFormat="1" ht="14.25" customHeight="1"/>
    <row r="716" s="30" customFormat="1" ht="14.25" customHeight="1"/>
    <row r="717" s="30" customFormat="1" ht="14.25" customHeight="1"/>
    <row r="718" s="30" customFormat="1" ht="14.25" customHeight="1"/>
    <row r="719" s="30" customFormat="1" ht="14.25" customHeight="1"/>
    <row r="720" s="30" customFormat="1" ht="14.25" customHeight="1"/>
    <row r="721" s="30" customFormat="1" ht="14.25" customHeight="1"/>
    <row r="722" s="30" customFormat="1" ht="14.25" customHeight="1"/>
    <row r="723" s="30" customFormat="1" ht="14.25" customHeight="1"/>
    <row r="724" s="30" customFormat="1" ht="14.25" customHeight="1"/>
    <row r="725" s="30" customFormat="1" ht="14.25" customHeight="1"/>
    <row r="726" s="30" customFormat="1" ht="14.25" customHeight="1"/>
    <row r="727" s="30" customFormat="1" ht="14.25" customHeight="1"/>
    <row r="728" s="30" customFormat="1" ht="14.25" customHeight="1"/>
    <row r="729" s="30" customFormat="1" ht="14.25" customHeight="1"/>
    <row r="730" s="30" customFormat="1" ht="14.25" customHeight="1"/>
    <row r="731" s="30" customFormat="1" ht="14.25" customHeight="1"/>
    <row r="732" s="30" customFormat="1" ht="14.25" customHeight="1"/>
    <row r="733" s="30" customFormat="1" ht="14.25" customHeight="1"/>
    <row r="734" s="30" customFormat="1" ht="14.25" customHeight="1"/>
    <row r="735" s="30" customFormat="1" ht="14.25" customHeight="1"/>
    <row r="736" s="30" customFormat="1" ht="14.25" customHeight="1"/>
    <row r="737" s="30" customFormat="1" ht="14.25" customHeight="1"/>
    <row r="738" s="30" customFormat="1" ht="14.25" customHeight="1"/>
    <row r="739" s="30" customFormat="1" ht="14.25" customHeight="1"/>
    <row r="740" s="30" customFormat="1" ht="14.25" customHeight="1"/>
    <row r="741" s="30" customFormat="1" ht="14.25" customHeight="1"/>
    <row r="742" s="30" customFormat="1" ht="14.25" customHeight="1"/>
    <row r="743" s="30" customFormat="1" ht="14.25" customHeight="1"/>
    <row r="744" s="30" customFormat="1" ht="14.25" customHeight="1"/>
    <row r="745" s="30" customFormat="1" ht="14.25" customHeight="1"/>
    <row r="746" s="30" customFormat="1" ht="14.25" customHeight="1"/>
    <row r="747" s="30" customFormat="1" ht="14.25" customHeight="1"/>
    <row r="748" s="30" customFormat="1" ht="14.25" customHeight="1"/>
    <row r="749" s="30" customFormat="1" ht="14.25" customHeight="1"/>
    <row r="750" s="30" customFormat="1" ht="14.25" customHeight="1"/>
    <row r="751" s="30" customFormat="1" ht="14.25" customHeight="1"/>
    <row r="752" s="30" customFormat="1" ht="14.25" customHeight="1"/>
    <row r="753" s="30" customFormat="1" ht="14.25" customHeight="1"/>
    <row r="754" s="30" customFormat="1" ht="14.25" customHeight="1"/>
    <row r="755" s="30" customFormat="1" ht="14.25" customHeight="1"/>
    <row r="756" s="30" customFormat="1" ht="14.25" customHeight="1"/>
    <row r="757" s="30" customFormat="1" ht="14.25" customHeight="1"/>
    <row r="758" s="30" customFormat="1" ht="14.25" customHeight="1"/>
    <row r="759" s="30" customFormat="1" ht="14.25" customHeight="1"/>
    <row r="760" s="30" customFormat="1" ht="14.25" customHeight="1"/>
    <row r="761" s="30" customFormat="1" ht="14.25" customHeight="1"/>
    <row r="762" s="30" customFormat="1" ht="14.25" customHeight="1"/>
    <row r="763" s="30" customFormat="1" ht="14.25" customHeight="1"/>
    <row r="764" s="30" customFormat="1" ht="14.25" customHeight="1"/>
    <row r="765" s="30" customFormat="1" ht="14.25" customHeight="1"/>
    <row r="766" s="30" customFormat="1" ht="14.25" customHeight="1"/>
    <row r="767" s="30" customFormat="1" ht="14.25" customHeight="1"/>
    <row r="768" s="30" customFormat="1" ht="14.25" customHeight="1"/>
    <row r="769" s="30" customFormat="1" ht="14.25" customHeight="1"/>
    <row r="770" s="30" customFormat="1" ht="14.25" customHeight="1"/>
    <row r="771" s="30" customFormat="1" ht="14.25" customHeight="1"/>
    <row r="772" s="30" customFormat="1" ht="14.25" customHeight="1"/>
    <row r="773" s="30" customFormat="1" ht="14.25" customHeight="1"/>
    <row r="774" s="30" customFormat="1" ht="14.25" customHeight="1"/>
    <row r="775" s="30" customFormat="1" ht="14.25" customHeight="1"/>
    <row r="776" s="30" customFormat="1" ht="14.25" customHeight="1"/>
    <row r="777" s="30" customFormat="1" ht="14.25" customHeight="1"/>
    <row r="778" s="30" customFormat="1" ht="14.25" customHeight="1"/>
    <row r="779" s="30" customFormat="1" ht="14.25" customHeight="1"/>
    <row r="780" s="30" customFormat="1" ht="14.25" customHeight="1"/>
    <row r="781" s="30" customFormat="1" ht="14.25" customHeight="1"/>
    <row r="782" s="30" customFormat="1" ht="14.25" customHeight="1"/>
    <row r="783" s="30" customFormat="1" ht="14.25" customHeight="1"/>
    <row r="784" s="30" customFormat="1" ht="14.25" customHeight="1"/>
    <row r="785" s="30" customFormat="1" ht="14.25" customHeight="1"/>
    <row r="786" s="30" customFormat="1" ht="14.25" customHeight="1"/>
    <row r="787" s="30" customFormat="1" ht="14.25" customHeight="1"/>
    <row r="788" s="30" customFormat="1" ht="14.25" customHeight="1"/>
    <row r="789" s="30" customFormat="1" ht="14.25" customHeight="1"/>
    <row r="790" s="30" customFormat="1" ht="14.25" customHeight="1"/>
    <row r="791" s="30" customFormat="1" ht="14.25" customHeight="1"/>
    <row r="792" s="30" customFormat="1" ht="14.25" customHeight="1"/>
    <row r="793" s="30" customFormat="1" ht="14.25" customHeight="1"/>
    <row r="794" s="30" customFormat="1" ht="14.25" customHeight="1"/>
    <row r="795" s="30" customFormat="1" ht="14.25" customHeight="1"/>
    <row r="796" s="30" customFormat="1" ht="14.25" customHeight="1"/>
    <row r="797" s="30" customFormat="1" ht="14.25" customHeight="1"/>
    <row r="798" s="30" customFormat="1" ht="14.25" customHeight="1"/>
    <row r="799" s="30" customFormat="1" ht="14.25" customHeight="1"/>
    <row r="800" s="30" customFormat="1" ht="14.25" customHeight="1"/>
    <row r="801" s="30" customFormat="1" ht="14.25" customHeight="1"/>
    <row r="802" s="30" customFormat="1" ht="14.25" customHeight="1"/>
    <row r="803" s="30" customFormat="1" ht="14.25" customHeight="1"/>
    <row r="804" s="30" customFormat="1" ht="14.25" customHeight="1"/>
    <row r="805" s="30" customFormat="1" ht="14.25" customHeight="1"/>
    <row r="806" s="30" customFormat="1" ht="14.25" customHeight="1"/>
    <row r="807" s="30" customFormat="1" ht="14.25" customHeight="1"/>
    <row r="808" s="30" customFormat="1" ht="14.25" customHeight="1"/>
    <row r="809" s="30" customFormat="1" ht="14.25" customHeight="1"/>
    <row r="810" s="30" customFormat="1" ht="14.25" customHeight="1"/>
    <row r="811" s="30" customFormat="1" ht="14.25" customHeight="1"/>
    <row r="812" s="30" customFormat="1" ht="14.25" customHeight="1"/>
    <row r="813" s="30" customFormat="1" ht="14.25" customHeight="1"/>
    <row r="814" s="30" customFormat="1" ht="14.25" customHeight="1"/>
    <row r="815" s="30" customFormat="1" ht="14.25" customHeight="1"/>
    <row r="816" s="30" customFormat="1" ht="14.25" customHeight="1"/>
    <row r="817" s="30" customFormat="1" ht="14.25" customHeight="1"/>
    <row r="818" s="30" customFormat="1" ht="14.25" customHeight="1"/>
    <row r="819" s="30" customFormat="1" ht="14.25" customHeight="1"/>
    <row r="820" s="30" customFormat="1" ht="14.25" customHeight="1"/>
    <row r="821" s="30" customFormat="1" ht="14.25" customHeight="1"/>
    <row r="822" s="30" customFormat="1" ht="14.25" customHeight="1"/>
    <row r="823" s="30" customFormat="1" ht="14.25" customHeight="1"/>
    <row r="824" s="30" customFormat="1" ht="14.25" customHeight="1"/>
    <row r="825" s="30" customFormat="1" ht="14.25" customHeight="1"/>
    <row r="826" s="30" customFormat="1" ht="14.25" customHeight="1"/>
    <row r="827" s="30" customFormat="1" ht="14.25" customHeight="1"/>
    <row r="828" s="30" customFormat="1" ht="14.25" customHeight="1"/>
    <row r="829" s="30" customFormat="1" ht="14.25" customHeight="1"/>
    <row r="830" s="30" customFormat="1" ht="14.25" customHeight="1"/>
    <row r="831" s="30" customFormat="1" ht="14.25" customHeight="1"/>
    <row r="832" s="30" customFormat="1" ht="14.25" customHeight="1"/>
    <row r="833" s="30" customFormat="1" ht="14.25" customHeight="1"/>
    <row r="834" s="30" customFormat="1" ht="14.25" customHeight="1"/>
    <row r="835" s="30" customFormat="1" ht="14.25" customHeight="1"/>
    <row r="836" s="30" customFormat="1" ht="14.25" customHeight="1"/>
    <row r="837" s="30" customFormat="1" ht="14.25" customHeight="1"/>
    <row r="838" s="30" customFormat="1" ht="14.25" customHeight="1"/>
    <row r="839" s="30" customFormat="1" ht="14.25" customHeight="1"/>
    <row r="840" s="30" customFormat="1" ht="14.25" customHeight="1"/>
    <row r="841" s="30" customFormat="1" ht="14.25" customHeight="1"/>
    <row r="842" s="30" customFormat="1" ht="14.25" customHeight="1"/>
    <row r="843" s="30" customFormat="1" ht="14.25" customHeight="1"/>
    <row r="844" s="30" customFormat="1" ht="14.25" customHeight="1"/>
    <row r="845" s="30" customFormat="1" ht="14.25" customHeight="1"/>
    <row r="846" s="30" customFormat="1" ht="14.25" customHeight="1"/>
    <row r="847" s="30" customFormat="1" ht="14.25" customHeight="1"/>
    <row r="848" s="30" customFormat="1" ht="14.25" customHeight="1"/>
    <row r="849" s="30" customFormat="1" ht="14.25" customHeight="1"/>
    <row r="850" s="30" customFormat="1" ht="14.25" customHeight="1"/>
    <row r="851" s="30" customFormat="1" ht="14.25" customHeight="1"/>
    <row r="852" s="30" customFormat="1" ht="14.25" customHeight="1"/>
    <row r="853" s="30" customFormat="1" ht="14.25" customHeight="1"/>
    <row r="854" s="30" customFormat="1" ht="14.25" customHeight="1"/>
    <row r="855" s="30" customFormat="1" ht="14.25" customHeight="1"/>
    <row r="856" s="30" customFormat="1" ht="14.25" customHeight="1"/>
    <row r="857" s="30" customFormat="1" ht="14.25" customHeight="1"/>
    <row r="858" s="30" customFormat="1" ht="14.25" customHeight="1"/>
    <row r="859" s="30" customFormat="1" ht="14.25" customHeight="1"/>
    <row r="860" s="30" customFormat="1" ht="14.25" customHeight="1"/>
    <row r="861" s="30" customFormat="1" ht="14.25" customHeight="1"/>
    <row r="862" s="30" customFormat="1" ht="14.25" customHeight="1"/>
    <row r="863" s="30" customFormat="1" ht="14.25" customHeight="1"/>
    <row r="864" s="30" customFormat="1" ht="14.25" customHeight="1"/>
    <row r="865" s="30" customFormat="1" ht="14.25" customHeight="1"/>
    <row r="866" s="30" customFormat="1" ht="14.25" customHeight="1"/>
    <row r="867" s="30" customFormat="1" ht="14.25" customHeight="1"/>
    <row r="868" s="30" customFormat="1" ht="14.25" customHeight="1"/>
    <row r="869" s="30" customFormat="1" ht="14.25" customHeight="1"/>
    <row r="870" s="30" customFormat="1" ht="14.25" customHeight="1"/>
    <row r="871" s="30" customFormat="1" ht="14.25" customHeight="1"/>
    <row r="872" s="30" customFormat="1" ht="14.25" customHeight="1"/>
    <row r="873" s="30" customFormat="1" ht="14.25" customHeight="1"/>
    <row r="874" s="30" customFormat="1" ht="14.25" customHeight="1"/>
    <row r="875" s="30" customFormat="1" ht="14.25" customHeight="1"/>
    <row r="876" s="30" customFormat="1" ht="14.25" customHeight="1"/>
    <row r="877" s="30" customFormat="1" ht="14.25" customHeight="1"/>
    <row r="878" s="30" customFormat="1" ht="14.25" customHeight="1"/>
    <row r="879" s="30" customFormat="1" ht="14.25" customHeight="1"/>
    <row r="880" s="30" customFormat="1" ht="14.25" customHeight="1"/>
    <row r="881" s="30" customFormat="1" ht="14.25" customHeight="1"/>
    <row r="882" s="30" customFormat="1" ht="14.25" customHeight="1"/>
    <row r="883" s="30" customFormat="1" ht="14.25" customHeight="1"/>
    <row r="884" s="30" customFormat="1" ht="14.25" customHeight="1"/>
    <row r="885" s="30" customFormat="1" ht="14.25" customHeight="1"/>
    <row r="886" s="30" customFormat="1" ht="14.25" customHeight="1"/>
    <row r="887" s="30" customFormat="1" ht="14.25" customHeight="1"/>
    <row r="888" s="30" customFormat="1" ht="14.25" customHeight="1"/>
    <row r="889" s="30" customFormat="1" ht="14.25" customHeight="1"/>
    <row r="890" s="30" customFormat="1" ht="14.25" customHeight="1"/>
    <row r="891" s="30" customFormat="1" ht="14.25" customHeight="1"/>
    <row r="892" s="30" customFormat="1" ht="14.25" customHeight="1"/>
    <row r="893" s="30" customFormat="1" ht="14.25" customHeight="1"/>
    <row r="894" s="30" customFormat="1" ht="14.25" customHeight="1"/>
    <row r="895" s="30" customFormat="1" ht="14.25" customHeight="1"/>
    <row r="896" s="30" customFormat="1" ht="14.25" customHeight="1"/>
    <row r="897" s="30" customFormat="1" ht="14.25" customHeight="1"/>
    <row r="898" s="30" customFormat="1" ht="14.25" customHeight="1"/>
    <row r="899" s="30" customFormat="1" ht="14.25" customHeight="1"/>
    <row r="900" s="30" customFormat="1" ht="14.25" customHeight="1"/>
    <row r="901" s="30" customFormat="1" ht="14.25" customHeight="1"/>
    <row r="902" s="30" customFormat="1" ht="14.25" customHeight="1"/>
    <row r="903" s="30" customFormat="1" ht="14.25" customHeight="1"/>
    <row r="904" s="30" customFormat="1" ht="14.25" customHeight="1"/>
    <row r="905" s="30" customFormat="1" ht="14.25" customHeight="1"/>
    <row r="906" s="30" customFormat="1" ht="14.25" customHeight="1"/>
    <row r="907" s="30" customFormat="1" ht="14.25" customHeight="1"/>
    <row r="908" s="30" customFormat="1" ht="14.25" customHeight="1"/>
    <row r="909" s="30" customFormat="1" ht="14.25" customHeight="1"/>
    <row r="910" s="30" customFormat="1" ht="14.25" customHeight="1"/>
    <row r="911" s="30" customFormat="1" ht="14.25" customHeight="1"/>
    <row r="912" s="30" customFormat="1" ht="14.25" customHeight="1"/>
    <row r="913" s="30" customFormat="1" ht="14.25" customHeight="1"/>
    <row r="914" s="30" customFormat="1" ht="14.25" customHeight="1"/>
    <row r="915" s="30" customFormat="1" ht="14.25" customHeight="1"/>
    <row r="916" s="30" customFormat="1" ht="14.25" customHeight="1"/>
    <row r="917" s="30" customFormat="1" ht="14.25" customHeight="1"/>
    <row r="918" s="30" customFormat="1" ht="14.25" customHeight="1"/>
    <row r="919" s="30" customFormat="1" ht="14.25" customHeight="1"/>
    <row r="920" s="30" customFormat="1" ht="14.25" customHeight="1"/>
    <row r="921" s="30" customFormat="1" ht="14.25" customHeight="1"/>
    <row r="922" s="30" customFormat="1" ht="14.25" customHeight="1"/>
    <row r="923" s="30" customFormat="1" ht="14.25" customHeight="1"/>
    <row r="924" s="30" customFormat="1" ht="14.25" customHeight="1"/>
    <row r="925" s="30" customFormat="1" ht="14.25" customHeight="1"/>
    <row r="926" s="30" customFormat="1" ht="14.25" customHeight="1"/>
    <row r="927" s="30" customFormat="1" ht="14.25" customHeight="1"/>
    <row r="928" s="30" customFormat="1" ht="14.25" customHeight="1"/>
    <row r="929" s="30" customFormat="1" ht="14.25" customHeight="1"/>
    <row r="930" s="30" customFormat="1" ht="14.25" customHeight="1"/>
    <row r="931" s="30" customFormat="1" ht="14.25" customHeight="1"/>
    <row r="932" s="30" customFormat="1" ht="14.25" customHeight="1"/>
    <row r="933" s="30" customFormat="1" ht="14.25" customHeight="1"/>
    <row r="934" s="30" customFormat="1" ht="14.25" customHeight="1"/>
    <row r="935" s="30" customFormat="1" ht="14.25" customHeight="1"/>
    <row r="936" s="30" customFormat="1" ht="14.25" customHeight="1"/>
    <row r="937" s="30" customFormat="1" ht="14.25" customHeight="1"/>
    <row r="938" s="30" customFormat="1" ht="14.25" customHeight="1"/>
    <row r="939" s="30" customFormat="1" ht="14.25" customHeight="1"/>
    <row r="940" s="30" customFormat="1" ht="14.25" customHeight="1"/>
    <row r="941" s="30" customFormat="1" ht="14.25" customHeight="1"/>
    <row r="942" s="30" customFormat="1" ht="14.25" customHeight="1"/>
    <row r="943" s="30" customFormat="1" ht="14.25" customHeight="1"/>
    <row r="944" s="30" customFormat="1" ht="14.25" customHeight="1"/>
    <row r="945" s="30" customFormat="1" ht="14.25" customHeight="1"/>
    <row r="946" s="30" customFormat="1" ht="14.25" customHeight="1"/>
    <row r="947" s="30" customFormat="1" ht="14.25" customHeight="1"/>
    <row r="948" s="30" customFormat="1" ht="14.25" customHeight="1"/>
    <row r="949" s="30" customFormat="1" ht="14.25" customHeight="1"/>
    <row r="950" s="30" customFormat="1" ht="14.25" customHeight="1"/>
    <row r="951" s="30" customFormat="1" ht="14.25" customHeight="1"/>
    <row r="952" s="30" customFormat="1" ht="14.25" customHeight="1"/>
    <row r="953" s="30" customFormat="1" ht="14.25" customHeight="1"/>
    <row r="954" s="30" customFormat="1" ht="14.25" customHeight="1"/>
    <row r="955" s="30" customFormat="1" ht="14.25" customHeight="1"/>
    <row r="956" s="30" customFormat="1" ht="14.25" customHeight="1"/>
    <row r="957" s="30" customFormat="1" ht="14.25" customHeight="1"/>
    <row r="958" s="30" customFormat="1" ht="14.25" customHeight="1"/>
    <row r="959" s="30" customFormat="1" ht="14.25" customHeight="1"/>
    <row r="960" s="30" customFormat="1" ht="14.25" customHeight="1"/>
    <row r="961" s="30" customFormat="1" ht="14.25" customHeight="1"/>
    <row r="962" s="30" customFormat="1" ht="14.25" customHeight="1"/>
    <row r="963" s="30" customFormat="1" ht="14.25" customHeight="1"/>
    <row r="964" s="30" customFormat="1" ht="14.25" customHeight="1"/>
    <row r="965" s="30" customFormat="1" ht="14.25" customHeight="1"/>
    <row r="966" s="30" customFormat="1" ht="14.25" customHeight="1"/>
    <row r="967" s="30" customFormat="1" ht="14.25" customHeight="1"/>
    <row r="968" s="30" customFormat="1" ht="14.25" customHeight="1"/>
    <row r="969" s="30" customFormat="1" ht="14.25" customHeight="1"/>
    <row r="970" s="30" customFormat="1" ht="14.25" customHeight="1"/>
    <row r="971" s="30" customFormat="1" ht="14.25" customHeight="1"/>
    <row r="972" s="30" customFormat="1" ht="14.25" customHeight="1"/>
    <row r="973" s="30" customFormat="1" ht="14.25" customHeight="1"/>
    <row r="974" s="30" customFormat="1" ht="14.25" customHeight="1"/>
    <row r="975" s="30" customFormat="1" ht="14.25" customHeight="1"/>
    <row r="976" s="30" customFormat="1" ht="14.25" customHeight="1"/>
    <row r="977" s="30" customFormat="1" ht="14.25" customHeight="1"/>
    <row r="978" s="30" customFormat="1" ht="14.25" customHeight="1"/>
    <row r="979" s="30" customFormat="1" ht="14.25" customHeight="1"/>
    <row r="980" s="30" customFormat="1" ht="14.25" customHeight="1"/>
    <row r="981" s="30" customFormat="1" ht="14.25" customHeight="1"/>
    <row r="982" s="30" customFormat="1" ht="14.25" customHeight="1"/>
    <row r="983" s="30" customFormat="1" ht="14.25" customHeight="1"/>
    <row r="984" s="30" customFormat="1" ht="14.25" customHeight="1"/>
    <row r="985" s="30" customFormat="1" ht="14.25" customHeight="1"/>
    <row r="986" s="30" customFormat="1" ht="14.25" customHeight="1"/>
    <row r="987" s="30" customFormat="1" ht="14.25" customHeight="1"/>
    <row r="988" s="30" customFormat="1" ht="14.25" customHeight="1"/>
    <row r="989" s="30" customFormat="1" ht="14.25" customHeight="1"/>
    <row r="990" s="30" customFormat="1" ht="14.25" customHeight="1"/>
    <row r="991" s="30" customFormat="1" ht="14.25" customHeight="1"/>
    <row r="992" s="30" customFormat="1" ht="14.25" customHeight="1"/>
    <row r="993" s="30" customFormat="1" ht="14.25" customHeight="1"/>
    <row r="994" s="30" customFormat="1" ht="14.25" customHeight="1"/>
    <row r="995" s="30" customFormat="1" ht="14.25" customHeight="1"/>
    <row r="996" s="30" customFormat="1" ht="14.25" customHeight="1"/>
    <row r="997" s="30" customFormat="1" ht="14.25" customHeight="1"/>
    <row r="998" s="30" customFormat="1" ht="14.25" customHeight="1"/>
    <row r="999" s="30" customFormat="1" ht="14.25" customHeight="1"/>
    <row r="1000" s="30" customFormat="1" ht="14.25" customHeight="1"/>
    <row r="1001" s="30" customFormat="1" ht="14.25" customHeight="1"/>
    <row r="1002" s="30" customFormat="1" ht="14.25" customHeight="1"/>
    <row r="1003" s="30" customFormat="1" ht="14.25" customHeight="1"/>
    <row r="1004" s="30" customFormat="1" ht="14.25" customHeight="1"/>
    <row r="1005" s="30" customFormat="1" ht="14.25" customHeight="1"/>
    <row r="1006" s="30" customFormat="1" ht="14.25" customHeight="1"/>
  </sheetData>
  <mergeCells count="7">
    <mergeCell ref="A41:E41"/>
    <mergeCell ref="A46:E46"/>
    <mergeCell ref="A11:H12"/>
    <mergeCell ref="A15:E15"/>
    <mergeCell ref="A19:E19"/>
    <mergeCell ref="A33:H33"/>
    <mergeCell ref="A37:H38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0133-6961-4E3D-8622-472A10724A58}">
  <dimension ref="A1:L45"/>
  <sheetViews>
    <sheetView topLeftCell="A19" zoomScaleNormal="100" workbookViewId="0">
      <selection activeCell="B45" sqref="B45"/>
    </sheetView>
  </sheetViews>
  <sheetFormatPr defaultColWidth="8" defaultRowHeight="15"/>
  <cols>
    <col min="1" max="1" width="22.25" style="55" customWidth="1"/>
    <col min="2" max="2" width="13.625" style="55" customWidth="1"/>
    <col min="3" max="3" width="13" style="55" customWidth="1"/>
    <col min="4" max="4" width="11.75" style="55" customWidth="1"/>
    <col min="5" max="5" width="14.375" style="55" bestFit="1" customWidth="1"/>
    <col min="6" max="6" width="12.25" style="55" bestFit="1" customWidth="1"/>
    <col min="7" max="7" width="13.25" style="55" bestFit="1" customWidth="1"/>
    <col min="8" max="8" width="11.25" style="55" bestFit="1" customWidth="1"/>
    <col min="9" max="10" width="12.25" style="55" bestFit="1" customWidth="1"/>
    <col min="11" max="11" width="11.25" style="55" bestFit="1" customWidth="1"/>
    <col min="12" max="12" width="10.5" style="55" bestFit="1" customWidth="1"/>
    <col min="13" max="16384" width="8" style="55"/>
  </cols>
  <sheetData>
    <row r="1" spans="1:6">
      <c r="A1" s="69" t="s">
        <v>90</v>
      </c>
    </row>
    <row r="2" spans="1:6">
      <c r="A2" s="60" t="s">
        <v>142</v>
      </c>
      <c r="B2" s="60" t="s">
        <v>141</v>
      </c>
      <c r="C2" s="60" t="s">
        <v>140</v>
      </c>
      <c r="D2" s="60" t="s">
        <v>139</v>
      </c>
    </row>
    <row r="3" spans="1:6" ht="15.75">
      <c r="A3" s="60" t="s">
        <v>73</v>
      </c>
      <c r="B3" s="68">
        <v>750</v>
      </c>
      <c r="C3" s="67">
        <v>100</v>
      </c>
      <c r="D3" s="67">
        <v>0.25</v>
      </c>
    </row>
    <row r="4" spans="1:6" ht="15.75">
      <c r="A4" s="60" t="s">
        <v>72</v>
      </c>
      <c r="B4" s="68">
        <v>3000</v>
      </c>
      <c r="C4" s="67">
        <v>50</v>
      </c>
      <c r="D4" s="67">
        <v>0.35</v>
      </c>
    </row>
    <row r="5" spans="1:6" ht="15.75">
      <c r="A5" s="60" t="s">
        <v>124</v>
      </c>
      <c r="B5" s="68">
        <v>-4000</v>
      </c>
      <c r="C5" s="67">
        <v>77</v>
      </c>
      <c r="D5" s="67">
        <v>0.1</v>
      </c>
    </row>
    <row r="6" spans="1:6">
      <c r="D6" s="56"/>
    </row>
    <row r="7" spans="1:6">
      <c r="A7" s="60" t="s">
        <v>138</v>
      </c>
      <c r="B7" s="62" t="s">
        <v>73</v>
      </c>
      <c r="C7" s="62" t="s">
        <v>72</v>
      </c>
      <c r="D7" s="62" t="s">
        <v>124</v>
      </c>
    </row>
    <row r="8" spans="1:6" ht="15.75">
      <c r="A8" s="60" t="s">
        <v>73</v>
      </c>
      <c r="B8" s="66">
        <v>1</v>
      </c>
      <c r="C8" s="66">
        <v>0.8</v>
      </c>
      <c r="D8" s="66">
        <v>0.2</v>
      </c>
    </row>
    <row r="9" spans="1:6" ht="15.75">
      <c r="A9" s="60" t="s">
        <v>72</v>
      </c>
      <c r="B9" s="66">
        <v>0.8</v>
      </c>
      <c r="C9" s="66">
        <v>1</v>
      </c>
      <c r="D9" s="66">
        <v>0.5</v>
      </c>
    </row>
    <row r="10" spans="1:6" ht="15.75">
      <c r="A10" s="60" t="s">
        <v>124</v>
      </c>
      <c r="B10" s="66">
        <v>0.2</v>
      </c>
      <c r="C10" s="66">
        <v>0.5</v>
      </c>
      <c r="D10" s="66">
        <v>1</v>
      </c>
    </row>
    <row r="12" spans="1:6">
      <c r="A12" s="55" t="s">
        <v>137</v>
      </c>
    </row>
    <row r="14" spans="1:6">
      <c r="A14" s="55" t="s">
        <v>136</v>
      </c>
    </row>
    <row r="15" spans="1:6" ht="15" customHeight="1">
      <c r="A15" s="97" t="s">
        <v>135</v>
      </c>
      <c r="B15" s="97"/>
      <c r="C15" s="97"/>
      <c r="D15" s="97"/>
      <c r="E15" s="97"/>
      <c r="F15" s="97"/>
    </row>
    <row r="16" spans="1:6">
      <c r="A16" s="64" t="s">
        <v>134</v>
      </c>
      <c r="B16" s="64"/>
      <c r="C16" s="64"/>
      <c r="D16" s="64"/>
      <c r="E16" s="64"/>
      <c r="F16" s="64"/>
    </row>
    <row r="17" spans="1:12" ht="15" customHeight="1">
      <c r="A17" s="98" t="s">
        <v>8</v>
      </c>
      <c r="B17" s="99"/>
      <c r="C17" s="99"/>
      <c r="D17" s="99"/>
      <c r="E17" s="99"/>
    </row>
    <row r="19" spans="1:12">
      <c r="A19" s="63" t="s">
        <v>133</v>
      </c>
      <c r="B19" s="62" t="s">
        <v>73</v>
      </c>
      <c r="C19" s="62" t="s">
        <v>72</v>
      </c>
      <c r="D19" s="62" t="s">
        <v>124</v>
      </c>
    </row>
    <row r="20" spans="1:12" ht="15.75">
      <c r="A20" s="60" t="s">
        <v>126</v>
      </c>
      <c r="B20" s="61">
        <f>SQRT(10/250*C3^2*D3^2)*_xlfn.NORM.INV(0.99,0,1)</f>
        <v>11.631739370204205</v>
      </c>
      <c r="C20" s="61">
        <f>SQRT(10/250*C4^2*D4^2)*_xlfn.NORM.INV(0.99,0,1)</f>
        <v>8.1422175591429422</v>
      </c>
      <c r="D20" s="61">
        <f>SQRT(10/250*C5^2*D5^2)*_xlfn.NORM.INV(0.99,0,1)</f>
        <v>3.582575726022895</v>
      </c>
    </row>
    <row r="21" spans="1:12" ht="15.75">
      <c r="A21" s="60" t="s">
        <v>132</v>
      </c>
      <c r="B21" s="61">
        <f>SQRT(10/250)*_xlfn.PHI(_xlfn.NORM.INV(0.975,0,1))/(1-0.975)*C3*D3</f>
        <v>11.689013961007078</v>
      </c>
      <c r="C21" s="61">
        <f>SQRT(10/250)*_xlfn.PHI(_xlfn.NORM.INV(0.975,0,1))/(1-0.975)*C4*D4</f>
        <v>8.1823097727049543</v>
      </c>
      <c r="D21" s="61">
        <f>SQRT(10/250)*_xlfn.PHI(_xlfn.NORM.INV(0.975,0,1))/(1-0.975)*C5*D5</f>
        <v>3.6002162999901799</v>
      </c>
    </row>
    <row r="23" spans="1:12">
      <c r="A23" s="95" t="s">
        <v>6</v>
      </c>
      <c r="B23" s="96"/>
      <c r="C23" s="96"/>
      <c r="D23" s="96"/>
      <c r="E23" s="96"/>
    </row>
    <row r="26" spans="1:12">
      <c r="K26" s="65"/>
      <c r="L26" s="65"/>
    </row>
    <row r="27" spans="1:12">
      <c r="K27" s="65"/>
      <c r="L27" s="65"/>
    </row>
    <row r="28" spans="1:12">
      <c r="K28" s="65"/>
      <c r="L28" s="65"/>
    </row>
    <row r="29" spans="1:12">
      <c r="I29" s="56"/>
    </row>
    <row r="30" spans="1:12">
      <c r="A30" s="55" t="s">
        <v>131</v>
      </c>
    </row>
    <row r="31" spans="1:12" ht="15" customHeight="1">
      <c r="A31" s="100" t="s">
        <v>130</v>
      </c>
      <c r="B31" s="100"/>
      <c r="C31" s="100"/>
      <c r="D31" s="100"/>
      <c r="E31" s="100"/>
      <c r="F31" s="100"/>
    </row>
    <row r="32" spans="1:12">
      <c r="A32" s="64" t="s">
        <v>129</v>
      </c>
    </row>
    <row r="34" spans="1:9">
      <c r="A34" s="98" t="s">
        <v>8</v>
      </c>
      <c r="B34" s="99"/>
      <c r="C34" s="99"/>
      <c r="D34" s="99"/>
      <c r="E34" s="99"/>
    </row>
    <row r="36" spans="1:9">
      <c r="A36" s="63" t="s">
        <v>128</v>
      </c>
      <c r="B36" s="62" t="s">
        <v>127</v>
      </c>
    </row>
    <row r="37" spans="1:9" ht="15.75">
      <c r="A37" s="60" t="s">
        <v>126</v>
      </c>
      <c r="B37" s="61">
        <f>_xlfn.NORM.INV(0.99,0,1)*B45*SQRT(1/250)</f>
        <v>9050.0045336803269</v>
      </c>
    </row>
    <row r="38" spans="1:9" ht="15.75">
      <c r="A38" s="60" t="s">
        <v>125</v>
      </c>
      <c r="B38" s="59">
        <f>_xlfn.PHI(_xlfn.NORM.INV(0.99,0,1))/(1-0.99)*B45*SQRT(1/250)</f>
        <v>10368.269099609035</v>
      </c>
      <c r="I38" s="58"/>
    </row>
    <row r="40" spans="1:9">
      <c r="A40" s="95" t="s">
        <v>6</v>
      </c>
      <c r="B40" s="96"/>
      <c r="C40" s="96"/>
      <c r="D40" s="96"/>
      <c r="E40" s="96"/>
    </row>
    <row r="42" spans="1:9" ht="15.75">
      <c r="A42" s="57" t="s">
        <v>73</v>
      </c>
      <c r="B42" s="57">
        <f>PRODUCT(C3:D3,B3)</f>
        <v>18750</v>
      </c>
    </row>
    <row r="43" spans="1:9" ht="15.75">
      <c r="A43" s="57" t="s">
        <v>72</v>
      </c>
      <c r="B43" s="57">
        <f>PRODUCT(C4:D4,B4)</f>
        <v>52500</v>
      </c>
    </row>
    <row r="44" spans="1:9" ht="15.75">
      <c r="A44" s="57" t="s">
        <v>124</v>
      </c>
      <c r="B44" s="57">
        <f>PRODUCT(C5:D5,B5)</f>
        <v>-30800</v>
      </c>
    </row>
    <row r="45" spans="1:9" ht="15.75">
      <c r="A45" s="57" t="s">
        <v>123</v>
      </c>
      <c r="B45" s="57">
        <f>SQRT(B42^2+B43^2+B44^2+2*((B42*B43*C8+B42*B44*D8+B43*B44*D9)))</f>
        <v>61509.775645827227</v>
      </c>
      <c r="H45" s="56"/>
    </row>
  </sheetData>
  <mergeCells count="6">
    <mergeCell ref="A40:E40"/>
    <mergeCell ref="A15:F15"/>
    <mergeCell ref="A17:E17"/>
    <mergeCell ref="A23:E23"/>
    <mergeCell ref="A31:F31"/>
    <mergeCell ref="A34:E3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2FD6-99DB-4947-BF5E-3AB436F38E75}">
  <dimension ref="A1:Q50"/>
  <sheetViews>
    <sheetView workbookViewId="0">
      <selection activeCell="E8" sqref="E8"/>
    </sheetView>
  </sheetViews>
  <sheetFormatPr defaultColWidth="8.75" defaultRowHeight="15"/>
  <cols>
    <col min="1" max="2" width="8.75" style="70"/>
    <col min="3" max="3" width="11.125" style="70" bestFit="1" customWidth="1"/>
    <col min="4" max="4" width="8.75" style="70"/>
    <col min="5" max="5" width="9" style="70" bestFit="1" customWidth="1"/>
    <col min="6" max="7" width="8.75" style="70"/>
    <col min="8" max="8" width="12.125" style="70" bestFit="1" customWidth="1"/>
    <col min="9" max="9" width="8.75" style="70"/>
    <col min="10" max="10" width="17.125" style="70" bestFit="1" customWidth="1"/>
    <col min="11" max="11" width="17" style="70" customWidth="1"/>
    <col min="12" max="12" width="13.125" style="70" customWidth="1"/>
    <col min="13" max="13" width="12.5" style="70" customWidth="1"/>
    <col min="14" max="16384" width="8.75" style="70"/>
  </cols>
  <sheetData>
    <row r="1" spans="2:17">
      <c r="B1" s="70" t="s">
        <v>149</v>
      </c>
      <c r="C1" s="70" t="s">
        <v>148</v>
      </c>
      <c r="D1" s="70" t="s">
        <v>187</v>
      </c>
      <c r="E1" s="70" t="s">
        <v>186</v>
      </c>
      <c r="F1" s="70" t="s">
        <v>147</v>
      </c>
      <c r="H1" s="70" t="s">
        <v>149</v>
      </c>
      <c r="I1" s="70" t="s">
        <v>148</v>
      </c>
      <c r="J1" s="70" t="s">
        <v>187</v>
      </c>
      <c r="K1" s="70" t="s">
        <v>186</v>
      </c>
      <c r="L1" s="70" t="s">
        <v>147</v>
      </c>
      <c r="M1" s="70" t="s">
        <v>185</v>
      </c>
    </row>
    <row r="2" spans="2:17">
      <c r="B2" s="70" t="s">
        <v>146</v>
      </c>
      <c r="D2" s="70" t="s">
        <v>184</v>
      </c>
      <c r="E2" s="70" t="s">
        <v>145</v>
      </c>
      <c r="F2" s="70" t="s">
        <v>144</v>
      </c>
      <c r="H2" s="70" t="s">
        <v>146</v>
      </c>
      <c r="J2" s="70" t="s">
        <v>184</v>
      </c>
      <c r="K2" s="70" t="s">
        <v>145</v>
      </c>
      <c r="L2" s="70" t="s">
        <v>144</v>
      </c>
      <c r="O2" s="70" t="s">
        <v>183</v>
      </c>
    </row>
    <row r="3" spans="2:17" ht="15.75">
      <c r="B3" s="70">
        <v>0</v>
      </c>
      <c r="C3" s="58">
        <v>0</v>
      </c>
      <c r="D3" s="70">
        <v>1</v>
      </c>
      <c r="H3" s="70">
        <v>0</v>
      </c>
      <c r="I3" s="70">
        <v>0</v>
      </c>
      <c r="J3" s="85">
        <v>1</v>
      </c>
      <c r="P3" s="70">
        <v>5.2</v>
      </c>
      <c r="Q3" s="70" t="s">
        <v>169</v>
      </c>
    </row>
    <row r="4" spans="2:17" ht="15.75">
      <c r="B4" s="70">
        <v>1</v>
      </c>
      <c r="C4" s="58">
        <v>0.25</v>
      </c>
      <c r="D4" s="81">
        <v>0.99</v>
      </c>
      <c r="E4" s="80">
        <f t="shared" ref="E4:E12" si="0">-LN(D4/D3)/0.25</f>
        <v>4.0201343414005802E-2</v>
      </c>
      <c r="F4" s="80">
        <f t="shared" ref="F4:F12" si="1">-LN(D4)/C4</f>
        <v>4.0201343414005802E-2</v>
      </c>
      <c r="H4" s="70">
        <v>1</v>
      </c>
      <c r="I4" s="70">
        <v>0.25</v>
      </c>
      <c r="J4" s="84">
        <v>0.99</v>
      </c>
      <c r="K4" s="78">
        <f>ROUND(-LN(J4/J3)/0.25,5)</f>
        <v>4.02E-2</v>
      </c>
      <c r="L4" s="78">
        <f t="shared" ref="L4:L9" si="2">ROUND(-LN(J4)/I4,5)</f>
        <v>4.02E-2</v>
      </c>
      <c r="M4" s="82">
        <f>ROUND(1/C4*SUM(K$4:K4)*0.25,5)</f>
        <v>4.02E-2</v>
      </c>
      <c r="P4" s="70">
        <v>5.4</v>
      </c>
      <c r="Q4" s="70" t="s">
        <v>168</v>
      </c>
    </row>
    <row r="5" spans="2:17" ht="15.75">
      <c r="B5" s="70">
        <v>2</v>
      </c>
      <c r="C5" s="58">
        <v>0.5</v>
      </c>
      <c r="D5" s="81">
        <v>0.98</v>
      </c>
      <c r="E5" s="80">
        <f t="shared" si="0"/>
        <v>4.0609485856071846E-2</v>
      </c>
      <c r="F5" s="80">
        <f t="shared" si="1"/>
        <v>4.0405414635038932E-2</v>
      </c>
      <c r="H5" s="70">
        <v>2</v>
      </c>
      <c r="I5" s="70">
        <v>0.5</v>
      </c>
      <c r="J5" s="84">
        <v>0.98</v>
      </c>
      <c r="K5" s="78">
        <f>ROUND(-LN(J5/J4)/0.25,5)</f>
        <v>4.061E-2</v>
      </c>
      <c r="L5" s="78">
        <f t="shared" si="2"/>
        <v>4.0410000000000001E-2</v>
      </c>
      <c r="M5" s="82">
        <f>ROUND(1/C5*SUM(K$4:K5)*0.25,5)</f>
        <v>4.0410000000000001E-2</v>
      </c>
      <c r="P5" s="70">
        <v>5.21</v>
      </c>
      <c r="Q5" s="70" t="s">
        <v>167</v>
      </c>
    </row>
    <row r="6" spans="2:17" ht="15.75">
      <c r="B6" s="70">
        <v>3</v>
      </c>
      <c r="C6" s="58">
        <v>0.75</v>
      </c>
      <c r="D6" s="81">
        <v>0.97</v>
      </c>
      <c r="E6" s="80">
        <f t="shared" si="0"/>
        <v>4.1026000668756439E-2</v>
      </c>
      <c r="F6" s="80">
        <f t="shared" si="1"/>
        <v>4.0612276646278096E-2</v>
      </c>
      <c r="H6" s="70">
        <v>3</v>
      </c>
      <c r="I6" s="70">
        <v>0.75</v>
      </c>
      <c r="J6" s="84">
        <v>0.97</v>
      </c>
      <c r="K6" s="78">
        <f>ROUND(-LN(J6/J5)/0.25,5)</f>
        <v>4.1029999999999997E-2</v>
      </c>
      <c r="L6" s="78">
        <f t="shared" si="2"/>
        <v>4.061E-2</v>
      </c>
      <c r="M6" s="82">
        <f>ROUND(1/C6*SUM(K$4:K6)*0.25,5)</f>
        <v>4.061E-2</v>
      </c>
      <c r="Q6" s="70" t="s">
        <v>166</v>
      </c>
    </row>
    <row r="7" spans="2:17" ht="15.75">
      <c r="B7" s="70">
        <v>4</v>
      </c>
      <c r="C7" s="58">
        <v>1</v>
      </c>
      <c r="D7" s="81">
        <v>0.96</v>
      </c>
      <c r="E7" s="80">
        <f t="shared" si="0"/>
        <v>4.1451148142186187E-2</v>
      </c>
      <c r="F7" s="80">
        <f t="shared" si="1"/>
        <v>4.0821994520255166E-2</v>
      </c>
      <c r="H7" s="70">
        <v>4</v>
      </c>
      <c r="I7" s="70">
        <v>1</v>
      </c>
      <c r="J7" s="83">
        <f>ROUND(J6/EXP(K7*0.25),5)</f>
        <v>0.96</v>
      </c>
      <c r="K7" s="77">
        <v>4.1450000000000001E-2</v>
      </c>
      <c r="L7" s="78">
        <f t="shared" si="2"/>
        <v>4.0820000000000002E-2</v>
      </c>
      <c r="M7" s="82">
        <f>ROUND(1/C7*SUM(K$4:K7)*0.25,5)</f>
        <v>4.0820000000000002E-2</v>
      </c>
    </row>
    <row r="8" spans="2:17" ht="15.75">
      <c r="B8" s="70">
        <v>5</v>
      </c>
      <c r="C8" s="58">
        <v>1.25</v>
      </c>
      <c r="D8" s="81">
        <v>0.95</v>
      </c>
      <c r="E8" s="80">
        <f t="shared" si="0"/>
        <v>4.1885199469181462E-2</v>
      </c>
      <c r="F8" s="80">
        <f t="shared" si="1"/>
        <v>4.1034635510040461E-2</v>
      </c>
      <c r="H8" s="70">
        <v>5</v>
      </c>
      <c r="I8" s="70">
        <v>1.25</v>
      </c>
      <c r="J8" s="83">
        <f>ROUND(J7/EXP(K8*0.25),5)</f>
        <v>0.95</v>
      </c>
      <c r="K8" s="77">
        <v>4.1889999999999997E-2</v>
      </c>
      <c r="L8" s="78">
        <f t="shared" si="2"/>
        <v>4.1029999999999997E-2</v>
      </c>
      <c r="M8" s="82">
        <f>ROUND(1/C8*SUM(K$4:K8)*0.25,5)</f>
        <v>4.104E-2</v>
      </c>
    </row>
    <row r="9" spans="2:17" ht="15.75">
      <c r="B9" s="70">
        <v>6</v>
      </c>
      <c r="C9" s="58">
        <v>1.5</v>
      </c>
      <c r="D9" s="81">
        <v>0.94</v>
      </c>
      <c r="E9" s="80">
        <f t="shared" si="0"/>
        <v>4.2328437322147888E-2</v>
      </c>
      <c r="F9" s="80">
        <f t="shared" si="1"/>
        <v>4.1250269145391684E-2</v>
      </c>
      <c r="H9" s="70">
        <v>6</v>
      </c>
      <c r="I9" s="70">
        <v>1.5</v>
      </c>
      <c r="J9" s="83">
        <f>ROUND(J8/EXP(K9*0.25),5)</f>
        <v>0.94</v>
      </c>
      <c r="K9" s="77">
        <v>4.233E-2</v>
      </c>
      <c r="L9" s="78">
        <f t="shared" si="2"/>
        <v>4.1250000000000002E-2</v>
      </c>
      <c r="M9" s="82">
        <f>ROUND(1/C9*SUM(K$4:K9)*0.25,5)</f>
        <v>4.1250000000000002E-2</v>
      </c>
    </row>
    <row r="10" spans="2:17" ht="15.75">
      <c r="B10" s="70">
        <v>7</v>
      </c>
      <c r="C10" s="58">
        <v>1.75</v>
      </c>
      <c r="D10" s="81">
        <v>0.93</v>
      </c>
      <c r="E10" s="80">
        <f t="shared" si="0"/>
        <v>4.2781156466991224E-2</v>
      </c>
      <c r="F10" s="80">
        <f t="shared" si="1"/>
        <v>4.1468967334191642E-2</v>
      </c>
      <c r="H10" s="70">
        <v>7</v>
      </c>
      <c r="I10" s="70">
        <v>1.75</v>
      </c>
      <c r="J10" s="79">
        <f>ROUND(1/EXP(L10*I10),5)</f>
        <v>0.93</v>
      </c>
      <c r="K10" s="78">
        <f>ROUND(-LN(J10/J9)/0.25,5)</f>
        <v>4.2779999999999999E-2</v>
      </c>
      <c r="L10" s="77">
        <v>4.147E-2</v>
      </c>
      <c r="M10" s="77">
        <v>4.147E-2</v>
      </c>
    </row>
    <row r="11" spans="2:17" ht="15.75">
      <c r="B11" s="70">
        <v>8</v>
      </c>
      <c r="C11" s="58">
        <v>2</v>
      </c>
      <c r="D11" s="81">
        <v>0.92</v>
      </c>
      <c r="E11" s="80">
        <f t="shared" si="0"/>
        <v>4.3243664416862469E-2</v>
      </c>
      <c r="F11" s="80">
        <f t="shared" si="1"/>
        <v>4.1690804469525507E-2</v>
      </c>
      <c r="H11" s="70">
        <v>8</v>
      </c>
      <c r="I11" s="70">
        <v>2</v>
      </c>
      <c r="J11" s="79">
        <f>ROUND(1/EXP(L11*I11),5)</f>
        <v>0.92</v>
      </c>
      <c r="K11" s="78">
        <f>ROUND(-LN(J11/J10)/0.25,5)</f>
        <v>4.3240000000000001E-2</v>
      </c>
      <c r="L11" s="77">
        <v>4.1689999999999998E-2</v>
      </c>
      <c r="M11" s="77">
        <v>4.1689999999999998E-2</v>
      </c>
    </row>
    <row r="12" spans="2:17" ht="15.75">
      <c r="B12" s="70">
        <v>9</v>
      </c>
      <c r="C12" s="58">
        <v>2.25</v>
      </c>
      <c r="D12" s="81">
        <v>0.91</v>
      </c>
      <c r="E12" s="80">
        <f t="shared" si="0"/>
        <v>4.3716282128761268E-2</v>
      </c>
      <c r="F12" s="80">
        <f t="shared" si="1"/>
        <v>4.191585754277391E-2</v>
      </c>
      <c r="H12" s="70">
        <v>9</v>
      </c>
      <c r="I12" s="70">
        <v>2.25</v>
      </c>
      <c r="J12" s="79">
        <f>ROUND(1/EXP(L12*I12),5)</f>
        <v>0.90998999999999997</v>
      </c>
      <c r="K12" s="78">
        <f>ROUND(-LN(J12/J11)/0.25,5)</f>
        <v>4.376E-2</v>
      </c>
      <c r="L12" s="77">
        <v>4.1919999999999999E-2</v>
      </c>
      <c r="M12" s="77">
        <v>4.1919999999999999E-2</v>
      </c>
    </row>
    <row r="16" spans="2:17" hidden="1">
      <c r="B16" s="70" t="s">
        <v>182</v>
      </c>
    </row>
    <row r="17" spans="1:5" hidden="1">
      <c r="B17" s="71" t="s">
        <v>180</v>
      </c>
      <c r="C17" s="71"/>
      <c r="D17" s="71" t="s">
        <v>181</v>
      </c>
      <c r="E17" s="71"/>
    </row>
    <row r="18" spans="1:5" hidden="1">
      <c r="B18" s="71" t="s">
        <v>180</v>
      </c>
      <c r="C18" s="71"/>
      <c r="D18" s="71" t="s">
        <v>179</v>
      </c>
      <c r="E18" s="71"/>
    </row>
    <row r="19" spans="1:5" hidden="1">
      <c r="B19" s="71" t="s">
        <v>178</v>
      </c>
      <c r="C19" s="71"/>
      <c r="D19" s="71" t="s">
        <v>177</v>
      </c>
      <c r="E19" s="71"/>
    </row>
    <row r="20" spans="1:5" hidden="1"/>
    <row r="21" spans="1:5">
      <c r="B21" s="70" t="s">
        <v>176</v>
      </c>
    </row>
    <row r="22" spans="1:5">
      <c r="B22" s="70" t="s">
        <v>175</v>
      </c>
    </row>
    <row r="23" spans="1:5">
      <c r="B23" s="70" t="s">
        <v>174</v>
      </c>
    </row>
    <row r="25" spans="1:5">
      <c r="A25" s="70" t="s">
        <v>173</v>
      </c>
      <c r="B25" s="70" t="s">
        <v>172</v>
      </c>
      <c r="C25" s="70" t="s">
        <v>171</v>
      </c>
    </row>
    <row r="26" spans="1:5" ht="15.75">
      <c r="B26" s="70" t="s">
        <v>143</v>
      </c>
      <c r="C26" s="76">
        <f>H34*H35*H37</f>
        <v>5292240.1454342436</v>
      </c>
    </row>
    <row r="27" spans="1:5">
      <c r="C27" s="70" t="s">
        <v>170</v>
      </c>
    </row>
    <row r="28" spans="1:5">
      <c r="D28" s="70">
        <v>5.2</v>
      </c>
      <c r="E28" s="70" t="s">
        <v>169</v>
      </c>
    </row>
    <row r="29" spans="1:5">
      <c r="D29" s="70">
        <v>5.4</v>
      </c>
      <c r="E29" s="70" t="s">
        <v>168</v>
      </c>
    </row>
    <row r="30" spans="1:5">
      <c r="D30" s="70">
        <v>5.21</v>
      </c>
      <c r="E30" s="70" t="s">
        <v>167</v>
      </c>
    </row>
    <row r="31" spans="1:5">
      <c r="E31" s="70" t="s">
        <v>166</v>
      </c>
    </row>
    <row r="33" spans="1:8">
      <c r="C33" s="70" t="s">
        <v>165</v>
      </c>
    </row>
    <row r="34" spans="1:8">
      <c r="C34" s="70" t="s">
        <v>164</v>
      </c>
      <c r="H34" s="70">
        <f>10^8</f>
        <v>100000000</v>
      </c>
    </row>
    <row r="35" spans="1:8">
      <c r="C35" s="70" t="s">
        <v>163</v>
      </c>
      <c r="H35" s="70">
        <f>1.25</f>
        <v>1.25</v>
      </c>
    </row>
    <row r="36" spans="1:8">
      <c r="C36" s="70" t="s">
        <v>162</v>
      </c>
    </row>
    <row r="37" spans="1:8">
      <c r="D37" s="70" t="s">
        <v>161</v>
      </c>
      <c r="H37" s="70">
        <f>-LN(J11/J6)/1.25</f>
        <v>4.233792116347395E-2</v>
      </c>
    </row>
    <row r="40" spans="1:8">
      <c r="A40" s="70" t="s">
        <v>160</v>
      </c>
      <c r="B40" s="70" t="s">
        <v>159</v>
      </c>
      <c r="C40" s="70" t="s">
        <v>158</v>
      </c>
    </row>
    <row r="41" spans="1:8">
      <c r="B41" s="70" t="s">
        <v>143</v>
      </c>
      <c r="C41" s="75">
        <f>H49</f>
        <v>-191139.06620049418</v>
      </c>
    </row>
    <row r="42" spans="1:8">
      <c r="C42" s="70" t="s">
        <v>157</v>
      </c>
    </row>
    <row r="43" spans="1:8">
      <c r="D43" s="70" t="s">
        <v>156</v>
      </c>
      <c r="H43" s="74">
        <f>H34</f>
        <v>100000000</v>
      </c>
    </row>
    <row r="44" spans="1:8">
      <c r="D44" s="70" t="s">
        <v>155</v>
      </c>
      <c r="H44" s="74">
        <f>C26</f>
        <v>5292240.1454342436</v>
      </c>
    </row>
    <row r="45" spans="1:8">
      <c r="D45" s="70" t="s">
        <v>154</v>
      </c>
      <c r="H45" s="74">
        <v>-105500000</v>
      </c>
    </row>
    <row r="46" spans="1:8">
      <c r="D46" s="70" t="s">
        <v>153</v>
      </c>
      <c r="H46" s="74">
        <f>SUM(H43:H45)</f>
        <v>-207759.85456575453</v>
      </c>
    </row>
    <row r="47" spans="1:8">
      <c r="C47" s="70" t="s">
        <v>152</v>
      </c>
    </row>
    <row r="48" spans="1:8">
      <c r="F48" s="70" t="s">
        <v>151</v>
      </c>
      <c r="H48" s="72">
        <f>J11</f>
        <v>0.92</v>
      </c>
    </row>
    <row r="49" spans="3:8">
      <c r="D49" s="70" t="s">
        <v>150</v>
      </c>
      <c r="H49" s="70">
        <f>H48*H46</f>
        <v>-191139.06620049418</v>
      </c>
    </row>
    <row r="50" spans="3:8">
      <c r="C50" s="73"/>
      <c r="H50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6D7A-633E-4232-8755-4E3454DC02E7}">
  <dimension ref="A1:P161"/>
  <sheetViews>
    <sheetView tabSelected="1" topLeftCell="A14" zoomScale="80" zoomScaleNormal="80" workbookViewId="0">
      <selection activeCell="U18" sqref="U18"/>
    </sheetView>
  </sheetViews>
  <sheetFormatPr defaultRowHeight="15"/>
  <cols>
    <col min="1" max="1" width="9" style="102"/>
    <col min="2" max="2" width="9.125" style="102" customWidth="1"/>
    <col min="3" max="3" width="10.625" style="102" customWidth="1"/>
    <col min="4" max="4" width="13.25" style="102" customWidth="1"/>
    <col min="5" max="5" width="12.625" style="102" customWidth="1"/>
    <col min="6" max="6" width="10.875" style="102" customWidth="1"/>
    <col min="7" max="7" width="17" style="102" customWidth="1"/>
    <col min="8" max="8" width="9.75" style="102" bestFit="1" customWidth="1"/>
    <col min="9" max="9" width="16.125" style="102" customWidth="1"/>
    <col min="10" max="10" width="9.25" style="102" customWidth="1"/>
    <col min="11" max="11" width="11.75" style="102" customWidth="1"/>
    <col min="12" max="16384" width="9" style="102"/>
  </cols>
  <sheetData>
    <row r="1" spans="1:5" ht="23.25">
      <c r="A1" s="101"/>
    </row>
    <row r="2" spans="1:5" ht="15.75">
      <c r="B2" s="103" t="s">
        <v>188</v>
      </c>
    </row>
    <row r="3" spans="1:5" ht="15.75">
      <c r="B3" s="104" t="s">
        <v>189</v>
      </c>
    </row>
    <row r="4" spans="1:5" ht="15.75">
      <c r="B4" s="104" t="s">
        <v>190</v>
      </c>
    </row>
    <row r="5" spans="1:5" ht="15.75">
      <c r="B5" s="103"/>
    </row>
    <row r="6" spans="1:5" ht="15.75">
      <c r="B6" s="103"/>
      <c r="C6" s="105" t="s">
        <v>146</v>
      </c>
      <c r="D6" s="105" t="s">
        <v>191</v>
      </c>
      <c r="E6" s="105" t="s">
        <v>192</v>
      </c>
    </row>
    <row r="7" spans="1:5" ht="15.75">
      <c r="B7" s="103"/>
      <c r="C7" s="106">
        <v>1</v>
      </c>
      <c r="D7" s="106" t="s">
        <v>193</v>
      </c>
      <c r="E7" s="107">
        <v>0.99009999999999998</v>
      </c>
    </row>
    <row r="8" spans="1:5" ht="15.75">
      <c r="B8" s="104"/>
      <c r="C8" s="106">
        <v>2</v>
      </c>
      <c r="D8" s="106" t="s">
        <v>194</v>
      </c>
      <c r="E8" s="107">
        <v>0.97065999999999997</v>
      </c>
    </row>
    <row r="9" spans="1:5" ht="15.75">
      <c r="B9" s="108"/>
      <c r="C9" s="106">
        <v>3</v>
      </c>
      <c r="D9" s="106" t="s">
        <v>195</v>
      </c>
      <c r="E9" s="107">
        <v>0.94928999999999997</v>
      </c>
    </row>
    <row r="10" spans="1:5" ht="15.75">
      <c r="B10" s="108"/>
    </row>
    <row r="11" spans="1:5" ht="15.75">
      <c r="B11" s="108"/>
      <c r="C11" s="109" t="s">
        <v>196</v>
      </c>
    </row>
    <row r="12" spans="1:5" ht="15.75">
      <c r="B12" s="108"/>
      <c r="C12" s="109" t="s">
        <v>197</v>
      </c>
    </row>
    <row r="13" spans="1:5" ht="15.75">
      <c r="B13" s="108"/>
      <c r="C13" s="109" t="s">
        <v>198</v>
      </c>
    </row>
    <row r="14" spans="1:5" ht="15.75">
      <c r="B14" s="108"/>
      <c r="C14" s="109" t="s">
        <v>199</v>
      </c>
    </row>
    <row r="15" spans="1:5" ht="15.75">
      <c r="B15" s="108"/>
    </row>
    <row r="16" spans="1:5" ht="15.75">
      <c r="B16" s="104" t="s">
        <v>200</v>
      </c>
    </row>
    <row r="17" spans="2:14" ht="15.75">
      <c r="B17" s="104"/>
    </row>
    <row r="18" spans="2:14" s="112" customFormat="1" ht="14.1" customHeight="1">
      <c r="B18" s="110" t="s">
        <v>201</v>
      </c>
      <c r="C18" s="111"/>
      <c r="D18" s="111"/>
      <c r="E18" s="111"/>
      <c r="F18" s="111"/>
      <c r="G18" s="111"/>
      <c r="H18" s="111"/>
      <c r="I18" s="111"/>
      <c r="J18" s="111"/>
    </row>
    <row r="19" spans="2:14" s="112" customFormat="1" ht="14.1" customHeight="1">
      <c r="B19" s="110"/>
      <c r="C19" s="108" t="s">
        <v>202</v>
      </c>
      <c r="D19" s="111"/>
      <c r="E19" s="111"/>
      <c r="F19" s="111"/>
      <c r="G19" s="111"/>
      <c r="H19" s="111"/>
      <c r="I19" s="111"/>
      <c r="J19" s="111"/>
    </row>
    <row r="20" spans="2:14" s="112" customFormat="1" ht="15.75">
      <c r="B20" s="111"/>
      <c r="C20" s="108" t="s">
        <v>203</v>
      </c>
      <c r="D20" s="111"/>
      <c r="E20" s="111"/>
      <c r="F20" s="111"/>
      <c r="G20" s="111"/>
      <c r="H20" s="111"/>
      <c r="I20" s="111"/>
      <c r="J20" s="111"/>
    </row>
    <row r="22" spans="2:14" ht="14.25" customHeight="1">
      <c r="B22" s="113" t="s">
        <v>8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</row>
    <row r="23" spans="2:14">
      <c r="B23" s="102" t="s">
        <v>204</v>
      </c>
      <c r="D23" s="115">
        <f>D38</f>
        <v>7.8553712962964543E-3</v>
      </c>
    </row>
    <row r="24" spans="2:14">
      <c r="B24" s="102" t="s">
        <v>205</v>
      </c>
      <c r="D24" s="115">
        <f>D44</f>
        <v>7.8684308580246904E-3</v>
      </c>
    </row>
    <row r="25" spans="2:14" ht="15.75" thickBot="1"/>
    <row r="26" spans="2:14" ht="14.25" customHeight="1">
      <c r="B26" s="116" t="s">
        <v>6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8"/>
    </row>
    <row r="27" spans="2:14">
      <c r="B27" s="119" t="s">
        <v>206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1"/>
    </row>
    <row r="28" spans="2:14">
      <c r="B28" s="122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1"/>
    </row>
    <row r="29" spans="2:14">
      <c r="B29" s="123" t="s">
        <v>146</v>
      </c>
      <c r="C29" s="120">
        <v>1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1"/>
    </row>
    <row r="30" spans="2:14" ht="30">
      <c r="B30" s="124" t="s">
        <v>207</v>
      </c>
      <c r="C30" s="120">
        <v>1.3311399999999999E-2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1"/>
    </row>
    <row r="31" spans="2:14">
      <c r="B31" s="123" t="s">
        <v>208</v>
      </c>
      <c r="C31" s="125">
        <v>0.4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1"/>
    </row>
    <row r="32" spans="2:14">
      <c r="B32" s="123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1"/>
    </row>
    <row r="33" spans="2:14">
      <c r="B33" s="123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1"/>
    </row>
    <row r="34" spans="2:14">
      <c r="B34" s="123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1"/>
    </row>
    <row r="35" spans="2:14">
      <c r="B35" s="123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1"/>
    </row>
    <row r="36" spans="2:14">
      <c r="B36" s="123" t="s">
        <v>209</v>
      </c>
      <c r="C36" s="120">
        <v>1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1"/>
    </row>
    <row r="37" spans="2:14">
      <c r="B37" s="123" t="s">
        <v>210</v>
      </c>
      <c r="C37" s="120">
        <f>EXP(-C29*C30)</f>
        <v>0.98677680487442943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1"/>
    </row>
    <row r="38" spans="2:14">
      <c r="B38" s="126" t="s">
        <v>211</v>
      </c>
      <c r="C38" s="120"/>
      <c r="D38" s="120">
        <f>(1-C31)*E7*(C36-C37)</f>
        <v>7.8553712962964543E-3</v>
      </c>
      <c r="E38" s="120"/>
      <c r="F38" s="120"/>
      <c r="G38" s="120" t="s">
        <v>212</v>
      </c>
      <c r="H38" s="120"/>
      <c r="I38" s="120"/>
      <c r="J38" s="120"/>
      <c r="K38" s="120"/>
      <c r="L38" s="120"/>
      <c r="M38" s="120"/>
      <c r="N38" s="121"/>
    </row>
    <row r="39" spans="2:14">
      <c r="B39" s="123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1"/>
    </row>
    <row r="40" spans="2:14">
      <c r="B40" s="123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1"/>
    </row>
    <row r="41" spans="2:14">
      <c r="B41" s="123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1"/>
    </row>
    <row r="42" spans="2:14">
      <c r="B42" s="123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1"/>
    </row>
    <row r="43" spans="2:14">
      <c r="B43" s="123" t="s">
        <v>213</v>
      </c>
      <c r="C43" s="120">
        <f>0.008</f>
        <v>8.0000000000000002E-3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1"/>
    </row>
    <row r="44" spans="2:14">
      <c r="B44" s="126" t="s">
        <v>214</v>
      </c>
      <c r="C44" s="120"/>
      <c r="D44" s="120">
        <f xml:space="preserve"> C43/2*1*E7*(C36+C37)</f>
        <v>7.8684308580246904E-3</v>
      </c>
      <c r="E44" s="120"/>
      <c r="F44" s="120"/>
      <c r="G44" s="120" t="s">
        <v>212</v>
      </c>
      <c r="H44" s="120"/>
      <c r="I44" s="120"/>
      <c r="J44" s="120"/>
      <c r="K44" s="120"/>
      <c r="L44" s="120"/>
      <c r="M44" s="120"/>
      <c r="N44" s="121"/>
    </row>
    <row r="45" spans="2:14" ht="15.75" thickBot="1">
      <c r="B45" s="127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9"/>
    </row>
    <row r="52" spans="2:16" ht="15.75">
      <c r="B52" s="104" t="s">
        <v>215</v>
      </c>
    </row>
    <row r="53" spans="2:16" ht="16.5" thickBot="1">
      <c r="B53" s="104"/>
    </row>
    <row r="54" spans="2:16">
      <c r="B54" s="116" t="s">
        <v>216</v>
      </c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1"/>
      <c r="P54" s="132"/>
    </row>
    <row r="55" spans="2:16">
      <c r="B55" s="119" t="s">
        <v>206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1"/>
    </row>
    <row r="56" spans="2:16">
      <c r="B56" s="122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1"/>
    </row>
    <row r="57" spans="2:16" ht="15.75">
      <c r="B57" s="133" t="s">
        <v>217</v>
      </c>
      <c r="C57" s="120" t="s">
        <v>218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1"/>
    </row>
    <row r="58" spans="2:16" ht="15.75">
      <c r="B58" s="133" t="s">
        <v>217</v>
      </c>
      <c r="C58" s="120" t="s">
        <v>219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1"/>
    </row>
    <row r="59" spans="2:16" ht="15.75">
      <c r="B59" s="133" t="s">
        <v>217</v>
      </c>
      <c r="C59" s="120" t="s">
        <v>220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1"/>
    </row>
    <row r="60" spans="2:16" ht="15.75">
      <c r="B60" s="133" t="s">
        <v>217</v>
      </c>
      <c r="C60" s="120" t="s">
        <v>221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1"/>
    </row>
    <row r="61" spans="2:16" ht="15.75">
      <c r="B61" s="133" t="s">
        <v>217</v>
      </c>
      <c r="C61" s="120" t="s">
        <v>222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1"/>
    </row>
    <row r="62" spans="2:16" ht="15.75">
      <c r="B62" s="133" t="s">
        <v>217</v>
      </c>
      <c r="C62" s="120" t="s">
        <v>223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1"/>
    </row>
    <row r="63" spans="2:16" ht="15.75">
      <c r="B63" s="133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1"/>
    </row>
    <row r="64" spans="2:16" ht="16.5" thickBot="1">
      <c r="B64" s="134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9"/>
    </row>
    <row r="65" spans="2:14" ht="15.75">
      <c r="B65" s="104"/>
    </row>
    <row r="66" spans="2:14" ht="15.75">
      <c r="B66" s="104" t="s">
        <v>224</v>
      </c>
    </row>
    <row r="67" spans="2:14" ht="15.75">
      <c r="B67" s="104"/>
    </row>
    <row r="68" spans="2:14" ht="14.25" customHeight="1">
      <c r="B68" s="104" t="s">
        <v>225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</row>
    <row r="69" spans="2:14" ht="15.75">
      <c r="B69" s="104"/>
      <c r="C69" s="108" t="s">
        <v>226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</row>
    <row r="70" spans="2:14" ht="15.75">
      <c r="B70" s="104"/>
      <c r="C70" s="108" t="s">
        <v>227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</row>
    <row r="71" spans="2:14" ht="15.75">
      <c r="B71" s="104"/>
      <c r="C71" s="108" t="s">
        <v>228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</row>
    <row r="72" spans="2:14"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</row>
    <row r="73" spans="2:14" ht="15.75" thickBot="1"/>
    <row r="74" spans="2:14" ht="14.25" customHeight="1">
      <c r="B74" s="116" t="s">
        <v>8</v>
      </c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8"/>
    </row>
    <row r="75" spans="2:14" ht="14.25" customHeight="1">
      <c r="B75" s="136"/>
      <c r="N75" s="137"/>
    </row>
    <row r="76" spans="2:14" ht="30">
      <c r="B76" s="138" t="s">
        <v>146</v>
      </c>
      <c r="C76" s="139" t="s">
        <v>229</v>
      </c>
      <c r="D76" s="140" t="s">
        <v>204</v>
      </c>
      <c r="E76" s="140" t="s">
        <v>205</v>
      </c>
      <c r="M76" s="137"/>
    </row>
    <row r="77" spans="2:14" ht="15.75">
      <c r="B77" s="141">
        <v>2</v>
      </c>
      <c r="C77" s="142">
        <f>E103</f>
        <v>1.6692775438298231E-2</v>
      </c>
      <c r="D77" s="143">
        <f>J103</f>
        <v>1.7368998275737176E-2</v>
      </c>
      <c r="E77" s="142">
        <f>H103</f>
        <v>1.7401055473706691E-2</v>
      </c>
      <c r="M77" s="137"/>
    </row>
    <row r="78" spans="2:14" ht="15.75">
      <c r="B78" s="141">
        <v>3</v>
      </c>
      <c r="C78" s="142">
        <f>E104</f>
        <v>1.7589404384678427E-2</v>
      </c>
      <c r="D78" s="143">
        <f>J104</f>
        <v>2.7006328712562647E-2</v>
      </c>
      <c r="E78" s="142">
        <f>H104</f>
        <v>2.7043173988115499E-2</v>
      </c>
      <c r="M78" s="137"/>
    </row>
    <row r="79" spans="2:14">
      <c r="B79" s="136"/>
      <c r="N79" s="137"/>
    </row>
    <row r="80" spans="2:14" ht="14.25" customHeight="1">
      <c r="B80" s="144" t="s">
        <v>6</v>
      </c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45"/>
    </row>
    <row r="81" spans="2:14">
      <c r="B81" s="119" t="s">
        <v>230</v>
      </c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1"/>
    </row>
    <row r="82" spans="2:14">
      <c r="B82" s="122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1"/>
    </row>
    <row r="83" spans="2:14">
      <c r="B83" s="123" t="s">
        <v>231</v>
      </c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1"/>
    </row>
    <row r="84" spans="2:14" ht="18">
      <c r="B84" s="123" t="s">
        <v>232</v>
      </c>
      <c r="C84" s="120" t="s">
        <v>233</v>
      </c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1"/>
    </row>
    <row r="85" spans="2:14" ht="18">
      <c r="B85" s="123" t="s">
        <v>232</v>
      </c>
      <c r="C85" s="120" t="s">
        <v>234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1"/>
    </row>
    <row r="86" spans="2:14">
      <c r="B86" s="123" t="s">
        <v>232</v>
      </c>
      <c r="C86" s="120" t="s">
        <v>235</v>
      </c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1"/>
    </row>
    <row r="87" spans="2:14" ht="18">
      <c r="B87" s="123" t="s">
        <v>232</v>
      </c>
      <c r="C87" s="146" t="s">
        <v>236</v>
      </c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1"/>
    </row>
    <row r="88" spans="2:14">
      <c r="B88" s="124" t="s">
        <v>237</v>
      </c>
      <c r="C88" s="120" t="s">
        <v>238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1"/>
    </row>
    <row r="89" spans="2:14">
      <c r="B89" s="123" t="s">
        <v>232</v>
      </c>
      <c r="C89" s="120" t="s">
        <v>239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1"/>
    </row>
    <row r="90" spans="2:14">
      <c r="B90" s="123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1"/>
    </row>
    <row r="91" spans="2:14">
      <c r="B91" s="123" t="s">
        <v>240</v>
      </c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1"/>
    </row>
    <row r="92" spans="2:14">
      <c r="B92" s="123" t="s">
        <v>241</v>
      </c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1"/>
    </row>
    <row r="93" spans="2:14">
      <c r="B93" s="123" t="s">
        <v>242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1"/>
    </row>
    <row r="94" spans="2:14">
      <c r="B94" s="147" t="s">
        <v>243</v>
      </c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1"/>
    </row>
    <row r="95" spans="2:14">
      <c r="B95" s="147" t="s">
        <v>244</v>
      </c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1"/>
    </row>
    <row r="96" spans="2:14">
      <c r="B96" s="123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1"/>
    </row>
    <row r="97" spans="2:14">
      <c r="B97" s="123" t="s">
        <v>245</v>
      </c>
      <c r="C97" s="125">
        <v>0.4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1"/>
    </row>
    <row r="98" spans="2:14">
      <c r="B98" s="123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1"/>
    </row>
    <row r="99" spans="2:14">
      <c r="B99" s="123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1"/>
    </row>
    <row r="100" spans="2:14" ht="45">
      <c r="B100" s="148" t="s">
        <v>146</v>
      </c>
      <c r="C100" s="149" t="s">
        <v>191</v>
      </c>
      <c r="D100" s="149" t="s">
        <v>246</v>
      </c>
      <c r="E100" s="149" t="s">
        <v>247</v>
      </c>
      <c r="F100" s="149" t="s">
        <v>248</v>
      </c>
      <c r="G100" s="149" t="s">
        <v>249</v>
      </c>
      <c r="H100" s="149" t="s">
        <v>250</v>
      </c>
      <c r="I100" s="149" t="s">
        <v>251</v>
      </c>
      <c r="J100" s="149" t="s">
        <v>252</v>
      </c>
      <c r="K100" s="149" t="s">
        <v>253</v>
      </c>
      <c r="L100" s="120"/>
      <c r="M100" s="120"/>
      <c r="N100" s="121"/>
    </row>
    <row r="101" spans="2:14" ht="14.85" customHeight="1">
      <c r="B101" s="150">
        <v>0</v>
      </c>
      <c r="C101" s="151"/>
      <c r="D101" s="151"/>
      <c r="E101" s="151"/>
      <c r="F101" s="151">
        <v>1</v>
      </c>
      <c r="G101" s="152"/>
      <c r="H101" s="152"/>
      <c r="I101" s="151"/>
      <c r="J101" s="151"/>
      <c r="K101" s="151"/>
      <c r="L101" s="120"/>
      <c r="M101" s="120"/>
      <c r="N101" s="121"/>
    </row>
    <row r="102" spans="2:14">
      <c r="B102" s="150">
        <v>1</v>
      </c>
      <c r="C102" s="153">
        <v>8.0000000000000002E-3</v>
      </c>
      <c r="D102" s="154">
        <v>0.99009999999999998</v>
      </c>
      <c r="E102" s="155">
        <v>1.3311399999999999E-2</v>
      </c>
      <c r="F102" s="155">
        <f>EXP(-E102)</f>
        <v>0.98677680487442943</v>
      </c>
      <c r="G102" s="156">
        <f>D102*(F102+F101)</f>
        <v>1.9671077145061726</v>
      </c>
      <c r="H102" s="156">
        <f>C102/2*SUM(G102)</f>
        <v>7.8684308580246904E-3</v>
      </c>
      <c r="I102" s="151">
        <f>D102*(F101-F102)</f>
        <v>1.3092285493827426E-2</v>
      </c>
      <c r="J102" s="151">
        <f>(1-$C$97)*SUM(I102:I102)</f>
        <v>7.8553712962964543E-3</v>
      </c>
      <c r="K102" s="155">
        <f>J102-H102</f>
        <v>-1.3059561728236135E-5</v>
      </c>
      <c r="L102" s="120"/>
      <c r="M102" s="120"/>
      <c r="N102" s="121"/>
    </row>
    <row r="103" spans="2:14">
      <c r="B103" s="150">
        <v>2</v>
      </c>
      <c r="C103" s="153">
        <v>8.9999999999999993E-3</v>
      </c>
      <c r="D103" s="154">
        <v>0.97065999999999997</v>
      </c>
      <c r="E103" s="155">
        <v>1.6692775438298231E-2</v>
      </c>
      <c r="F103" s="155">
        <f>F102*EXP(-E103)</f>
        <v>0.97044148152152054</v>
      </c>
      <c r="G103" s="156">
        <f>D103*(F103+F102)</f>
        <v>1.8997935018730927</v>
      </c>
      <c r="H103" s="156">
        <f>C103/2*SUM(G102:G103)</f>
        <v>1.7401055473706691E-2</v>
      </c>
      <c r="I103" s="151">
        <f t="shared" ref="I103:I104" si="0">D103*(F102-F103)</f>
        <v>1.5856044965734534E-2</v>
      </c>
      <c r="J103" s="151">
        <f>(1-$C$97)*SUM(I102:I103)</f>
        <v>1.7368998275737176E-2</v>
      </c>
      <c r="K103" s="155">
        <f>J103-H103</f>
        <v>-3.2057197969514312E-5</v>
      </c>
      <c r="L103" s="120"/>
      <c r="M103" s="120"/>
      <c r="N103" s="121"/>
    </row>
    <row r="104" spans="2:14">
      <c r="B104" s="150">
        <v>3</v>
      </c>
      <c r="C104" s="153">
        <v>9.4999999999999998E-3</v>
      </c>
      <c r="D104" s="154">
        <v>0.94928999999999997</v>
      </c>
      <c r="E104" s="155">
        <v>1.7589404384678427E-2</v>
      </c>
      <c r="F104" s="155">
        <f>F103*EXP(-E104)</f>
        <v>0.95352123860870242</v>
      </c>
      <c r="G104" s="156">
        <f>D104*(F104+F103)</f>
        <v>1.8263985705924193</v>
      </c>
      <c r="H104" s="156">
        <f>C104/2*SUM(G102:G104)</f>
        <v>2.7043173988115499E-2</v>
      </c>
      <c r="I104" s="151">
        <f t="shared" si="0"/>
        <v>1.606221739470912E-2</v>
      </c>
      <c r="J104" s="151">
        <f>(1-$C$97)*SUM(I102:I104)</f>
        <v>2.7006328712562647E-2</v>
      </c>
      <c r="K104" s="155">
        <f>J104-H104</f>
        <v>-3.6845275552851997E-5</v>
      </c>
      <c r="L104" s="120"/>
      <c r="M104" s="120"/>
      <c r="N104" s="121"/>
    </row>
    <row r="105" spans="2:14">
      <c r="B105" s="123"/>
      <c r="C105" s="120"/>
      <c r="D105" s="120"/>
      <c r="E105" s="120"/>
      <c r="F105" s="120"/>
      <c r="G105" s="157"/>
      <c r="H105" s="157"/>
      <c r="I105" s="120"/>
      <c r="J105" s="120"/>
      <c r="K105" s="120"/>
      <c r="L105" s="120"/>
      <c r="M105" s="120"/>
      <c r="N105" s="121"/>
    </row>
    <row r="106" spans="2:14" ht="15.75" thickBot="1">
      <c r="B106" s="127"/>
      <c r="C106" s="128"/>
      <c r="D106" s="128"/>
      <c r="E106" s="128"/>
      <c r="F106" s="128"/>
      <c r="G106" s="158"/>
      <c r="H106" s="158"/>
      <c r="I106" s="128"/>
      <c r="J106" s="128"/>
      <c r="K106" s="128"/>
      <c r="L106" s="128"/>
      <c r="M106" s="128"/>
      <c r="N106" s="129"/>
    </row>
    <row r="107" spans="2:14">
      <c r="G107" s="135"/>
      <c r="H107" s="135"/>
    </row>
    <row r="108" spans="2:14">
      <c r="G108" s="135"/>
      <c r="H108" s="135"/>
    </row>
    <row r="109" spans="2:14">
      <c r="G109" s="135"/>
      <c r="H109" s="135"/>
    </row>
    <row r="112" spans="2:14" ht="15.75">
      <c r="B112" s="104" t="s">
        <v>254</v>
      </c>
      <c r="C112" s="135"/>
      <c r="D112" s="135"/>
      <c r="E112" s="135"/>
      <c r="F112" s="135"/>
    </row>
    <row r="113" spans="2:14">
      <c r="B113" s="135"/>
      <c r="C113" s="135"/>
      <c r="D113" s="135"/>
      <c r="E113" s="135"/>
      <c r="F113" s="135"/>
    </row>
    <row r="114" spans="2:14" ht="15.75">
      <c r="B114" s="110" t="s">
        <v>255</v>
      </c>
    </row>
    <row r="115" spans="2:14" ht="15.75">
      <c r="B115" s="104"/>
    </row>
    <row r="116" spans="2:14" ht="15.75">
      <c r="B116" s="104"/>
      <c r="C116" s="108"/>
    </row>
    <row r="117" spans="2:14" ht="16.5" thickBot="1">
      <c r="B117" s="104"/>
      <c r="C117" s="108"/>
    </row>
    <row r="118" spans="2:14">
      <c r="B118" s="116" t="s">
        <v>8</v>
      </c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8"/>
    </row>
    <row r="119" spans="2:14">
      <c r="B119" s="136" t="s">
        <v>256</v>
      </c>
      <c r="C119" s="159">
        <v>1150</v>
      </c>
      <c r="N119" s="137"/>
    </row>
    <row r="120" spans="2:14">
      <c r="B120" s="136"/>
      <c r="N120" s="137"/>
    </row>
    <row r="121" spans="2:14" ht="14.25" customHeight="1">
      <c r="B121" s="144" t="s">
        <v>6</v>
      </c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45"/>
    </row>
    <row r="122" spans="2:14">
      <c r="B122" s="119" t="s">
        <v>257</v>
      </c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1"/>
    </row>
    <row r="123" spans="2:14">
      <c r="B123" s="122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1"/>
    </row>
    <row r="124" spans="2:14">
      <c r="B124" s="122" t="s">
        <v>258</v>
      </c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1"/>
    </row>
    <row r="125" spans="2:14">
      <c r="B125" s="122" t="s">
        <v>259</v>
      </c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1"/>
    </row>
    <row r="126" spans="2:14">
      <c r="B126" s="123" t="s">
        <v>232</v>
      </c>
      <c r="C126" s="146" t="s">
        <v>260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1"/>
    </row>
    <row r="127" spans="2:14">
      <c r="B127" s="123" t="s">
        <v>232</v>
      </c>
      <c r="C127" s="146" t="s">
        <v>261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1"/>
    </row>
    <row r="128" spans="2:14">
      <c r="B128" s="123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1"/>
    </row>
    <row r="129" spans="2:14" ht="15.75" thickBot="1">
      <c r="B129" s="127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9"/>
    </row>
    <row r="131" spans="2:14" ht="15.75">
      <c r="B131" s="160"/>
    </row>
    <row r="132" spans="2:14" ht="15.75">
      <c r="B132" s="161" t="s">
        <v>262</v>
      </c>
    </row>
    <row r="133" spans="2:14" ht="15.75">
      <c r="B133" s="108"/>
    </row>
    <row r="134" spans="2:14" ht="15.75">
      <c r="B134" s="104"/>
      <c r="C134" s="108" t="s">
        <v>263</v>
      </c>
    </row>
    <row r="135" spans="2:14" ht="16.5" thickBot="1">
      <c r="B135" s="108"/>
    </row>
    <row r="136" spans="2:14">
      <c r="B136" s="116" t="s">
        <v>216</v>
      </c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62"/>
    </row>
    <row r="137" spans="2:14">
      <c r="B137" s="119" t="s">
        <v>257</v>
      </c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1"/>
    </row>
    <row r="138" spans="2:14">
      <c r="B138" s="122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1"/>
    </row>
    <row r="139" spans="2:14">
      <c r="B139" s="123" t="s">
        <v>232</v>
      </c>
      <c r="C139" s="120" t="s">
        <v>264</v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1"/>
    </row>
    <row r="140" spans="2:14" ht="15.75">
      <c r="B140" s="123" t="s">
        <v>232</v>
      </c>
      <c r="C140" s="163" t="s">
        <v>265</v>
      </c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1"/>
    </row>
    <row r="141" spans="2:14" ht="16.5" thickBot="1">
      <c r="B141" s="164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9"/>
    </row>
    <row r="142" spans="2:14" ht="15.75">
      <c r="B142" s="108"/>
    </row>
    <row r="147" spans="2:14" ht="15.75">
      <c r="B147" s="104"/>
      <c r="C147" s="108" t="s">
        <v>266</v>
      </c>
    </row>
    <row r="148" spans="2:14" ht="16.5" thickBot="1">
      <c r="B148" s="108"/>
    </row>
    <row r="149" spans="2:14">
      <c r="B149" s="116" t="s">
        <v>216</v>
      </c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62"/>
    </row>
    <row r="150" spans="2:14">
      <c r="B150" s="119" t="s">
        <v>206</v>
      </c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1"/>
    </row>
    <row r="151" spans="2:14">
      <c r="B151" s="122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1"/>
    </row>
    <row r="152" spans="2:14">
      <c r="B152" s="123" t="s">
        <v>267</v>
      </c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1"/>
    </row>
    <row r="153" spans="2:14">
      <c r="B153" s="123" t="s">
        <v>232</v>
      </c>
      <c r="C153" s="146" t="s">
        <v>268</v>
      </c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1"/>
    </row>
    <row r="154" spans="2:14">
      <c r="B154" s="123" t="s">
        <v>232</v>
      </c>
      <c r="C154" s="146" t="s">
        <v>269</v>
      </c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1"/>
    </row>
    <row r="155" spans="2:14">
      <c r="B155" s="123" t="s">
        <v>232</v>
      </c>
      <c r="C155" s="146" t="s">
        <v>270</v>
      </c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1"/>
    </row>
    <row r="156" spans="2:14">
      <c r="B156" s="123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1"/>
    </row>
    <row r="157" spans="2:14">
      <c r="B157" s="123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1"/>
    </row>
    <row r="158" spans="2:14">
      <c r="B158" s="123" t="s">
        <v>264</v>
      </c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1"/>
    </row>
    <row r="159" spans="2:14">
      <c r="B159" s="123" t="s">
        <v>232</v>
      </c>
      <c r="C159" s="146" t="s">
        <v>271</v>
      </c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1"/>
    </row>
    <row r="160" spans="2:14">
      <c r="B160" s="123" t="s">
        <v>232</v>
      </c>
      <c r="C160" s="146" t="s">
        <v>272</v>
      </c>
      <c r="D160" s="120"/>
      <c r="E160" s="120"/>
      <c r="F160" s="120"/>
      <c r="G160" s="120" t="s">
        <v>273</v>
      </c>
      <c r="H160" s="120"/>
      <c r="I160" s="120"/>
      <c r="J160" s="120"/>
      <c r="K160" s="120"/>
      <c r="L160" s="120"/>
      <c r="M160" s="120"/>
      <c r="N160" s="121"/>
    </row>
    <row r="161" spans="2:14" ht="15.75" thickBot="1">
      <c r="B161" s="127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9"/>
    </row>
  </sheetData>
  <pageMargins left="0.7" right="0.7" top="0.75" bottom="0.75" header="0.3" footer="0.3"/>
  <pageSetup orientation="portrait" horizontalDpi="240" verticalDpi="24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8230b39ff0a402a078cc052756d4fefa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45ea19f2c2e4cdbd674c4f1863b66b60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C4CC04-F31F-4D9F-9AF5-D0FA0B997120}"/>
</file>

<file path=customXml/itemProps2.xml><?xml version="1.0" encoding="utf-8"?>
<ds:datastoreItem xmlns:ds="http://schemas.openxmlformats.org/officeDocument/2006/customXml" ds:itemID="{66984286-0871-4096-A779-8B24974CBC1F}"/>
</file>

<file path=customXml/itemProps3.xml><?xml version="1.0" encoding="utf-8"?>
<ds:datastoreItem xmlns:ds="http://schemas.openxmlformats.org/officeDocument/2006/customXml" ds:itemID="{15422DFC-DF4D-4D4C-81CF-AAA27D9A4B7F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2025SQ3</vt:lpstr>
      <vt:lpstr>2025SQ4</vt:lpstr>
      <vt:lpstr>2025SQ5</vt:lpstr>
      <vt:lpstr>2025SQ6</vt:lpstr>
      <vt:lpstr>2025SQ7</vt:lpstr>
      <vt:lpstr>2025SQ8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 Hui Lee</dc:creator>
  <cp:lastModifiedBy>Cherng, Gene</cp:lastModifiedBy>
  <dcterms:created xsi:type="dcterms:W3CDTF">2023-07-27T00:22:27Z</dcterms:created>
  <dcterms:modified xsi:type="dcterms:W3CDTF">2025-07-15T19:19:54Z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0x010100A13D16CE4023BB4BB4110DFC2802C897</vt:lpwstr>
  </property>
</Properties>
</file>