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68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nevacanada-my.sharepoint.com/personal/Nicolas_Boutin_beneva_ca/Documents/Documents/Passwords et perso/SOA/Fall 2024 Exam/Montreal Central Grading/Model solutions/Final version posted/"/>
    </mc:Choice>
  </mc:AlternateContent>
  <xr:revisionPtr revIDLastSave="0" documentId="8_{97699A24-1E5D-401B-9008-5945E230A8D9}" xr6:coauthVersionLast="47" xr6:coauthVersionMax="47" xr10:uidLastSave="{00000000-0000-0000-0000-000000000000}"/>
  <bookViews>
    <workbookView xWindow="-110" yWindow="-110" windowWidth="19420" windowHeight="11500" xr2:uid="{BA5BF470-FB0D-4790-94FB-9C914014EE4A}"/>
  </bookViews>
  <sheets>
    <sheet name="Q1" sheetId="83" r:id="rId1"/>
    <sheet name="Data for Q1" sheetId="81" r:id="rId2"/>
    <sheet name="Solution for Q1" sheetId="104" r:id="rId3"/>
    <sheet name="Q2" sheetId="37" r:id="rId4"/>
    <sheet name="Data for Q2" sheetId="80" r:id="rId5"/>
    <sheet name="Solution for Q2" sheetId="85" r:id="rId6"/>
    <sheet name="Q3" sheetId="49" r:id="rId7"/>
    <sheet name="Data for Q3" sheetId="84" r:id="rId8"/>
    <sheet name="Solution for Q3 (d)" sheetId="99" r:id="rId9"/>
    <sheet name="Sol Q3 (e) - Experience" sheetId="100" r:id="rId10"/>
    <sheet name="Sol Q3 (e) - Demographic" sheetId="101" r:id="rId11"/>
    <sheet name="Sol Q3 (e) - Financial" sheetId="102" r:id="rId12"/>
    <sheet name="Sol Q3 (e) - Final reconcil" sheetId="103" r:id="rId13"/>
    <sheet name="Q4" sheetId="71" r:id="rId14"/>
    <sheet name="Data for Q4" sheetId="72" r:id="rId15"/>
    <sheet name="Solution for Q4" sheetId="87" r:id="rId16"/>
    <sheet name="Q5" sheetId="55" r:id="rId17"/>
    <sheet name="Data for Q5" sheetId="77" r:id="rId18"/>
    <sheet name="Solution for Q5 (a)" sheetId="89" r:id="rId19"/>
    <sheet name="Sol for Q5 (b) - Current Plan" sheetId="90" r:id="rId20"/>
    <sheet name="Sol for Q5 (b) - Proposed Plan" sheetId="91" r:id="rId21"/>
    <sheet name="Solution for Q5 (d)" sheetId="92" r:id="rId22"/>
    <sheet name="Q6" sheetId="73" r:id="rId23"/>
    <sheet name="Data for Q6 (b)" sheetId="74" r:id="rId24"/>
    <sheet name="Data for Q6 (c)" sheetId="75" r:id="rId25"/>
    <sheet name="Solution for Q6 (b) &amp; (c)" sheetId="105" r:id="rId26"/>
    <sheet name="Q7" sheetId="59" r:id="rId27"/>
    <sheet name="Solution for Q7 (a)" sheetId="94" r:id="rId28"/>
    <sheet name="Sol Q7 (c) - Assumes uniform OT" sheetId="95" r:id="rId29"/>
    <sheet name="Sol Q7 (c) - Assumes no change" sheetId="9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0">Paid [17]Lag!$B$591:$H$600</definedName>
    <definedName name="aPLagPrint_Buttons" localSheetId="6">Paid [17]Lag!$B$591:$H$600</definedName>
    <definedName name="aPLagPrint_Buttons" localSheetId="13">Paid [17]Lag!$B$591:$H$600</definedName>
    <definedName name="aPLagPrint_Buttons" localSheetId="16">Paid [17]Lag!$B$591:$H$600</definedName>
    <definedName name="aPLagPrint_Buttons" localSheetId="22">Paid [17]Lag!$B$591:$H$600</definedName>
    <definedName name="aPLagPrint_Buttons" localSheetId="26">Paid [17]Lag!$B$591:$H$600</definedName>
    <definedName name="aPLagPrint_Buttons">Paid [17]Lag!$B$591:$H$600</definedName>
    <definedName name="aRLagPrint_Buttons" localSheetId="0">Receipt [17]Lag!$A$535:$C$541</definedName>
    <definedName name="aRLagPrint_Buttons" localSheetId="6">Receipt [17]Lag!$A$535:$C$541</definedName>
    <definedName name="aRLagPrint_Buttons" localSheetId="13">Receipt [17]Lag!$A$535:$C$541</definedName>
    <definedName name="aRLagPrint_Buttons" localSheetId="16">Receipt [17]Lag!$A$535:$C$541</definedName>
    <definedName name="aRLagPrint_Buttons" localSheetId="22">Receipt [17]Lag!$A$535:$C$541</definedName>
    <definedName name="aRLagPrint_Buttons" localSheetId="26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_xlnm.Database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0">for UCL [0]!Summary '[46]201505'!$A$1:$F$613</definedName>
    <definedName name="for_UCL_Summary_201505" localSheetId="6">for UCL [47]!Summary '[46]201505'!$A$1:$F$613</definedName>
    <definedName name="for_UCL_Summary_201505" localSheetId="13">for UCL [47]!Summary '[46]201505'!$A$1:$F$613</definedName>
    <definedName name="for_UCL_Summary_201505" localSheetId="16">for UCL [47]!Summary '[46]201505'!$A$1:$F$613</definedName>
    <definedName name="for_UCL_Summary_201505" localSheetId="22">for UCL [0]!Summary '[46]201505'!$A$1:$F$613</definedName>
    <definedName name="for_UCL_Summary_201505" localSheetId="26">for UCL [47]!Summary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0">Paid [17]Lag!$A$3:$AN$57</definedName>
    <definedName name="H_Audit" localSheetId="6">Paid [17]Lag!$A$3:$AN$57</definedName>
    <definedName name="H_Audit" localSheetId="13">Paid [17]Lag!$A$3:$AN$57</definedName>
    <definedName name="H_Audit" localSheetId="16">Paid [17]Lag!$A$3:$AN$57</definedName>
    <definedName name="H_Audit" localSheetId="22">Paid [17]Lag!$A$3:$AN$57</definedName>
    <definedName name="H_Audit" localSheetId="26">Paid [17]Lag!$A$3:$AN$57</definedName>
    <definedName name="H_Audit">Paid [17]Lag!$A$3:$AN$57</definedName>
    <definedName name="H_Cum_PL" localSheetId="0">Paid [17]Lag!$A$68:$U$132</definedName>
    <definedName name="H_Cum_PL" localSheetId="6">Paid [17]Lag!$A$68:$U$132</definedName>
    <definedName name="H_Cum_PL" localSheetId="13">Paid [17]Lag!$A$68:$U$132</definedName>
    <definedName name="H_Cum_PL" localSheetId="16">Paid [17]Lag!$A$68:$U$132</definedName>
    <definedName name="H_Cum_PL" localSheetId="22">Paid [17]Lag!$A$68:$U$132</definedName>
    <definedName name="H_Cum_PL" localSheetId="26">Paid [17]Lag!$A$68:$U$132</definedName>
    <definedName name="H_Cum_PL">Paid [17]Lag!$A$68:$U$132</definedName>
    <definedName name="H_Cum_RL" localSheetId="0">Receipt [17]Lag!$A$53:$O$127</definedName>
    <definedName name="H_Cum_RL" localSheetId="6">Receipt [17]Lag!$A$53:$O$127</definedName>
    <definedName name="H_Cum_RL" localSheetId="13">Receipt [17]Lag!$A$53:$O$127</definedName>
    <definedName name="H_Cum_RL" localSheetId="16">Receipt [17]Lag!$A$53:$O$127</definedName>
    <definedName name="H_Cum_RL" localSheetId="22">Receipt [17]Lag!$A$53:$O$127</definedName>
    <definedName name="H_Cum_RL" localSheetId="26">Receipt [17]Lag!$A$53:$O$127</definedName>
    <definedName name="H_Cum_RL">Receipt [17]Lag!$A$53:$O$127</definedName>
    <definedName name="H_DIFF" localSheetId="0">CURR MO - PREV [52]MO!$A$1048528:$AI$1048574</definedName>
    <definedName name="H_DIFF" localSheetId="6">CURR MO - PREV [52]MO!$A$1048528:$AI$1048574</definedName>
    <definedName name="H_DIFF" localSheetId="13">CURR MO - PREV [52]MO!$A$1048528:$AI$1048574</definedName>
    <definedName name="H_DIFF" localSheetId="16">CURR MO - PREV [52]MO!$A$1048528:$AI$1048574</definedName>
    <definedName name="H_DIFF" localSheetId="22">CURR MO - PREV [52]MO!$A$1048528:$AI$1048574</definedName>
    <definedName name="H_DIFF" localSheetId="26">CURR MO - PREV [52]MO!$A$1048528:$AI$1048574</definedName>
    <definedName name="H_DIFF">CURR MO - PREV [52]MO!$A$1048528:$AI$1048574</definedName>
    <definedName name="H_Factor_PL" localSheetId="0">Paid [17]Lag!$A$134:$U$204</definedName>
    <definedName name="H_Factor_PL" localSheetId="6">Paid [17]Lag!$A$134:$U$204</definedName>
    <definedName name="H_Factor_PL" localSheetId="13">Paid [17]Lag!$A$134:$U$204</definedName>
    <definedName name="H_Factor_PL" localSheetId="16">Paid [17]Lag!$A$134:$U$204</definedName>
    <definedName name="H_Factor_PL" localSheetId="22">Paid [17]Lag!$A$134:$U$204</definedName>
    <definedName name="H_Factor_PL" localSheetId="26">Paid [17]Lag!$A$134:$U$204</definedName>
    <definedName name="H_Factor_PL">Paid [17]Lag!$A$134:$U$204</definedName>
    <definedName name="H_Factor_RL" localSheetId="0">Receipt [17]Lag!$A$129:$S$188</definedName>
    <definedName name="H_Factor_RL" localSheetId="6">Receipt [17]Lag!$A$129:$S$188</definedName>
    <definedName name="H_Factor_RL" localSheetId="13">Receipt [17]Lag!$A$129:$S$188</definedName>
    <definedName name="H_Factor_RL" localSheetId="16">Receipt [17]Lag!$A$129:$S$188</definedName>
    <definedName name="H_Factor_RL" localSheetId="22">Receipt [17]Lag!$A$129:$S$188</definedName>
    <definedName name="H_Factor_RL" localSheetId="26">Receipt [17]Lag!$A$129:$S$188</definedName>
    <definedName name="H_Factor_RL">Receipt [17]Lag!$A$129:$S$188</definedName>
    <definedName name="H_Incremental_PL" localSheetId="0">Paid [17]Lag!$A$3:$U$65</definedName>
    <definedName name="H_Incremental_PL" localSheetId="6">Paid [17]Lag!$A$3:$U$65</definedName>
    <definedName name="H_Incremental_PL" localSheetId="13">Paid [17]Lag!$A$3:$U$65</definedName>
    <definedName name="H_Incremental_PL" localSheetId="16">Paid [17]Lag!$A$3:$U$65</definedName>
    <definedName name="H_Incremental_PL" localSheetId="22">Paid [17]Lag!$A$3:$U$65</definedName>
    <definedName name="H_Incremental_PL" localSheetId="26">Paid [17]Lag!$A$3:$U$65</definedName>
    <definedName name="H_Incremental_PL">Paid [17]Lag!$A$3:$U$65</definedName>
    <definedName name="H_Incremental_RL" localSheetId="0">Receipt [17]Lag!$A$3:$S$50</definedName>
    <definedName name="H_Incremental_RL" localSheetId="6">Receipt [17]Lag!$A$3:$S$50</definedName>
    <definedName name="H_Incremental_RL" localSheetId="13">Receipt [17]Lag!$A$3:$S$50</definedName>
    <definedName name="H_Incremental_RL" localSheetId="16">Receipt [17]Lag!$A$3:$S$50</definedName>
    <definedName name="H_Incremental_RL" localSheetId="22">Receipt [17]Lag!$A$3:$S$50</definedName>
    <definedName name="H_Incremental_RL" localSheetId="26">Receipt [17]Lag!$A$3:$S$50</definedName>
    <definedName name="H_Incremental_RL">Receipt [17]Lag!$A$3:$S$50</definedName>
    <definedName name="H_Projection_PL" localSheetId="0">Paid [17]Lag!$A$216:$R$287</definedName>
    <definedName name="H_Projection_PL" localSheetId="6">Paid [17]Lag!$A$216:$R$287</definedName>
    <definedName name="H_Projection_PL" localSheetId="13">Paid [17]Lag!$A$216:$R$287</definedName>
    <definedName name="H_Projection_PL" localSheetId="16">Paid [17]Lag!$A$216:$R$287</definedName>
    <definedName name="H_Projection_PL" localSheetId="22">Paid [17]Lag!$A$216:$R$287</definedName>
    <definedName name="H_Projection_PL" localSheetId="26">Paid [17]Lag!$A$216:$R$287</definedName>
    <definedName name="H_Projection_PL">Paid [17]Lag!$A$216:$R$287</definedName>
    <definedName name="H_Projection_RL" localSheetId="0">Receipt [17]Lag!$A$200:$R$262</definedName>
    <definedName name="H_Projection_RL" localSheetId="6">Receipt [17]Lag!$A$200:$R$262</definedName>
    <definedName name="H_Projection_RL" localSheetId="13">Receipt [17]Lag!$A$200:$R$262</definedName>
    <definedName name="H_Projection_RL" localSheetId="16">Receipt [17]Lag!$A$200:$R$262</definedName>
    <definedName name="H_Projection_RL" localSheetId="22">Receipt [17]Lag!$A$200:$R$262</definedName>
    <definedName name="H_Projection_RL" localSheetId="26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0">Paid [17]Lag!$A$302:$AN$356</definedName>
    <definedName name="M_Audit" localSheetId="6">Paid [17]Lag!$A$302:$AN$356</definedName>
    <definedName name="M_Audit" localSheetId="13">Paid [17]Lag!$A$302:$AN$356</definedName>
    <definedName name="M_Audit" localSheetId="16">Paid [17]Lag!$A$302:$AN$356</definedName>
    <definedName name="M_Audit" localSheetId="22">Paid [17]Lag!$A$302:$AN$356</definedName>
    <definedName name="M_Audit" localSheetId="26">Paid [17]Lag!$A$302:$AN$356</definedName>
    <definedName name="M_Audit">Paid [17]Lag!$A$302:$AN$356</definedName>
    <definedName name="M_DIFF" localSheetId="0">CURR MO - PREV [52]MO!$A$58:$AI$112</definedName>
    <definedName name="M_DIFF" localSheetId="6">CURR MO - PREV [52]MO!$A$58:$AI$112</definedName>
    <definedName name="M_DIFF" localSheetId="13">CURR MO - PREV [52]MO!$A$58:$AI$112</definedName>
    <definedName name="M_DIFF" localSheetId="16">CURR MO - PREV [52]MO!$A$58:$AI$112</definedName>
    <definedName name="M_DIFF" localSheetId="22">CURR MO - PREV [52]MO!$A$58:$AI$112</definedName>
    <definedName name="M_DIFF" localSheetId="26">CURR MO - PREV [52]MO!$A$58:$AI$112</definedName>
    <definedName name="M_DIFF">CURR MO - PREV [52]MO!$A$58:$AI$112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0">Paid [17]Lag!$A$366:$U$430</definedName>
    <definedName name="MD_Cum_PL" localSheetId="6">Paid [17]Lag!$A$366:$U$430</definedName>
    <definedName name="MD_Cum_PL" localSheetId="13">Paid [17]Lag!$A$366:$U$430</definedName>
    <definedName name="MD_Cum_PL" localSheetId="16">Paid [17]Lag!$A$366:$U$430</definedName>
    <definedName name="MD_Cum_PL" localSheetId="22">Paid [17]Lag!$A$366:$U$430</definedName>
    <definedName name="MD_Cum_PL" localSheetId="26">Paid [17]Lag!$A$366:$U$430</definedName>
    <definedName name="MD_Cum_PL">Paid [17]Lag!$A$366:$U$430</definedName>
    <definedName name="MD_Cum_RL" localSheetId="0">Receipt [17]Lag!$A$324:$O$394</definedName>
    <definedName name="MD_Cum_RL" localSheetId="6">Receipt [17]Lag!$A$324:$O$394</definedName>
    <definedName name="MD_Cum_RL" localSheetId="13">Receipt [17]Lag!$A$324:$O$394</definedName>
    <definedName name="MD_Cum_RL" localSheetId="16">Receipt [17]Lag!$A$324:$O$394</definedName>
    <definedName name="MD_Cum_RL" localSheetId="22">Receipt [17]Lag!$A$324:$O$394</definedName>
    <definedName name="MD_Cum_RL" localSheetId="26">Receipt [17]Lag!$A$324:$O$394</definedName>
    <definedName name="MD_Cum_RL">Receipt [17]Lag!$A$324:$O$394</definedName>
    <definedName name="MD_Factor_PL" localSheetId="0">Paid [17]Lag!$A$434:$U$504</definedName>
    <definedName name="MD_Factor_PL" localSheetId="6">Paid [17]Lag!$A$434:$U$504</definedName>
    <definedName name="MD_Factor_PL" localSheetId="13">Paid [17]Lag!$A$434:$U$504</definedName>
    <definedName name="MD_Factor_PL" localSheetId="16">Paid [17]Lag!$A$434:$U$504</definedName>
    <definedName name="MD_Factor_PL" localSheetId="22">Paid [17]Lag!$A$434:$U$504</definedName>
    <definedName name="MD_Factor_PL" localSheetId="26">Paid [17]Lag!$A$434:$U$504</definedName>
    <definedName name="MD_Factor_PL">Paid [17]Lag!$A$434:$U$504</definedName>
    <definedName name="MD_Factor_RL" localSheetId="0">Receipt [17]Lag!$A$399:$S$458</definedName>
    <definedName name="MD_Factor_RL" localSheetId="6">Receipt [17]Lag!$A$399:$S$458</definedName>
    <definedName name="MD_Factor_RL" localSheetId="13">Receipt [17]Lag!$A$399:$S$458</definedName>
    <definedName name="MD_Factor_RL" localSheetId="16">Receipt [17]Lag!$A$399:$S$458</definedName>
    <definedName name="MD_Factor_RL" localSheetId="22">Receipt [17]Lag!$A$399:$S$458</definedName>
    <definedName name="MD_Factor_RL" localSheetId="26">Receipt [17]Lag!$A$399:$S$458</definedName>
    <definedName name="MD_Factor_RL">Receipt [17]Lag!$A$399:$S$458</definedName>
    <definedName name="MD_Incr_PL" localSheetId="0">Paid [17]Lag!$A$302:$U$362</definedName>
    <definedName name="MD_Incr_PL" localSheetId="6">Paid [17]Lag!$A$302:$U$362</definedName>
    <definedName name="MD_Incr_PL" localSheetId="13">Paid [17]Lag!$A$302:$U$362</definedName>
    <definedName name="MD_Incr_PL" localSheetId="16">Paid [17]Lag!$A$302:$U$362</definedName>
    <definedName name="MD_Incr_PL" localSheetId="22">Paid [17]Lag!$A$302:$U$362</definedName>
    <definedName name="MD_Incr_PL" localSheetId="26">Paid [17]Lag!$A$302:$U$362</definedName>
    <definedName name="MD_Incr_PL">Paid [17]Lag!$A$302:$U$362</definedName>
    <definedName name="MD_Incremental_RL">#REF!</definedName>
    <definedName name="MD_Projection_PL" localSheetId="0">Paid [17]Lag!$A$516:$R$587</definedName>
    <definedName name="MD_Projection_PL" localSheetId="6">Paid [17]Lag!$A$516:$R$587</definedName>
    <definedName name="MD_Projection_PL" localSheetId="13">Paid [17]Lag!$A$516:$R$587</definedName>
    <definedName name="MD_Projection_PL" localSheetId="16">Paid [17]Lag!$A$516:$R$587</definedName>
    <definedName name="MD_Projection_PL" localSheetId="22">Paid [17]Lag!$A$516:$R$587</definedName>
    <definedName name="MD_Projection_PL" localSheetId="26">Paid [17]Lag!$A$516:$R$587</definedName>
    <definedName name="MD_Projection_PL">Paid [17]Lag!$A$516:$R$587</definedName>
    <definedName name="MD_Projection_RL" localSheetId="0">Receipt [17]Lag!$A$470:$R$532</definedName>
    <definedName name="MD_Projection_RL" localSheetId="6">Receipt [17]Lag!$A$470:$R$532</definedName>
    <definedName name="MD_Projection_RL" localSheetId="13">Receipt [17]Lag!$A$470:$R$532</definedName>
    <definedName name="MD_Projection_RL" localSheetId="16">Receipt [17]Lag!$A$470:$R$532</definedName>
    <definedName name="MD_Projection_RL" localSheetId="22">Receipt [17]Lag!$A$470:$R$532</definedName>
    <definedName name="MD_Projection_RL" localSheetId="26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 localSheetId="7">[63]Calc!$G$16:$G$19</definedName>
    <definedName name="Methods">[64]Calc!$G$16:$G$19</definedName>
    <definedName name="MI2017_1" localSheetId="7">#REF!</definedName>
    <definedName name="MI2017_1">#REF!</definedName>
    <definedName name="MI2017_2" localSheetId="7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0">Paid [17]Lag!$B$4</definedName>
    <definedName name="ModelName" localSheetId="6">Paid [17]Lag!$B$4</definedName>
    <definedName name="ModelName" localSheetId="13">Paid [17]Lag!$B$4</definedName>
    <definedName name="ModelName" localSheetId="16">Paid [17]Lag!$B$4</definedName>
    <definedName name="ModelName" localSheetId="22">Paid [17]Lag!$B$4</definedName>
    <definedName name="ModelName" localSheetId="26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[65]support!$AP$85:$AS$85,[65]support!$AW$85:$AZ$85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'[66]Drop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[67]Sheet1!$C$1:$C$65536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1" localSheetId="7">'Data for Q3'!$B$16</definedName>
    <definedName name="OLE_LINK40" localSheetId="0">'Q1'!#REF!</definedName>
    <definedName name="OLE_LINK40" localSheetId="3">'Q2'!#REF!</definedName>
    <definedName name="OLE_LINK47" localSheetId="0">'Q1'!#REF!</definedName>
    <definedName name="OLE_LINK47" localSheetId="3">'Q2'!#REF!</definedName>
    <definedName name="OLE_LINK47" localSheetId="5">'Solution for Q2'!#REF!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[68]CBUDGET!$A$5:$F$1254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[69]Controls!$C$195</definedName>
    <definedName name="PHYSREPRICE07">#REF!</definedName>
    <definedName name="PIPA">#REF!</definedName>
    <definedName name="Plan_Flag">#REF!</definedName>
    <definedName name="PlanChoices">[70]Notes!$Q$9:$Q$23</definedName>
    <definedName name="PlanID3">[16]Model!$D$21</definedName>
    <definedName name="PlanID4">[16]Model!$E$21</definedName>
    <definedName name="PlanInput">'[71]Benefit Input'!$L$3</definedName>
    <definedName name="PM">[32]Data!$C$5</definedName>
    <definedName name="PMPM_analysis" localSheetId="0">PMPM [72]analysis!$A$26:$J$82</definedName>
    <definedName name="PMPM_analysis" localSheetId="6">PMPM [72]analysis!$A$26:$J$82</definedName>
    <definedName name="PMPM_analysis" localSheetId="13">PMPM [72]analysis!$A$26:$J$82</definedName>
    <definedName name="PMPM_analysis" localSheetId="16">PMPM [72]analysis!$A$26:$J$82</definedName>
    <definedName name="PMPM_analysis" localSheetId="22">PMPM [72]analysis!$A$26:$J$82</definedName>
    <definedName name="PMPM_analysis" localSheetId="26">PMPM [72]analysis!$A$26:$J$82</definedName>
    <definedName name="PMPM_analysis">PMPM [72]analysis!$A$26:$J$82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'[73]Pricing Input Summary'!$B:$O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[74]Product!$B$4:$I$47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[75]Memo!#REF!</definedName>
    <definedName name="q">'[37]RateModel Input'!$D$14</definedName>
    <definedName name="QC_TABLE">[76]QC_Sheet!#REF!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'[66]Drop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'[77]rating segment'!$A$2:$I$13709</definedName>
    <definedName name="RBRVSFeeSched">[69]Controls!$C$198</definedName>
    <definedName name="RBRVSInputCFs">[13]Controls!$C$200</definedName>
    <definedName name="RBRVSMultiple">[13]Controls!$C$199</definedName>
    <definedName name="Recover">[78]Macro1!$A$99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'[79]Pricing Grids'!$B$58:$C$68</definedName>
    <definedName name="revsharetable4tc">'[79]Pricing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[80]Notes!$N$26</definedName>
    <definedName name="RROPP05">#REF!</definedName>
    <definedName name="rty">'[19]MH-SA'!$C$4:$AC$31</definedName>
    <definedName name="Rx">[81]BOC!$E$2:$Q$19</definedName>
    <definedName name="RxBOC">[82]BOC!$H$3:$J$52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[69]Controls!$C$195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[83]ERF!$AC$2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[84]Dashboard!$D$7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[85]INPUT!$E$16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'[76]Summary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[86]PlanTemplate!$K$12:$K$15</definedName>
    <definedName name="Util_No_ADP">[86]PlanTemplate!$J$12:$J$15</definedName>
    <definedName name="Util_No_ADPB">[86]PlanTemplate!$L$12:$L$14</definedName>
    <definedName name="Util_No_PB">[86]PlanTemplate!$M$12:$M$16</definedName>
    <definedName name="util1">#REF!</definedName>
    <definedName name="util2">#REF!</definedName>
    <definedName name="ValuationDate" localSheetId="17">'[87]Part b (current plan)'!#REF!</definedName>
    <definedName name="ValuationDate" localSheetId="20">'Sol for Q5 (b) - Proposed Plan'!#REF!</definedName>
    <definedName name="ValuationDate" localSheetId="21">'Solution for Q5 (d)'!#REF!</definedName>
    <definedName name="ValuationDate">#REF!</definedName>
    <definedName name="VariableMLRs">'[40]Retention(LG)'!#REF!</definedName>
    <definedName name="Version_1">#REF!</definedName>
    <definedName name="VisionChildrenOnly">[13]Controls!$C$11</definedName>
    <definedName name="vv">[88]Parameter!$C$19</definedName>
    <definedName name="water">[89]CBUDGET!$B$5:$H$1177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[90]BOC!$B$2:$Q$49</definedName>
    <definedName name="x">#REF!</definedName>
    <definedName name="xx">#REF!</definedName>
    <definedName name="xxxxx">'[91]All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  <definedName name="_xlnm.Print_Area" localSheetId="0">UCL [92]factors!$A$1:$Q$53</definedName>
    <definedName name="_xlnm.Print_Area" localSheetId="6">UCL [92]factors!$A$1:$Q$53</definedName>
    <definedName name="_xlnm.Print_Area" localSheetId="13">UCL [92]factors!$A$1:$Q$53</definedName>
    <definedName name="_xlnm.Print_Area" localSheetId="16">UCL [92]factors!$A$1:$Q$53</definedName>
    <definedName name="_xlnm.Print_Area" localSheetId="22">UCL [92]factors!$A$1:$Q$53</definedName>
    <definedName name="_xlnm.Print_Area" localSheetId="26">UCL [92]factors!$A$1:$Q$53</definedName>
    <definedName name="_xlnm.Print_Area">UCL [92]factors!$A$1:$Q$53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3" i="99" l="1"/>
  <c r="H13" i="105"/>
  <c r="I13" i="105"/>
  <c r="J13" i="105"/>
  <c r="K18" i="105" s="1"/>
  <c r="K13" i="105"/>
  <c r="L18" i="105" s="1"/>
  <c r="L13" i="105"/>
  <c r="M13" i="105"/>
  <c r="N13" i="105"/>
  <c r="O18" i="105" s="1"/>
  <c r="O13" i="105"/>
  <c r="P13" i="105"/>
  <c r="P18" i="105" s="1"/>
  <c r="Q13" i="105"/>
  <c r="R13" i="105"/>
  <c r="R30" i="105" s="1"/>
  <c r="I15" i="105"/>
  <c r="I20" i="105" s="1"/>
  <c r="J15" i="105"/>
  <c r="J20" i="105" s="1"/>
  <c r="K15" i="105"/>
  <c r="K20" i="105" s="1"/>
  <c r="L15" i="105"/>
  <c r="L20" i="105" s="1"/>
  <c r="M15" i="105"/>
  <c r="M20" i="105" s="1"/>
  <c r="N15" i="105"/>
  <c r="N20" i="105" s="1"/>
  <c r="O15" i="105"/>
  <c r="O20" i="105" s="1"/>
  <c r="P15" i="105"/>
  <c r="P20" i="105" s="1"/>
  <c r="Q15" i="105"/>
  <c r="Q20" i="105" s="1"/>
  <c r="R15" i="105"/>
  <c r="I16" i="105"/>
  <c r="J16" i="105"/>
  <c r="K16" i="105"/>
  <c r="L16" i="105"/>
  <c r="M16" i="105"/>
  <c r="N16" i="105"/>
  <c r="O16" i="105"/>
  <c r="P16" i="105"/>
  <c r="Q16" i="105"/>
  <c r="R16" i="105"/>
  <c r="R20" i="105" s="1"/>
  <c r="I17" i="105"/>
  <c r="J17" i="105"/>
  <c r="K17" i="105"/>
  <c r="L17" i="105"/>
  <c r="M17" i="105"/>
  <c r="N17" i="105"/>
  <c r="O17" i="105"/>
  <c r="P17" i="105"/>
  <c r="Q17" i="105"/>
  <c r="R17" i="105"/>
  <c r="I18" i="105"/>
  <c r="J18" i="105"/>
  <c r="M18" i="105"/>
  <c r="N18" i="105"/>
  <c r="Q18" i="105"/>
  <c r="R18" i="105"/>
  <c r="I19" i="105"/>
  <c r="J19" i="105"/>
  <c r="K19" i="105"/>
  <c r="L19" i="105"/>
  <c r="M19" i="105"/>
  <c r="N19" i="105"/>
  <c r="O19" i="105"/>
  <c r="P19" i="105"/>
  <c r="Q19" i="105"/>
  <c r="R19" i="105"/>
  <c r="I23" i="105"/>
  <c r="I26" i="105" s="1"/>
  <c r="J23" i="105"/>
  <c r="J26" i="105" s="1"/>
  <c r="K23" i="105"/>
  <c r="K26" i="105" s="1"/>
  <c r="L23" i="105"/>
  <c r="L26" i="105" s="1"/>
  <c r="M23" i="105"/>
  <c r="N23" i="105"/>
  <c r="O23" i="105"/>
  <c r="I24" i="105"/>
  <c r="J24" i="105"/>
  <c r="K24" i="105"/>
  <c r="L24" i="105"/>
  <c r="M24" i="105"/>
  <c r="N24" i="105"/>
  <c r="O24" i="105"/>
  <c r="Q24" i="105"/>
  <c r="R24" i="105"/>
  <c r="J28" i="105"/>
  <c r="J25" i="105" s="1"/>
  <c r="K28" i="105"/>
  <c r="K25" i="105" s="1"/>
  <c r="L28" i="105"/>
  <c r="L25" i="105" s="1"/>
  <c r="M28" i="105"/>
  <c r="M25" i="105" s="1"/>
  <c r="O28" i="105"/>
  <c r="O25" i="105" s="1"/>
  <c r="I29" i="105"/>
  <c r="J29" i="105"/>
  <c r="K29" i="105"/>
  <c r="L29" i="105"/>
  <c r="M29" i="105"/>
  <c r="N29" i="105"/>
  <c r="O29" i="105"/>
  <c r="P29" i="105"/>
  <c r="Q29" i="105"/>
  <c r="R29" i="105"/>
  <c r="I30" i="105"/>
  <c r="I28" i="105" s="1"/>
  <c r="I25" i="105" s="1"/>
  <c r="J30" i="105"/>
  <c r="K30" i="105"/>
  <c r="L30" i="105"/>
  <c r="M30" i="105"/>
  <c r="N30" i="105"/>
  <c r="N28" i="105" s="1"/>
  <c r="N25" i="105" s="1"/>
  <c r="O30" i="105"/>
  <c r="P30" i="105"/>
  <c r="P28" i="105" s="1"/>
  <c r="P25" i="105" s="1"/>
  <c r="Q30" i="105"/>
  <c r="Q28" i="105" s="1"/>
  <c r="Q25" i="105" s="1"/>
  <c r="H47" i="105"/>
  <c r="I47" i="105"/>
  <c r="I52" i="105" s="1"/>
  <c r="J47" i="105"/>
  <c r="K52" i="105" s="1"/>
  <c r="K47" i="105"/>
  <c r="L47" i="105"/>
  <c r="M47" i="105"/>
  <c r="N47" i="105"/>
  <c r="O47" i="105"/>
  <c r="P47" i="105"/>
  <c r="Q47" i="105"/>
  <c r="Q64" i="105" s="1"/>
  <c r="R47" i="105"/>
  <c r="R64" i="105" s="1"/>
  <c r="I49" i="105"/>
  <c r="J49" i="105"/>
  <c r="K49" i="105"/>
  <c r="L49" i="105"/>
  <c r="L54" i="105" s="1"/>
  <c r="M49" i="105"/>
  <c r="M54" i="105" s="1"/>
  <c r="N49" i="105"/>
  <c r="N54" i="105" s="1"/>
  <c r="O49" i="105"/>
  <c r="O54" i="105" s="1"/>
  <c r="P49" i="105"/>
  <c r="P54" i="105" s="1"/>
  <c r="Q49" i="105"/>
  <c r="R49" i="105"/>
  <c r="I50" i="105"/>
  <c r="J50" i="105"/>
  <c r="K50" i="105"/>
  <c r="L50" i="105"/>
  <c r="M50" i="105"/>
  <c r="N50" i="105"/>
  <c r="O50" i="105"/>
  <c r="P50" i="105"/>
  <c r="Q50" i="105"/>
  <c r="R50" i="105"/>
  <c r="I51" i="105"/>
  <c r="J51" i="105"/>
  <c r="K51" i="105"/>
  <c r="L51" i="105"/>
  <c r="M51" i="105"/>
  <c r="N51" i="105"/>
  <c r="O51" i="105"/>
  <c r="P51" i="105"/>
  <c r="Q51" i="105"/>
  <c r="R51" i="105"/>
  <c r="L52" i="105"/>
  <c r="M52" i="105"/>
  <c r="N52" i="105"/>
  <c r="O52" i="105"/>
  <c r="P52" i="105"/>
  <c r="I53" i="105"/>
  <c r="J53" i="105"/>
  <c r="K53" i="105"/>
  <c r="L53" i="105"/>
  <c r="M53" i="105"/>
  <c r="N53" i="105"/>
  <c r="O53" i="105"/>
  <c r="P53" i="105"/>
  <c r="Q53" i="105"/>
  <c r="R53" i="105"/>
  <c r="I57" i="105"/>
  <c r="J57" i="105"/>
  <c r="J60" i="105" s="1"/>
  <c r="K57" i="105"/>
  <c r="K60" i="105" s="1"/>
  <c r="L57" i="105"/>
  <c r="L60" i="105" s="1"/>
  <c r="M57" i="105"/>
  <c r="M60" i="105" s="1"/>
  <c r="N57" i="105"/>
  <c r="N60" i="105" s="1"/>
  <c r="I58" i="105"/>
  <c r="J58" i="105"/>
  <c r="K58" i="105"/>
  <c r="L58" i="105"/>
  <c r="M58" i="105"/>
  <c r="N58" i="105"/>
  <c r="O58" i="105"/>
  <c r="P58" i="105"/>
  <c r="R58" i="105"/>
  <c r="J62" i="105"/>
  <c r="J59" i="105" s="1"/>
  <c r="L62" i="105"/>
  <c r="L59" i="105" s="1"/>
  <c r="I63" i="105"/>
  <c r="J63" i="105"/>
  <c r="K63" i="105"/>
  <c r="L63" i="105"/>
  <c r="M63" i="105"/>
  <c r="N63" i="105"/>
  <c r="O63" i="105"/>
  <c r="P63" i="105"/>
  <c r="Q63" i="105"/>
  <c r="Q62" i="105" s="1"/>
  <c r="Q59" i="105" s="1"/>
  <c r="R63" i="105"/>
  <c r="R62" i="105" s="1"/>
  <c r="R59" i="105" s="1"/>
  <c r="I64" i="105"/>
  <c r="I62" i="105" s="1"/>
  <c r="I59" i="105" s="1"/>
  <c r="J64" i="105"/>
  <c r="K64" i="105"/>
  <c r="K62" i="105" s="1"/>
  <c r="K59" i="105" s="1"/>
  <c r="L64" i="105"/>
  <c r="M64" i="105"/>
  <c r="M62" i="105" s="1"/>
  <c r="M59" i="105" s="1"/>
  <c r="N64" i="105"/>
  <c r="N62" i="105" s="1"/>
  <c r="N59" i="105" s="1"/>
  <c r="O64" i="105"/>
  <c r="O62" i="105" s="1"/>
  <c r="O59" i="105" s="1"/>
  <c r="P64" i="105"/>
  <c r="P62" i="105" s="1"/>
  <c r="P59" i="105" s="1"/>
  <c r="H81" i="105"/>
  <c r="I86" i="105" s="1"/>
  <c r="I81" i="105"/>
  <c r="J86" i="105" s="1"/>
  <c r="J81" i="105"/>
  <c r="K81" i="105"/>
  <c r="L81" i="105"/>
  <c r="M81" i="105"/>
  <c r="N81" i="105"/>
  <c r="O81" i="105"/>
  <c r="P81" i="105"/>
  <c r="P98" i="105" s="1"/>
  <c r="Q81" i="105"/>
  <c r="Q98" i="105" s="1"/>
  <c r="R81" i="105"/>
  <c r="R98" i="105" s="1"/>
  <c r="I83" i="105"/>
  <c r="I88" i="105" s="1"/>
  <c r="J83" i="105"/>
  <c r="J88" i="105" s="1"/>
  <c r="K83" i="105"/>
  <c r="K88" i="105" s="1"/>
  <c r="L83" i="105"/>
  <c r="L88" i="105" s="1"/>
  <c r="M83" i="105"/>
  <c r="M88" i="105" s="1"/>
  <c r="N83" i="105"/>
  <c r="N88" i="105" s="1"/>
  <c r="O83" i="105"/>
  <c r="O88" i="105" s="1"/>
  <c r="P83" i="105"/>
  <c r="Q83" i="105"/>
  <c r="R83" i="105"/>
  <c r="I84" i="105"/>
  <c r="J84" i="105"/>
  <c r="K84" i="105"/>
  <c r="L84" i="105"/>
  <c r="M84" i="105"/>
  <c r="N84" i="105"/>
  <c r="O84" i="105"/>
  <c r="P84" i="105"/>
  <c r="Q84" i="105"/>
  <c r="R84" i="105"/>
  <c r="I85" i="105"/>
  <c r="J85" i="105"/>
  <c r="K85" i="105"/>
  <c r="L85" i="105"/>
  <c r="M85" i="105"/>
  <c r="N85" i="105"/>
  <c r="O85" i="105"/>
  <c r="P85" i="105"/>
  <c r="Q85" i="105"/>
  <c r="R85" i="105"/>
  <c r="K86" i="105"/>
  <c r="L86" i="105"/>
  <c r="M86" i="105"/>
  <c r="N86" i="105"/>
  <c r="O86" i="105"/>
  <c r="P86" i="105"/>
  <c r="P88" i="105" s="1"/>
  <c r="R86" i="105"/>
  <c r="I87" i="105"/>
  <c r="J87" i="105"/>
  <c r="K87" i="105"/>
  <c r="L87" i="105"/>
  <c r="M87" i="105"/>
  <c r="N87" i="105"/>
  <c r="O87" i="105"/>
  <c r="P87" i="105"/>
  <c r="Q87" i="105"/>
  <c r="R87" i="105"/>
  <c r="R88" i="105"/>
  <c r="I91" i="105"/>
  <c r="I94" i="105" s="1"/>
  <c r="J91" i="105"/>
  <c r="K91" i="105"/>
  <c r="L91" i="105"/>
  <c r="L94" i="105" s="1"/>
  <c r="M91" i="105"/>
  <c r="I92" i="105"/>
  <c r="J92" i="105"/>
  <c r="K92" i="105"/>
  <c r="L92" i="105"/>
  <c r="M92" i="105"/>
  <c r="N92" i="105"/>
  <c r="O92" i="105"/>
  <c r="P92" i="105"/>
  <c r="Q92" i="105"/>
  <c r="R92" i="105"/>
  <c r="I96" i="105"/>
  <c r="I93" i="105" s="1"/>
  <c r="L96" i="105"/>
  <c r="L93" i="105" s="1"/>
  <c r="I97" i="105"/>
  <c r="J97" i="105"/>
  <c r="K97" i="105"/>
  <c r="L97" i="105"/>
  <c r="M97" i="105"/>
  <c r="N97" i="105"/>
  <c r="O97" i="105"/>
  <c r="P97" i="105"/>
  <c r="Q97" i="105"/>
  <c r="R97" i="105"/>
  <c r="I98" i="105"/>
  <c r="J98" i="105"/>
  <c r="J96" i="105" s="1"/>
  <c r="J93" i="105" s="1"/>
  <c r="K98" i="105"/>
  <c r="K96" i="105" s="1"/>
  <c r="K93" i="105" s="1"/>
  <c r="L98" i="105"/>
  <c r="M98" i="105"/>
  <c r="M96" i="105" s="1"/>
  <c r="M93" i="105" s="1"/>
  <c r="N98" i="105"/>
  <c r="N96" i="105" s="1"/>
  <c r="N93" i="105" s="1"/>
  <c r="O98" i="105"/>
  <c r="O96" i="105" s="1"/>
  <c r="O93" i="105" s="1"/>
  <c r="Q96" i="105" l="1"/>
  <c r="Q93" i="105" s="1"/>
  <c r="P96" i="105"/>
  <c r="P93" i="105" s="1"/>
  <c r="M94" i="105"/>
  <c r="K54" i="105"/>
  <c r="K94" i="105"/>
  <c r="J94" i="105"/>
  <c r="I54" i="105"/>
  <c r="R96" i="105"/>
  <c r="R93" i="105" s="1"/>
  <c r="I60" i="105"/>
  <c r="R28" i="105"/>
  <c r="R25" i="105" s="1"/>
  <c r="O26" i="105"/>
  <c r="N26" i="105"/>
  <c r="M26" i="105"/>
  <c r="N91" i="105"/>
  <c r="O57" i="105"/>
  <c r="P23" i="105"/>
  <c r="Q86" i="105"/>
  <c r="Q88" i="105" s="1"/>
  <c r="R52" i="105"/>
  <c r="R54" i="105" s="1"/>
  <c r="J52" i="105"/>
  <c r="J54" i="105" s="1"/>
  <c r="P24" i="105"/>
  <c r="Q58" i="105"/>
  <c r="Q52" i="105"/>
  <c r="Q54" i="105" s="1"/>
  <c r="N94" i="105" l="1"/>
  <c r="O91" i="105"/>
  <c r="O60" i="105"/>
  <c r="P57" i="105"/>
  <c r="P26" i="105"/>
  <c r="Q23" i="105"/>
  <c r="R23" i="105" l="1"/>
  <c r="R26" i="105" s="1"/>
  <c r="Q26" i="105"/>
  <c r="Q57" i="105"/>
  <c r="P60" i="105"/>
  <c r="P91" i="105"/>
  <c r="O94" i="105"/>
  <c r="Q60" i="105" l="1"/>
  <c r="R57" i="105"/>
  <c r="R60" i="105" s="1"/>
  <c r="Q91" i="105"/>
  <c r="P94" i="105"/>
  <c r="R91" i="105" l="1"/>
  <c r="R94" i="105" s="1"/>
  <c r="Q94" i="105"/>
  <c r="B3" i="104" l="1"/>
  <c r="B22" i="104" s="1"/>
  <c r="M17" i="104"/>
  <c r="L17" i="104"/>
  <c r="K17" i="104"/>
  <c r="J17" i="104"/>
  <c r="I17" i="104"/>
  <c r="H17" i="104"/>
  <c r="G17" i="104"/>
  <c r="F17" i="104"/>
  <c r="E17" i="104"/>
  <c r="D17" i="104"/>
  <c r="C17" i="104"/>
  <c r="B17" i="104"/>
  <c r="M16" i="104"/>
  <c r="L16" i="104"/>
  <c r="K16" i="104"/>
  <c r="J16" i="104"/>
  <c r="I16" i="104"/>
  <c r="H16" i="104"/>
  <c r="G16" i="104"/>
  <c r="F16" i="104"/>
  <c r="E16" i="104"/>
  <c r="D16" i="104"/>
  <c r="C16" i="104"/>
  <c r="B16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M13" i="104"/>
  <c r="L13" i="104"/>
  <c r="K13" i="104"/>
  <c r="J13" i="104"/>
  <c r="I13" i="104"/>
  <c r="H13" i="104"/>
  <c r="G13" i="104"/>
  <c r="F13" i="104"/>
  <c r="E13" i="104"/>
  <c r="D13" i="104"/>
  <c r="C13" i="104"/>
  <c r="B13" i="104"/>
  <c r="M12" i="104"/>
  <c r="L12" i="104"/>
  <c r="K12" i="104"/>
  <c r="J12" i="104"/>
  <c r="I12" i="104"/>
  <c r="H12" i="104"/>
  <c r="G12" i="104"/>
  <c r="F12" i="104"/>
  <c r="E12" i="104"/>
  <c r="D12" i="104"/>
  <c r="C12" i="104"/>
  <c r="B12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M9" i="104"/>
  <c r="L9" i="104"/>
  <c r="K9" i="104"/>
  <c r="J9" i="104"/>
  <c r="I9" i="104"/>
  <c r="H9" i="104"/>
  <c r="G9" i="104"/>
  <c r="F9" i="104"/>
  <c r="E9" i="104"/>
  <c r="D9" i="104"/>
  <c r="C9" i="104"/>
  <c r="B9" i="104"/>
  <c r="M8" i="104"/>
  <c r="L8" i="104"/>
  <c r="K8" i="104"/>
  <c r="J8" i="104"/>
  <c r="I8" i="104"/>
  <c r="H8" i="104"/>
  <c r="G8" i="104"/>
  <c r="F8" i="104"/>
  <c r="E8" i="104"/>
  <c r="D8" i="104"/>
  <c r="C8" i="104"/>
  <c r="B8" i="104"/>
  <c r="M7" i="104"/>
  <c r="L7" i="104"/>
  <c r="K7" i="104"/>
  <c r="J7" i="104"/>
  <c r="I7" i="104"/>
  <c r="H7" i="104"/>
  <c r="G7" i="104"/>
  <c r="F7" i="104"/>
  <c r="E7" i="104"/>
  <c r="D7" i="104"/>
  <c r="C7" i="104"/>
  <c r="B7" i="104"/>
  <c r="M6" i="104"/>
  <c r="L6" i="104"/>
  <c r="K6" i="104"/>
  <c r="J6" i="104"/>
  <c r="I6" i="104"/>
  <c r="H6" i="104"/>
  <c r="G6" i="104"/>
  <c r="F6" i="104"/>
  <c r="E6" i="104"/>
  <c r="D6" i="104"/>
  <c r="C6" i="104"/>
  <c r="B6" i="104"/>
  <c r="M5" i="104"/>
  <c r="L5" i="104"/>
  <c r="K5" i="104"/>
  <c r="J5" i="104"/>
  <c r="I5" i="104"/>
  <c r="H5" i="104"/>
  <c r="G5" i="104"/>
  <c r="F5" i="104"/>
  <c r="E5" i="104"/>
  <c r="D5" i="104"/>
  <c r="C5" i="104"/>
  <c r="B5" i="104"/>
  <c r="M4" i="104"/>
  <c r="L4" i="104"/>
  <c r="K4" i="104"/>
  <c r="J4" i="104"/>
  <c r="I4" i="104"/>
  <c r="H4" i="104"/>
  <c r="G4" i="104"/>
  <c r="F4" i="104"/>
  <c r="E4" i="104"/>
  <c r="D4" i="104"/>
  <c r="C4" i="104"/>
  <c r="B4" i="104"/>
  <c r="M3" i="104"/>
  <c r="L3" i="104"/>
  <c r="K3" i="104"/>
  <c r="K22" i="104" s="1"/>
  <c r="J3" i="104"/>
  <c r="I3" i="104"/>
  <c r="I22" i="104" s="1"/>
  <c r="H3" i="104"/>
  <c r="G3" i="104"/>
  <c r="F3" i="104"/>
  <c r="E3" i="104"/>
  <c r="D3" i="104"/>
  <c r="D22" i="104" s="1"/>
  <c r="C3" i="104"/>
  <c r="C22" i="104" s="1"/>
  <c r="C23" i="104" l="1"/>
  <c r="C41" i="104" s="1"/>
  <c r="D23" i="104"/>
  <c r="D41" i="104" s="1"/>
  <c r="I23" i="104"/>
  <c r="I24" i="104" s="1"/>
  <c r="I25" i="104" s="1"/>
  <c r="J18" i="104"/>
  <c r="K23" i="104"/>
  <c r="K24" i="104" s="1"/>
  <c r="M18" i="104"/>
  <c r="L18" i="104"/>
  <c r="B23" i="104"/>
  <c r="B18" i="104"/>
  <c r="E18" i="104"/>
  <c r="E22" i="104"/>
  <c r="E23" i="104" s="1"/>
  <c r="E24" i="104" s="1"/>
  <c r="C18" i="104"/>
  <c r="D18" i="104"/>
  <c r="F18" i="104"/>
  <c r="G18" i="104"/>
  <c r="J22" i="104"/>
  <c r="J23" i="104" s="1"/>
  <c r="J24" i="104" s="1"/>
  <c r="J42" i="104" s="1"/>
  <c r="H18" i="104"/>
  <c r="I18" i="104"/>
  <c r="B24" i="104"/>
  <c r="B41" i="104"/>
  <c r="F22" i="104"/>
  <c r="F23" i="104" s="1"/>
  <c r="K18" i="104"/>
  <c r="G22" i="104"/>
  <c r="G23" i="104" s="1"/>
  <c r="H22" i="104"/>
  <c r="H23" i="104" s="1"/>
  <c r="L22" i="104"/>
  <c r="L23" i="104" s="1"/>
  <c r="M22" i="104"/>
  <c r="M23" i="104" s="1"/>
  <c r="C24" i="104" l="1"/>
  <c r="C25" i="104" s="1"/>
  <c r="D24" i="104"/>
  <c r="D42" i="104" s="1"/>
  <c r="J25" i="104"/>
  <c r="J26" i="104" s="1"/>
  <c r="I41" i="104"/>
  <c r="I42" i="104"/>
  <c r="J41" i="104"/>
  <c r="K41" i="104"/>
  <c r="E41" i="104"/>
  <c r="B25" i="104"/>
  <c r="B42" i="104"/>
  <c r="L24" i="104"/>
  <c r="L41" i="104"/>
  <c r="G41" i="104"/>
  <c r="G24" i="104"/>
  <c r="I26" i="104"/>
  <c r="I43" i="104"/>
  <c r="M24" i="104"/>
  <c r="M41" i="104"/>
  <c r="H24" i="104"/>
  <c r="H41" i="104"/>
  <c r="F24" i="104"/>
  <c r="F41" i="104"/>
  <c r="K42" i="104"/>
  <c r="K25" i="104"/>
  <c r="E25" i="104"/>
  <c r="E42" i="104"/>
  <c r="D25" i="104" l="1"/>
  <c r="C42" i="104"/>
  <c r="J43" i="104"/>
  <c r="Q41" i="104"/>
  <c r="R41" i="104"/>
  <c r="L42" i="104"/>
  <c r="L25" i="104"/>
  <c r="E26" i="104"/>
  <c r="E43" i="104"/>
  <c r="D43" i="104"/>
  <c r="D26" i="104"/>
  <c r="G25" i="104"/>
  <c r="G42" i="104"/>
  <c r="F25" i="104"/>
  <c r="F42" i="104"/>
  <c r="H42" i="104"/>
  <c r="H25" i="104"/>
  <c r="M25" i="104"/>
  <c r="M42" i="104"/>
  <c r="C43" i="104"/>
  <c r="C26" i="104"/>
  <c r="I27" i="104"/>
  <c r="I44" i="104"/>
  <c r="J27" i="104"/>
  <c r="J44" i="104"/>
  <c r="K26" i="104"/>
  <c r="K43" i="104"/>
  <c r="B43" i="104"/>
  <c r="B26" i="104"/>
  <c r="Q42" i="104" l="1"/>
  <c r="J28" i="104"/>
  <c r="J45" i="104"/>
  <c r="H43" i="104"/>
  <c r="H26" i="104"/>
  <c r="M26" i="104"/>
  <c r="M43" i="104"/>
  <c r="F43" i="104"/>
  <c r="F26" i="104"/>
  <c r="B27" i="104"/>
  <c r="B44" i="104"/>
  <c r="C44" i="104"/>
  <c r="C27" i="104"/>
  <c r="R42" i="104"/>
  <c r="D44" i="104"/>
  <c r="D27" i="104"/>
  <c r="E44" i="104"/>
  <c r="E27" i="104"/>
  <c r="I28" i="104"/>
  <c r="I45" i="104"/>
  <c r="G26" i="104"/>
  <c r="G43" i="104"/>
  <c r="K44" i="104"/>
  <c r="K27" i="104"/>
  <c r="L26" i="104"/>
  <c r="L43" i="104"/>
  <c r="Q43" i="104" l="1"/>
  <c r="J46" i="104"/>
  <c r="J29" i="104"/>
  <c r="D45" i="104"/>
  <c r="D28" i="104"/>
  <c r="I29" i="104"/>
  <c r="I46" i="104"/>
  <c r="E28" i="104"/>
  <c r="E45" i="104"/>
  <c r="F44" i="104"/>
  <c r="F27" i="104"/>
  <c r="C28" i="104"/>
  <c r="C45" i="104"/>
  <c r="K45" i="104"/>
  <c r="Q45" i="104" s="1"/>
  <c r="K28" i="104"/>
  <c r="M27" i="104"/>
  <c r="M44" i="104"/>
  <c r="B28" i="104"/>
  <c r="B45" i="104"/>
  <c r="L44" i="104"/>
  <c r="Q44" i="104" s="1"/>
  <c r="S43" i="104" s="1"/>
  <c r="L27" i="104"/>
  <c r="H44" i="104"/>
  <c r="H27" i="104"/>
  <c r="R43" i="104"/>
  <c r="G44" i="104"/>
  <c r="G27" i="104"/>
  <c r="S42" i="104" l="1"/>
  <c r="S41" i="104" s="1"/>
  <c r="S40" i="104" s="1"/>
  <c r="J47" i="104"/>
  <c r="J30" i="104"/>
  <c r="L45" i="104"/>
  <c r="L28" i="104"/>
  <c r="B46" i="104"/>
  <c r="B29" i="104"/>
  <c r="H28" i="104"/>
  <c r="H45" i="104"/>
  <c r="M45" i="104"/>
  <c r="M28" i="104"/>
  <c r="K29" i="104"/>
  <c r="K46" i="104"/>
  <c r="C46" i="104"/>
  <c r="C29" i="104"/>
  <c r="F28" i="104"/>
  <c r="F45" i="104"/>
  <c r="E29" i="104"/>
  <c r="E46" i="104"/>
  <c r="G45" i="104"/>
  <c r="G28" i="104"/>
  <c r="I47" i="104"/>
  <c r="I30" i="104"/>
  <c r="R44" i="104"/>
  <c r="D29" i="104"/>
  <c r="D46" i="104"/>
  <c r="I31" i="104" l="1"/>
  <c r="I48" i="104"/>
  <c r="J31" i="104"/>
  <c r="J48" i="104"/>
  <c r="G29" i="104"/>
  <c r="G46" i="104"/>
  <c r="R45" i="104"/>
  <c r="T44" i="104" s="1"/>
  <c r="T43" i="104" s="1"/>
  <c r="T42" i="104" s="1"/>
  <c r="T41" i="104" s="1"/>
  <c r="T40" i="104" s="1"/>
  <c r="M29" i="104"/>
  <c r="M46" i="104"/>
  <c r="E47" i="104"/>
  <c r="E30" i="104"/>
  <c r="F29" i="104"/>
  <c r="F46" i="104"/>
  <c r="C47" i="104"/>
  <c r="C30" i="104"/>
  <c r="K30" i="104"/>
  <c r="K47" i="104"/>
  <c r="H29" i="104"/>
  <c r="H46" i="104"/>
  <c r="Q46" i="104" s="1"/>
  <c r="B30" i="104"/>
  <c r="B47" i="104"/>
  <c r="D47" i="104"/>
  <c r="D30" i="104"/>
  <c r="L29" i="104"/>
  <c r="L46" i="104"/>
  <c r="R46" i="104" l="1"/>
  <c r="B31" i="104"/>
  <c r="B48" i="104"/>
  <c r="K48" i="104"/>
  <c r="K31" i="104"/>
  <c r="F30" i="104"/>
  <c r="F47" i="104"/>
  <c r="H47" i="104"/>
  <c r="H30" i="104"/>
  <c r="E31" i="104"/>
  <c r="E48" i="104"/>
  <c r="M30" i="104"/>
  <c r="M47" i="104"/>
  <c r="L30" i="104"/>
  <c r="L47" i="104"/>
  <c r="G47" i="104"/>
  <c r="Q47" i="104" s="1"/>
  <c r="G30" i="104"/>
  <c r="I32" i="104"/>
  <c r="I49" i="104"/>
  <c r="C48" i="104"/>
  <c r="C31" i="104"/>
  <c r="D31" i="104"/>
  <c r="D48" i="104"/>
  <c r="J49" i="104"/>
  <c r="J32" i="104"/>
  <c r="M31" i="104" l="1"/>
  <c r="M48" i="104"/>
  <c r="C49" i="104"/>
  <c r="C32" i="104"/>
  <c r="I50" i="104"/>
  <c r="I33" i="104"/>
  <c r="E32" i="104"/>
  <c r="E49" i="104"/>
  <c r="H31" i="104"/>
  <c r="H48" i="104"/>
  <c r="D49" i="104"/>
  <c r="D32" i="104"/>
  <c r="F31" i="104"/>
  <c r="F48" i="104"/>
  <c r="B32" i="104"/>
  <c r="B49" i="104"/>
  <c r="G31" i="104"/>
  <c r="G48" i="104"/>
  <c r="L48" i="104"/>
  <c r="L31" i="104"/>
  <c r="J50" i="104"/>
  <c r="J33" i="104"/>
  <c r="K32" i="104"/>
  <c r="K49" i="104"/>
  <c r="L32" i="104" l="1"/>
  <c r="L49" i="104"/>
  <c r="G32" i="104"/>
  <c r="G49" i="104"/>
  <c r="Q48" i="104"/>
  <c r="J51" i="104"/>
  <c r="J34" i="104"/>
  <c r="M32" i="104"/>
  <c r="M49" i="104"/>
  <c r="B50" i="104"/>
  <c r="B33" i="104"/>
  <c r="F32" i="104"/>
  <c r="F49" i="104"/>
  <c r="Q49" i="104" s="1"/>
  <c r="D50" i="104"/>
  <c r="D33" i="104"/>
  <c r="H32" i="104"/>
  <c r="H49" i="104"/>
  <c r="E50" i="104"/>
  <c r="E33" i="104"/>
  <c r="I51" i="104"/>
  <c r="I34" i="104"/>
  <c r="C50" i="104"/>
  <c r="C33" i="104"/>
  <c r="K50" i="104"/>
  <c r="K33" i="104"/>
  <c r="H50" i="104" l="1"/>
  <c r="H33" i="104"/>
  <c r="E34" i="104"/>
  <c r="E51" i="104"/>
  <c r="B51" i="104"/>
  <c r="B34" i="104"/>
  <c r="J52" i="104"/>
  <c r="J35" i="104"/>
  <c r="G33" i="104"/>
  <c r="G50" i="104"/>
  <c r="L50" i="104"/>
  <c r="L33" i="104"/>
  <c r="D51" i="104"/>
  <c r="D34" i="104"/>
  <c r="F50" i="104"/>
  <c r="Q50" i="104" s="1"/>
  <c r="F33" i="104"/>
  <c r="M50" i="104"/>
  <c r="M33" i="104"/>
  <c r="K51" i="104"/>
  <c r="K34" i="104"/>
  <c r="C51" i="104"/>
  <c r="C34" i="104"/>
  <c r="I52" i="104"/>
  <c r="I35" i="104"/>
  <c r="Q51" i="104" l="1"/>
  <c r="H51" i="104"/>
  <c r="H34" i="104"/>
  <c r="M51" i="104"/>
  <c r="M34" i="104"/>
  <c r="F51" i="104"/>
  <c r="F34" i="104"/>
  <c r="D52" i="104"/>
  <c r="D35" i="104"/>
  <c r="L51" i="104"/>
  <c r="L34" i="104"/>
  <c r="K52" i="104"/>
  <c r="K35" i="104"/>
  <c r="G51" i="104"/>
  <c r="G34" i="104"/>
  <c r="J36" i="104"/>
  <c r="J54" i="104" s="1"/>
  <c r="J53" i="104"/>
  <c r="B35" i="104"/>
  <c r="B52" i="104"/>
  <c r="I36" i="104"/>
  <c r="I54" i="104" s="1"/>
  <c r="I53" i="104"/>
  <c r="E35" i="104"/>
  <c r="E52" i="104"/>
  <c r="C52" i="104"/>
  <c r="C35" i="104"/>
  <c r="Q52" i="104" l="1"/>
  <c r="K53" i="104"/>
  <c r="K36" i="104"/>
  <c r="K54" i="104" s="1"/>
  <c r="L52" i="104"/>
  <c r="L35" i="104"/>
  <c r="G35" i="104"/>
  <c r="G52" i="104"/>
  <c r="B53" i="104"/>
  <c r="B36" i="104"/>
  <c r="B54" i="104" s="1"/>
  <c r="D53" i="104"/>
  <c r="D36" i="104"/>
  <c r="D54" i="104" s="1"/>
  <c r="F35" i="104"/>
  <c r="F52" i="104"/>
  <c r="C53" i="104"/>
  <c r="C36" i="104"/>
  <c r="C54" i="104" s="1"/>
  <c r="M35" i="104"/>
  <c r="M52" i="104"/>
  <c r="H52" i="104"/>
  <c r="H35" i="104"/>
  <c r="E53" i="104"/>
  <c r="E36" i="104"/>
  <c r="E54" i="104" s="1"/>
  <c r="H36" i="104" l="1"/>
  <c r="H54" i="104" s="1"/>
  <c r="H53" i="104"/>
  <c r="Q53" i="104"/>
  <c r="G53" i="104"/>
  <c r="G36" i="104"/>
  <c r="G54" i="104" s="1"/>
  <c r="M36" i="104"/>
  <c r="M54" i="104" s="1"/>
  <c r="M53" i="104"/>
  <c r="L53" i="104"/>
  <c r="L36" i="104"/>
  <c r="L54" i="104" s="1"/>
  <c r="Q54" i="104"/>
  <c r="F53" i="104"/>
  <c r="F36" i="104"/>
  <c r="F54" i="104" s="1"/>
  <c r="E65" i="102" l="1"/>
  <c r="E64" i="102"/>
  <c r="E63" i="102"/>
  <c r="E62" i="102"/>
  <c r="E61" i="102"/>
  <c r="E60" i="102"/>
  <c r="E59" i="102"/>
  <c r="E58" i="102"/>
  <c r="E57" i="102"/>
  <c r="E56" i="102"/>
  <c r="E55" i="102"/>
  <c r="E54" i="102"/>
  <c r="E53" i="102"/>
  <c r="E52" i="102"/>
  <c r="E51" i="102"/>
  <c r="E50" i="102"/>
  <c r="E49" i="102"/>
  <c r="E48" i="102"/>
  <c r="E47" i="102"/>
  <c r="E46" i="102"/>
  <c r="E45" i="102"/>
  <c r="E44" i="102"/>
  <c r="E43" i="102"/>
  <c r="E42" i="102"/>
  <c r="E41" i="102"/>
  <c r="E40" i="102"/>
  <c r="E39" i="102"/>
  <c r="E38" i="102"/>
  <c r="E37" i="102"/>
  <c r="E36" i="102"/>
  <c r="E35" i="102"/>
  <c r="E34" i="102"/>
  <c r="E33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65" i="101"/>
  <c r="E64" i="101"/>
  <c r="E63" i="101"/>
  <c r="E62" i="101"/>
  <c r="E61" i="101"/>
  <c r="E60" i="101"/>
  <c r="E59" i="101"/>
  <c r="E58" i="101"/>
  <c r="E57" i="101"/>
  <c r="E56" i="101"/>
  <c r="E55" i="101"/>
  <c r="E54" i="101"/>
  <c r="E53" i="101"/>
  <c r="E52" i="101"/>
  <c r="E51" i="101"/>
  <c r="E50" i="101"/>
  <c r="E49" i="101"/>
  <c r="E48" i="101"/>
  <c r="E47" i="101"/>
  <c r="E46" i="101"/>
  <c r="E45" i="101"/>
  <c r="E44" i="101"/>
  <c r="E43" i="101"/>
  <c r="E42" i="101"/>
  <c r="E41" i="101"/>
  <c r="E40" i="101"/>
  <c r="E39" i="101"/>
  <c r="E38" i="101"/>
  <c r="E37" i="101"/>
  <c r="E36" i="101"/>
  <c r="E35" i="101"/>
  <c r="E34" i="101"/>
  <c r="E33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65" i="100"/>
  <c r="E64" i="100"/>
  <c r="E63" i="100"/>
  <c r="E62" i="100"/>
  <c r="E61" i="100"/>
  <c r="E60" i="100"/>
  <c r="E59" i="100"/>
  <c r="E58" i="100"/>
  <c r="E57" i="100"/>
  <c r="E56" i="100"/>
  <c r="E55" i="100"/>
  <c r="E54" i="100"/>
  <c r="E53" i="100"/>
  <c r="E52" i="100"/>
  <c r="E51" i="100"/>
  <c r="E50" i="100"/>
  <c r="E49" i="100"/>
  <c r="E48" i="100"/>
  <c r="E47" i="100"/>
  <c r="E46" i="100"/>
  <c r="E45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B5" i="102" l="1"/>
  <c r="B21" i="102" s="1"/>
  <c r="D14" i="102"/>
  <c r="E14" i="102"/>
  <c r="D15" i="102"/>
  <c r="E15" i="102"/>
  <c r="C21" i="102"/>
  <c r="L21" i="102"/>
  <c r="M21" i="102" s="1"/>
  <c r="P21" i="102"/>
  <c r="Q21" i="102"/>
  <c r="A22" i="102"/>
  <c r="B22" i="102"/>
  <c r="C22" i="102"/>
  <c r="D22" i="102"/>
  <c r="K22" i="102"/>
  <c r="L22" i="102"/>
  <c r="A23" i="102"/>
  <c r="C23" i="102" s="1"/>
  <c r="B23" i="102"/>
  <c r="D23" i="102"/>
  <c r="K23" i="102"/>
  <c r="K24" i="102" s="1"/>
  <c r="L23" i="102"/>
  <c r="A24" i="102"/>
  <c r="C24" i="102" s="1"/>
  <c r="B24" i="102"/>
  <c r="B25" i="102" s="1"/>
  <c r="B26" i="102" s="1"/>
  <c r="B27" i="102" s="1"/>
  <c r="B28" i="102" s="1"/>
  <c r="B29" i="102" s="1"/>
  <c r="B30" i="102" s="1"/>
  <c r="B31" i="102" s="1"/>
  <c r="D24" i="102"/>
  <c r="L24" i="102"/>
  <c r="A25" i="102"/>
  <c r="K25" i="102"/>
  <c r="K26" i="102" s="1"/>
  <c r="K27" i="102" s="1"/>
  <c r="K28" i="102" s="1"/>
  <c r="K29" i="102" s="1"/>
  <c r="K30" i="102" s="1"/>
  <c r="K31" i="102" s="1"/>
  <c r="K32" i="102" s="1"/>
  <c r="L25" i="102"/>
  <c r="L26" i="102"/>
  <c r="L27" i="102"/>
  <c r="L28" i="102"/>
  <c r="L29" i="102"/>
  <c r="L30" i="102"/>
  <c r="L31" i="102"/>
  <c r="B32" i="102"/>
  <c r="B33" i="102" s="1"/>
  <c r="B34" i="102" s="1"/>
  <c r="B35" i="102" s="1"/>
  <c r="B36" i="102" s="1"/>
  <c r="L32" i="102"/>
  <c r="K33" i="102"/>
  <c r="K34" i="102" s="1"/>
  <c r="K35" i="102" s="1"/>
  <c r="K36" i="102" s="1"/>
  <c r="K37" i="102" s="1"/>
  <c r="K38" i="102" s="1"/>
  <c r="K39" i="102" s="1"/>
  <c r="K40" i="102" s="1"/>
  <c r="K41" i="102" s="1"/>
  <c r="K42" i="102" s="1"/>
  <c r="K43" i="102" s="1"/>
  <c r="L33" i="102"/>
  <c r="L34" i="102"/>
  <c r="L35" i="102"/>
  <c r="L36" i="102"/>
  <c r="B37" i="102"/>
  <c r="B38" i="102" s="1"/>
  <c r="B39" i="102" s="1"/>
  <c r="B40" i="102" s="1"/>
  <c r="L37" i="102"/>
  <c r="L38" i="102"/>
  <c r="L39" i="102"/>
  <c r="L40" i="102"/>
  <c r="L41" i="102"/>
  <c r="L42" i="102"/>
  <c r="L43" i="102"/>
  <c r="H45" i="102"/>
  <c r="H46" i="102"/>
  <c r="H47" i="102"/>
  <c r="H48" i="102"/>
  <c r="H49" i="102"/>
  <c r="H50" i="102"/>
  <c r="H51" i="102"/>
  <c r="H52" i="102"/>
  <c r="H53" i="102"/>
  <c r="H54" i="102"/>
  <c r="H55" i="102"/>
  <c r="H56" i="102"/>
  <c r="H57" i="102"/>
  <c r="H58" i="102"/>
  <c r="H59" i="102"/>
  <c r="H60" i="102"/>
  <c r="H61" i="102"/>
  <c r="H62" i="102"/>
  <c r="H63" i="102"/>
  <c r="H64" i="102"/>
  <c r="H65" i="102"/>
  <c r="B5" i="101"/>
  <c r="D14" i="101"/>
  <c r="E14" i="101"/>
  <c r="D15" i="101"/>
  <c r="E15" i="101" s="1"/>
  <c r="B21" i="10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C21" i="101"/>
  <c r="L21" i="101"/>
  <c r="M21" i="101" s="1"/>
  <c r="N21" i="101"/>
  <c r="P21" i="101"/>
  <c r="Q21" i="101"/>
  <c r="A22" i="101"/>
  <c r="C22" i="101"/>
  <c r="D22" i="101"/>
  <c r="D23" i="101" s="1"/>
  <c r="D24" i="101" s="1"/>
  <c r="K22" i="101"/>
  <c r="L22" i="101"/>
  <c r="A23" i="101"/>
  <c r="C23" i="101"/>
  <c r="K23" i="101"/>
  <c r="K24" i="101" s="1"/>
  <c r="K25" i="101" s="1"/>
  <c r="K26" i="101" s="1"/>
  <c r="L23" i="101"/>
  <c r="A24" i="101"/>
  <c r="L24" i="101"/>
  <c r="L25" i="101"/>
  <c r="L26" i="101"/>
  <c r="K27" i="101"/>
  <c r="L27" i="101"/>
  <c r="K28" i="101"/>
  <c r="K29" i="101" s="1"/>
  <c r="L28" i="101"/>
  <c r="L29" i="101"/>
  <c r="K30" i="101"/>
  <c r="K31" i="101" s="1"/>
  <c r="K32" i="101" s="1"/>
  <c r="K33" i="101" s="1"/>
  <c r="K34" i="101" s="1"/>
  <c r="K35" i="101" s="1"/>
  <c r="K36" i="101" s="1"/>
  <c r="K37" i="101" s="1"/>
  <c r="K38" i="101" s="1"/>
  <c r="K39" i="101" s="1"/>
  <c r="K40" i="101" s="1"/>
  <c r="K41" i="101" s="1"/>
  <c r="K42" i="101" s="1"/>
  <c r="K43" i="101" s="1"/>
  <c r="L30" i="101"/>
  <c r="L31" i="101"/>
  <c r="L32" i="101"/>
  <c r="L33" i="101"/>
  <c r="L34" i="101"/>
  <c r="L35" i="101"/>
  <c r="L36" i="101"/>
  <c r="L37" i="101"/>
  <c r="L38" i="101"/>
  <c r="L39" i="101"/>
  <c r="L40" i="101"/>
  <c r="L41" i="101"/>
  <c r="L42" i="101"/>
  <c r="L43" i="101"/>
  <c r="H45" i="101"/>
  <c r="H46" i="101"/>
  <c r="H47" i="101"/>
  <c r="H48" i="101"/>
  <c r="H49" i="101"/>
  <c r="H50" i="101"/>
  <c r="H51" i="101"/>
  <c r="H52" i="101"/>
  <c r="H53" i="101"/>
  <c r="H54" i="101"/>
  <c r="H55" i="101"/>
  <c r="H56" i="101"/>
  <c r="H57" i="101"/>
  <c r="H58" i="101"/>
  <c r="H59" i="101"/>
  <c r="H60" i="101"/>
  <c r="H61" i="101"/>
  <c r="H62" i="101"/>
  <c r="H63" i="101"/>
  <c r="H64" i="101"/>
  <c r="H65" i="101"/>
  <c r="B3" i="100"/>
  <c r="B4" i="100"/>
  <c r="B8" i="100"/>
  <c r="C26" i="100" s="1"/>
  <c r="D14" i="100"/>
  <c r="E14" i="100" s="1"/>
  <c r="D15" i="100"/>
  <c r="E15" i="100"/>
  <c r="G21" i="100"/>
  <c r="L21" i="100"/>
  <c r="N21" i="100" s="1"/>
  <c r="M21" i="100"/>
  <c r="P21" i="100"/>
  <c r="Q21" i="100"/>
  <c r="A22" i="100"/>
  <c r="D22" i="100"/>
  <c r="D23" i="100" s="1"/>
  <c r="D24" i="100" s="1"/>
  <c r="K22" i="100"/>
  <c r="L22" i="100"/>
  <c r="P22" i="100"/>
  <c r="Q22" i="100"/>
  <c r="A23" i="100"/>
  <c r="A24" i="100" s="1"/>
  <c r="A25" i="100" s="1"/>
  <c r="A26" i="100" s="1"/>
  <c r="A27" i="100" s="1"/>
  <c r="A28" i="100" s="1"/>
  <c r="K23" i="100"/>
  <c r="K24" i="100" s="1"/>
  <c r="L23" i="100"/>
  <c r="L24" i="100"/>
  <c r="K25" i="100"/>
  <c r="K26" i="100" s="1"/>
  <c r="K27" i="100" s="1"/>
  <c r="K28" i="100" s="1"/>
  <c r="K29" i="100" s="1"/>
  <c r="K30" i="100" s="1"/>
  <c r="K31" i="100" s="1"/>
  <c r="K32" i="100" s="1"/>
  <c r="K33" i="100" s="1"/>
  <c r="K34" i="100" s="1"/>
  <c r="K35" i="100" s="1"/>
  <c r="K36" i="100" s="1"/>
  <c r="K37" i="100" s="1"/>
  <c r="K38" i="100" s="1"/>
  <c r="K39" i="100" s="1"/>
  <c r="K40" i="100" s="1"/>
  <c r="K41" i="100" s="1"/>
  <c r="K42" i="100" s="1"/>
  <c r="K43" i="100" s="1"/>
  <c r="L25" i="100"/>
  <c r="L26" i="100"/>
  <c r="L27" i="100"/>
  <c r="L28" i="100"/>
  <c r="A29" i="100"/>
  <c r="A30" i="100" s="1"/>
  <c r="L29" i="100"/>
  <c r="L30" i="100"/>
  <c r="L31" i="100"/>
  <c r="L32" i="100"/>
  <c r="L33" i="100"/>
  <c r="L34" i="100"/>
  <c r="L35" i="100"/>
  <c r="L36" i="100"/>
  <c r="L37" i="100"/>
  <c r="L38" i="100"/>
  <c r="L39" i="100"/>
  <c r="L40" i="100"/>
  <c r="L41" i="100"/>
  <c r="L42" i="100"/>
  <c r="L43" i="100"/>
  <c r="H45" i="100"/>
  <c r="H46" i="100"/>
  <c r="H47" i="100"/>
  <c r="H48" i="100"/>
  <c r="H49" i="100"/>
  <c r="H50" i="100"/>
  <c r="H51" i="100"/>
  <c r="H52" i="100"/>
  <c r="H53" i="100"/>
  <c r="H54" i="100"/>
  <c r="H55" i="100"/>
  <c r="H56" i="100"/>
  <c r="H57" i="100"/>
  <c r="H58" i="100"/>
  <c r="H59" i="100"/>
  <c r="H60" i="100"/>
  <c r="H61" i="100"/>
  <c r="H62" i="100"/>
  <c r="H63" i="100"/>
  <c r="H64" i="100"/>
  <c r="H65" i="100"/>
  <c r="B3" i="99"/>
  <c r="B4" i="99"/>
  <c r="B8" i="99"/>
  <c r="C22" i="99" s="1"/>
  <c r="D14" i="99"/>
  <c r="E14" i="99"/>
  <c r="D15" i="99"/>
  <c r="E15" i="99"/>
  <c r="C21" i="99"/>
  <c r="D21" i="99"/>
  <c r="D22" i="99" s="1"/>
  <c r="D23" i="99" s="1"/>
  <c r="D24" i="99" s="1"/>
  <c r="D25" i="99" s="1"/>
  <c r="D26" i="99" s="1"/>
  <c r="D27" i="99" s="1"/>
  <c r="D28" i="99" s="1"/>
  <c r="D29" i="99" s="1"/>
  <c r="D30" i="99" s="1"/>
  <c r="D31" i="99" s="1"/>
  <c r="D32" i="99" s="1"/>
  <c r="D33" i="99" s="1"/>
  <c r="D34" i="99" s="1"/>
  <c r="D35" i="99" s="1"/>
  <c r="D36" i="99" s="1"/>
  <c r="D37" i="99" s="1"/>
  <c r="D38" i="99" s="1"/>
  <c r="D39" i="99" s="1"/>
  <c r="D40" i="99" s="1"/>
  <c r="D41" i="99" s="1"/>
  <c r="D42" i="99" s="1"/>
  <c r="D43" i="99" s="1"/>
  <c r="D44" i="99" s="1"/>
  <c r="D45" i="99" s="1"/>
  <c r="D46" i="99" s="1"/>
  <c r="D47" i="99" s="1"/>
  <c r="D48" i="99" s="1"/>
  <c r="D49" i="99" s="1"/>
  <c r="D50" i="99" s="1"/>
  <c r="D51" i="99" s="1"/>
  <c r="D52" i="99" s="1"/>
  <c r="D53" i="99" s="1"/>
  <c r="D54" i="99" s="1"/>
  <c r="D55" i="99" s="1"/>
  <c r="D56" i="99" s="1"/>
  <c r="D57" i="99" s="1"/>
  <c r="D58" i="99" s="1"/>
  <c r="D59" i="99" s="1"/>
  <c r="D60" i="99" s="1"/>
  <c r="D61" i="99" s="1"/>
  <c r="D62" i="99" s="1"/>
  <c r="D63" i="99" s="1"/>
  <c r="D64" i="99" s="1"/>
  <c r="D65" i="99" s="1"/>
  <c r="D66" i="99" s="1"/>
  <c r="E21" i="99"/>
  <c r="G21" i="99" s="1"/>
  <c r="F21" i="99"/>
  <c r="F22" i="99" s="1"/>
  <c r="H21" i="99"/>
  <c r="H22" i="99" s="1"/>
  <c r="I21" i="99"/>
  <c r="J21" i="99"/>
  <c r="K21" i="99"/>
  <c r="K22" i="99" s="1"/>
  <c r="L21" i="99"/>
  <c r="N21" i="99" s="1"/>
  <c r="P21" i="99"/>
  <c r="Q21" i="99"/>
  <c r="A22" i="99"/>
  <c r="A23" i="99" s="1"/>
  <c r="E22" i="99"/>
  <c r="L22" i="99"/>
  <c r="E23" i="99"/>
  <c r="K23" i="99"/>
  <c r="K24" i="99" s="1"/>
  <c r="K25" i="99" s="1"/>
  <c r="K26" i="99" s="1"/>
  <c r="K27" i="99" s="1"/>
  <c r="L23" i="99"/>
  <c r="E24" i="99"/>
  <c r="L24" i="99"/>
  <c r="E25" i="99"/>
  <c r="H25" i="99"/>
  <c r="L25" i="99"/>
  <c r="E26" i="99"/>
  <c r="L26" i="99"/>
  <c r="E27" i="99"/>
  <c r="L27" i="99"/>
  <c r="E28" i="99"/>
  <c r="K28" i="99"/>
  <c r="K29" i="99" s="1"/>
  <c r="K30" i="99" s="1"/>
  <c r="K31" i="99" s="1"/>
  <c r="K32" i="99" s="1"/>
  <c r="K33" i="99" s="1"/>
  <c r="K34" i="99" s="1"/>
  <c r="K35" i="99" s="1"/>
  <c r="K36" i="99" s="1"/>
  <c r="K37" i="99" s="1"/>
  <c r="K38" i="99" s="1"/>
  <c r="K39" i="99" s="1"/>
  <c r="K40" i="99" s="1"/>
  <c r="K41" i="99" s="1"/>
  <c r="K42" i="99" s="1"/>
  <c r="K43" i="99" s="1"/>
  <c r="K44" i="99" s="1"/>
  <c r="L28" i="99"/>
  <c r="E29" i="99"/>
  <c r="L29" i="99"/>
  <c r="E30" i="99"/>
  <c r="L30" i="99"/>
  <c r="E31" i="99"/>
  <c r="L31" i="99"/>
  <c r="E32" i="99"/>
  <c r="L32" i="99"/>
  <c r="E33" i="99"/>
  <c r="L33" i="99"/>
  <c r="E34" i="99"/>
  <c r="L34" i="99"/>
  <c r="E35" i="99"/>
  <c r="L35" i="99"/>
  <c r="E36" i="99"/>
  <c r="H36" i="99"/>
  <c r="L36" i="99"/>
  <c r="E37" i="99"/>
  <c r="L37" i="99"/>
  <c r="E38" i="99"/>
  <c r="L38" i="99"/>
  <c r="E39" i="99"/>
  <c r="L39" i="99"/>
  <c r="E40" i="99"/>
  <c r="L40" i="99"/>
  <c r="E41" i="99"/>
  <c r="L41" i="99"/>
  <c r="E42" i="99"/>
  <c r="L42" i="99"/>
  <c r="E43" i="99"/>
  <c r="L43" i="99"/>
  <c r="E44" i="99"/>
  <c r="L44" i="99"/>
  <c r="E45" i="99"/>
  <c r="E46" i="99"/>
  <c r="E47" i="99"/>
  <c r="E48" i="99"/>
  <c r="E49" i="99"/>
  <c r="E50" i="99"/>
  <c r="E51" i="99"/>
  <c r="E52" i="99"/>
  <c r="E53" i="99"/>
  <c r="E54" i="99"/>
  <c r="E55" i="99"/>
  <c r="E56" i="99"/>
  <c r="E57" i="99"/>
  <c r="E58" i="99"/>
  <c r="E59" i="99"/>
  <c r="E60" i="99"/>
  <c r="E61" i="99"/>
  <c r="E62" i="99"/>
  <c r="E63" i="99"/>
  <c r="E64" i="99"/>
  <c r="E65" i="99"/>
  <c r="E66" i="99"/>
  <c r="C24" i="100" l="1"/>
  <c r="C21" i="100"/>
  <c r="N21" i="102"/>
  <c r="C23" i="100"/>
  <c r="C28" i="100"/>
  <c r="F21" i="100"/>
  <c r="C25" i="100"/>
  <c r="G23" i="99"/>
  <c r="F23" i="99"/>
  <c r="F24" i="99" s="1"/>
  <c r="H21" i="101"/>
  <c r="H21" i="102"/>
  <c r="I22" i="99"/>
  <c r="J22" i="99"/>
  <c r="H23" i="99"/>
  <c r="H22" i="101" s="1"/>
  <c r="H21" i="100"/>
  <c r="I21" i="100" s="1"/>
  <c r="G22" i="99"/>
  <c r="C29" i="100"/>
  <c r="B5" i="100"/>
  <c r="B21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C27" i="100"/>
  <c r="C22" i="100"/>
  <c r="M21" i="99"/>
  <c r="N22" i="99" s="1"/>
  <c r="D25" i="101"/>
  <c r="D26" i="101" s="1"/>
  <c r="D27" i="101" s="1"/>
  <c r="B41" i="10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B52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C30" i="100"/>
  <c r="A31" i="100"/>
  <c r="C24" i="101"/>
  <c r="A25" i="101"/>
  <c r="H24" i="101"/>
  <c r="H26" i="99"/>
  <c r="H24" i="102"/>
  <c r="H24" i="100"/>
  <c r="B41" i="102"/>
  <c r="B42" i="102" s="1"/>
  <c r="B43" i="102" s="1"/>
  <c r="B44" i="102" s="1"/>
  <c r="B45" i="102" s="1"/>
  <c r="B46" i="102" s="1"/>
  <c r="B47" i="102" s="1"/>
  <c r="B48" i="102" s="1"/>
  <c r="B49" i="102" s="1"/>
  <c r="B50" i="102" s="1"/>
  <c r="B51" i="102" s="1"/>
  <c r="B52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P22" i="99"/>
  <c r="Q22" i="99"/>
  <c r="Q22" i="102"/>
  <c r="P22" i="102"/>
  <c r="D25" i="100"/>
  <c r="C25" i="102"/>
  <c r="A26" i="102"/>
  <c r="H35" i="102"/>
  <c r="H35" i="101"/>
  <c r="H37" i="99"/>
  <c r="H35" i="100"/>
  <c r="N22" i="100"/>
  <c r="M22" i="100"/>
  <c r="M23" i="100" s="1"/>
  <c r="M24" i="100" s="1"/>
  <c r="D25" i="102"/>
  <c r="P22" i="101"/>
  <c r="Q22" i="101"/>
  <c r="M22" i="102"/>
  <c r="M23" i="102" s="1"/>
  <c r="N22" i="102"/>
  <c r="A24" i="99"/>
  <c r="C23" i="99"/>
  <c r="M22" i="101"/>
  <c r="N23" i="101" s="1"/>
  <c r="N22" i="101"/>
  <c r="F21" i="101"/>
  <c r="G21" i="101"/>
  <c r="F21" i="102"/>
  <c r="G22" i="102" s="1"/>
  <c r="G21" i="102"/>
  <c r="F22" i="102"/>
  <c r="F23" i="102" s="1"/>
  <c r="B5" i="99"/>
  <c r="B21" i="99" s="1"/>
  <c r="Q23" i="100"/>
  <c r="P23" i="100"/>
  <c r="C6" i="96"/>
  <c r="D6" i="96"/>
  <c r="E6" i="96"/>
  <c r="F6" i="96"/>
  <c r="C7" i="96"/>
  <c r="D7" i="96"/>
  <c r="E7" i="96"/>
  <c r="F7" i="96"/>
  <c r="C8" i="96"/>
  <c r="D8" i="96"/>
  <c r="C9" i="96"/>
  <c r="D9" i="96"/>
  <c r="E9" i="96"/>
  <c r="F9" i="96"/>
  <c r="C17" i="96"/>
  <c r="F17" i="96"/>
  <c r="C18" i="96"/>
  <c r="F18" i="96" s="1"/>
  <c r="C19" i="96"/>
  <c r="F19" i="96"/>
  <c r="C20" i="96"/>
  <c r="F20" i="96" s="1"/>
  <c r="C6" i="95"/>
  <c r="D6" i="95"/>
  <c r="F6" i="95"/>
  <c r="G6" i="95"/>
  <c r="C7" i="95"/>
  <c r="F7" i="95" s="1"/>
  <c r="D7" i="95"/>
  <c r="C8" i="95"/>
  <c r="D8" i="95"/>
  <c r="E8" i="95"/>
  <c r="F8" i="95"/>
  <c r="G8" i="95"/>
  <c r="C9" i="95"/>
  <c r="D9" i="95"/>
  <c r="E9" i="95"/>
  <c r="F9" i="95"/>
  <c r="C17" i="95"/>
  <c r="F17" i="95" s="1"/>
  <c r="C18" i="95"/>
  <c r="F18" i="95" s="1"/>
  <c r="C19" i="95"/>
  <c r="F19" i="95" s="1"/>
  <c r="C20" i="95"/>
  <c r="F20" i="95"/>
  <c r="E4" i="94"/>
  <c r="E14" i="94" s="1"/>
  <c r="F4" i="94"/>
  <c r="E5" i="94"/>
  <c r="E15" i="94" s="1"/>
  <c r="F5" i="94"/>
  <c r="E6" i="94"/>
  <c r="E16" i="94" s="1"/>
  <c r="F6" i="94"/>
  <c r="E7" i="94"/>
  <c r="E17" i="94" s="1"/>
  <c r="F7" i="94"/>
  <c r="E8" i="94"/>
  <c r="F8" i="94"/>
  <c r="F9" i="94"/>
  <c r="F1" i="96" s="1"/>
  <c r="C14" i="94"/>
  <c r="D14" i="94"/>
  <c r="C15" i="94"/>
  <c r="F15" i="94" s="1"/>
  <c r="D15" i="94"/>
  <c r="C16" i="94"/>
  <c r="D16" i="94"/>
  <c r="C17" i="94"/>
  <c r="D17" i="94"/>
  <c r="F17" i="94"/>
  <c r="G17" i="94"/>
  <c r="H24" i="99" l="1"/>
  <c r="G24" i="99"/>
  <c r="N23" i="100"/>
  <c r="M23" i="101"/>
  <c r="N24" i="101" s="1"/>
  <c r="J21" i="100"/>
  <c r="N23" i="102"/>
  <c r="H22" i="102"/>
  <c r="I23" i="99"/>
  <c r="J24" i="99" s="1"/>
  <c r="J23" i="99"/>
  <c r="H22" i="100"/>
  <c r="M22" i="99"/>
  <c r="I21" i="101"/>
  <c r="I22" i="101" s="1"/>
  <c r="J21" i="101"/>
  <c r="J21" i="102"/>
  <c r="I21" i="102"/>
  <c r="N25" i="100"/>
  <c r="M25" i="100"/>
  <c r="G22" i="101"/>
  <c r="F22" i="101"/>
  <c r="M24" i="102"/>
  <c r="N24" i="102"/>
  <c r="H36" i="100"/>
  <c r="H36" i="101"/>
  <c r="H38" i="99"/>
  <c r="H36" i="102"/>
  <c r="F25" i="99"/>
  <c r="G25" i="99"/>
  <c r="D26" i="100"/>
  <c r="G24" i="102"/>
  <c r="F24" i="102"/>
  <c r="P24" i="100"/>
  <c r="Q24" i="100"/>
  <c r="P23" i="102"/>
  <c r="Q23" i="102"/>
  <c r="C25" i="101"/>
  <c r="A26" i="101"/>
  <c r="H25" i="101"/>
  <c r="H25" i="100"/>
  <c r="H25" i="102"/>
  <c r="H27" i="99"/>
  <c r="A27" i="102"/>
  <c r="C26" i="102"/>
  <c r="D26" i="102"/>
  <c r="B12" i="103"/>
  <c r="B22" i="99"/>
  <c r="H7" i="100"/>
  <c r="P23" i="101"/>
  <c r="Q23" i="101"/>
  <c r="D28" i="101"/>
  <c r="N24" i="100"/>
  <c r="Q23" i="99"/>
  <c r="P23" i="99"/>
  <c r="G23" i="102"/>
  <c r="H23" i="102"/>
  <c r="H23" i="101"/>
  <c r="H23" i="100"/>
  <c r="A25" i="99"/>
  <c r="C24" i="99"/>
  <c r="F22" i="100"/>
  <c r="G22" i="100"/>
  <c r="M24" i="101"/>
  <c r="C31" i="100"/>
  <c r="A32" i="100"/>
  <c r="B41" i="100"/>
  <c r="F21" i="96"/>
  <c r="F22" i="96" s="1"/>
  <c r="F14" i="94"/>
  <c r="H17" i="94"/>
  <c r="H18" i="94" s="1"/>
  <c r="E8" i="96"/>
  <c r="E10" i="96" s="1"/>
  <c r="E6" i="95"/>
  <c r="F16" i="94"/>
  <c r="G15" i="94"/>
  <c r="G9" i="95"/>
  <c r="E7" i="95"/>
  <c r="E10" i="95" s="1"/>
  <c r="E18" i="94"/>
  <c r="F10" i="95"/>
  <c r="F21" i="95"/>
  <c r="F22" i="95" s="1"/>
  <c r="G16" i="94"/>
  <c r="F8" i="96"/>
  <c r="F10" i="96" s="1"/>
  <c r="F11" i="96" s="1"/>
  <c r="F13" i="96" s="1"/>
  <c r="G14" i="94"/>
  <c r="G18" i="94" s="1"/>
  <c r="G7" i="95"/>
  <c r="G10" i="95" s="1"/>
  <c r="I24" i="99" l="1"/>
  <c r="I25" i="99" s="1"/>
  <c r="J22" i="101"/>
  <c r="J22" i="100"/>
  <c r="I22" i="100"/>
  <c r="N23" i="99"/>
  <c r="M23" i="99"/>
  <c r="I22" i="102"/>
  <c r="J22" i="102"/>
  <c r="P24" i="101"/>
  <c r="Q24" i="101"/>
  <c r="F23" i="100"/>
  <c r="G23" i="100"/>
  <c r="B23" i="99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C25" i="99"/>
  <c r="A26" i="99"/>
  <c r="H37" i="102"/>
  <c r="H37" i="101"/>
  <c r="H37" i="100"/>
  <c r="H39" i="99"/>
  <c r="C32" i="100"/>
  <c r="A33" i="100"/>
  <c r="N25" i="101"/>
  <c r="M25" i="101"/>
  <c r="D27" i="102"/>
  <c r="I23" i="101"/>
  <c r="J23" i="101"/>
  <c r="G23" i="101"/>
  <c r="F23" i="101"/>
  <c r="Q25" i="100"/>
  <c r="P25" i="100"/>
  <c r="H26" i="100"/>
  <c r="H26" i="101"/>
  <c r="H26" i="102"/>
  <c r="H28" i="99"/>
  <c r="P24" i="102"/>
  <c r="Q24" i="102"/>
  <c r="P24" i="99"/>
  <c r="Q24" i="99"/>
  <c r="J23" i="100"/>
  <c r="I23" i="100"/>
  <c r="F25" i="102"/>
  <c r="G25" i="102"/>
  <c r="N25" i="102"/>
  <c r="M25" i="102"/>
  <c r="I23" i="102"/>
  <c r="J23" i="102"/>
  <c r="M26" i="100"/>
  <c r="N26" i="100"/>
  <c r="B42" i="100"/>
  <c r="B43" i="100" s="1"/>
  <c r="B44" i="100" s="1"/>
  <c r="B45" i="100" s="1"/>
  <c r="B46" i="100" s="1"/>
  <c r="B47" i="100" s="1"/>
  <c r="B48" i="100" s="1"/>
  <c r="B49" i="100" s="1"/>
  <c r="B50" i="100" s="1"/>
  <c r="B51" i="100" s="1"/>
  <c r="B52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C27" i="102"/>
  <c r="A28" i="102"/>
  <c r="D27" i="100"/>
  <c r="D29" i="101"/>
  <c r="F26" i="99"/>
  <c r="G26" i="99"/>
  <c r="A27" i="101"/>
  <c r="C26" i="101"/>
  <c r="F18" i="94"/>
  <c r="F11" i="95"/>
  <c r="F19" i="94"/>
  <c r="F1" i="95" s="1"/>
  <c r="F20" i="94"/>
  <c r="D12" i="89"/>
  <c r="D11" i="89"/>
  <c r="J25" i="99" l="1"/>
  <c r="M24" i="99"/>
  <c r="N24" i="99"/>
  <c r="F27" i="99"/>
  <c r="G27" i="99"/>
  <c r="D30" i="101"/>
  <c r="F26" i="102"/>
  <c r="G26" i="102"/>
  <c r="H38" i="100"/>
  <c r="H38" i="101"/>
  <c r="H40" i="99"/>
  <c r="H38" i="102"/>
  <c r="G24" i="101"/>
  <c r="F24" i="101"/>
  <c r="I24" i="102"/>
  <c r="J24" i="102"/>
  <c r="J26" i="99"/>
  <c r="I26" i="99"/>
  <c r="J24" i="101"/>
  <c r="I24" i="101"/>
  <c r="D28" i="100"/>
  <c r="P25" i="99"/>
  <c r="Q25" i="99"/>
  <c r="D28" i="102"/>
  <c r="C33" i="100"/>
  <c r="A34" i="100"/>
  <c r="F24" i="100"/>
  <c r="G24" i="100"/>
  <c r="P26" i="100"/>
  <c r="Q26" i="100"/>
  <c r="C27" i="101"/>
  <c r="A28" i="101"/>
  <c r="C26" i="99"/>
  <c r="A27" i="99"/>
  <c r="B42" i="99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P25" i="102"/>
  <c r="Q25" i="102"/>
  <c r="H27" i="101"/>
  <c r="H27" i="102"/>
  <c r="H29" i="99"/>
  <c r="H27" i="100"/>
  <c r="M26" i="102"/>
  <c r="N26" i="102"/>
  <c r="J24" i="100"/>
  <c r="I24" i="100"/>
  <c r="C28" i="102"/>
  <c r="A29" i="102"/>
  <c r="N26" i="101"/>
  <c r="M26" i="101"/>
  <c r="M27" i="100"/>
  <c r="N27" i="100"/>
  <c r="Q25" i="101"/>
  <c r="P25" i="101"/>
  <c r="F13" i="95"/>
  <c r="C9" i="77"/>
  <c r="D9" i="77"/>
  <c r="G7" i="92"/>
  <c r="G15" i="92" s="1"/>
  <c r="G16" i="92" s="1"/>
  <c r="G17" i="92" s="1"/>
  <c r="G18" i="92" s="1"/>
  <c r="G19" i="92" s="1"/>
  <c r="G20" i="92" s="1"/>
  <c r="G21" i="92" s="1"/>
  <c r="G22" i="92" s="1"/>
  <c r="G23" i="92" s="1"/>
  <c r="G24" i="92" s="1"/>
  <c r="G25" i="92" s="1"/>
  <c r="G26" i="92" s="1"/>
  <c r="G27" i="92" s="1"/>
  <c r="G28" i="92" s="1"/>
  <c r="G29" i="92" s="1"/>
  <c r="G30" i="92" s="1"/>
  <c r="G31" i="92" s="1"/>
  <c r="G32" i="92" s="1"/>
  <c r="G33" i="92" s="1"/>
  <c r="G34" i="92" s="1"/>
  <c r="G35" i="92" s="1"/>
  <c r="G36" i="92" s="1"/>
  <c r="G37" i="92" s="1"/>
  <c r="G38" i="92" s="1"/>
  <c r="G39" i="92" s="1"/>
  <c r="G40" i="92" s="1"/>
  <c r="G41" i="92" s="1"/>
  <c r="G42" i="92" s="1"/>
  <c r="G43" i="92" s="1"/>
  <c r="G44" i="92" s="1"/>
  <c r="G45" i="92" s="1"/>
  <c r="G46" i="92" s="1"/>
  <c r="G47" i="92" s="1"/>
  <c r="G48" i="92" s="1"/>
  <c r="G49" i="92" s="1"/>
  <c r="G50" i="92" s="1"/>
  <c r="G51" i="92" s="1"/>
  <c r="G52" i="92" s="1"/>
  <c r="G53" i="92" s="1"/>
  <c r="G54" i="92" s="1"/>
  <c r="G55" i="92" s="1"/>
  <c r="G56" i="92" s="1"/>
  <c r="G57" i="92" s="1"/>
  <c r="G58" i="92" s="1"/>
  <c r="G59" i="92" s="1"/>
  <c r="G60" i="92" s="1"/>
  <c r="G61" i="92" s="1"/>
  <c r="G62" i="92" s="1"/>
  <c r="G63" i="92" s="1"/>
  <c r="G64" i="92" s="1"/>
  <c r="G65" i="92" s="1"/>
  <c r="G66" i="92" s="1"/>
  <c r="G67" i="92" s="1"/>
  <c r="O7" i="92"/>
  <c r="O15" i="92" s="1"/>
  <c r="O16" i="92" s="1"/>
  <c r="O17" i="92" s="1"/>
  <c r="O18" i="92" s="1"/>
  <c r="O19" i="92" s="1"/>
  <c r="O20" i="92" s="1"/>
  <c r="O21" i="92" s="1"/>
  <c r="O22" i="92" s="1"/>
  <c r="O23" i="92" s="1"/>
  <c r="O24" i="92" s="1"/>
  <c r="O25" i="92" s="1"/>
  <c r="O26" i="92" s="1"/>
  <c r="O27" i="92" s="1"/>
  <c r="O28" i="92" s="1"/>
  <c r="O29" i="92" s="1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H15" i="92"/>
  <c r="I16" i="92" s="1"/>
  <c r="H16" i="92"/>
  <c r="P16" i="92" s="1"/>
  <c r="H17" i="92"/>
  <c r="P17" i="92" s="1"/>
  <c r="H18" i="92"/>
  <c r="P18" i="92" s="1"/>
  <c r="H19" i="92"/>
  <c r="P19" i="92" s="1"/>
  <c r="H20" i="92"/>
  <c r="P20" i="92" s="1"/>
  <c r="H21" i="92"/>
  <c r="P21" i="92" s="1"/>
  <c r="H22" i="92"/>
  <c r="P22" i="92" s="1"/>
  <c r="H23" i="92"/>
  <c r="P23" i="92"/>
  <c r="H24" i="92"/>
  <c r="P24" i="92" s="1"/>
  <c r="H25" i="92"/>
  <c r="P25" i="92" s="1"/>
  <c r="H26" i="92"/>
  <c r="P26" i="92" s="1"/>
  <c r="H27" i="92"/>
  <c r="P27" i="92"/>
  <c r="H28" i="92"/>
  <c r="P28" i="92" s="1"/>
  <c r="H29" i="92"/>
  <c r="P29" i="92" s="1"/>
  <c r="H30" i="92"/>
  <c r="P30" i="92" s="1"/>
  <c r="H31" i="92"/>
  <c r="P31" i="92" s="1"/>
  <c r="H32" i="92"/>
  <c r="P32" i="92" s="1"/>
  <c r="H33" i="92"/>
  <c r="P33" i="92" s="1"/>
  <c r="H34" i="92"/>
  <c r="P34" i="92" s="1"/>
  <c r="H35" i="92"/>
  <c r="P35" i="92" s="1"/>
  <c r="H36" i="92"/>
  <c r="P36" i="92" s="1"/>
  <c r="H37" i="92"/>
  <c r="P37" i="92" s="1"/>
  <c r="H38" i="92"/>
  <c r="P38" i="92" s="1"/>
  <c r="H39" i="92"/>
  <c r="P39" i="92" s="1"/>
  <c r="H40" i="92"/>
  <c r="P40" i="92" s="1"/>
  <c r="H41" i="92"/>
  <c r="P41" i="92" s="1"/>
  <c r="H42" i="92"/>
  <c r="P42" i="92" s="1"/>
  <c r="H43" i="92"/>
  <c r="P43" i="92" s="1"/>
  <c r="H44" i="92"/>
  <c r="P44" i="92" s="1"/>
  <c r="H45" i="92"/>
  <c r="P45" i="92" s="1"/>
  <c r="H46" i="92"/>
  <c r="P46" i="92" s="1"/>
  <c r="H47" i="92"/>
  <c r="P47" i="92" s="1"/>
  <c r="H48" i="92"/>
  <c r="P48" i="92" s="1"/>
  <c r="H49" i="92"/>
  <c r="P49" i="92" s="1"/>
  <c r="G7" i="91"/>
  <c r="G15" i="91" s="1"/>
  <c r="G16" i="91" s="1"/>
  <c r="G17" i="91" s="1"/>
  <c r="O7" i="91"/>
  <c r="O15" i="91" s="1"/>
  <c r="O16" i="91" s="1"/>
  <c r="O17" i="91" s="1"/>
  <c r="O18" i="91" s="1"/>
  <c r="O19" i="91" s="1"/>
  <c r="O20" i="91" s="1"/>
  <c r="O21" i="91" s="1"/>
  <c r="O22" i="91" s="1"/>
  <c r="O23" i="91" s="1"/>
  <c r="O24" i="91" s="1"/>
  <c r="O25" i="91" s="1"/>
  <c r="O26" i="91" s="1"/>
  <c r="O27" i="91" s="1"/>
  <c r="O28" i="91" s="1"/>
  <c r="O29" i="91" s="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H15" i="91"/>
  <c r="I16" i="91" s="1"/>
  <c r="H16" i="91"/>
  <c r="P16" i="91" s="1"/>
  <c r="H17" i="91"/>
  <c r="P17" i="91" s="1"/>
  <c r="I17" i="91"/>
  <c r="I18" i="91" s="1"/>
  <c r="I19" i="91" s="1"/>
  <c r="H18" i="91"/>
  <c r="P18" i="91" s="1"/>
  <c r="H19" i="91"/>
  <c r="P19" i="91" s="1"/>
  <c r="H20" i="91"/>
  <c r="P20" i="91" s="1"/>
  <c r="H21" i="91"/>
  <c r="P21" i="91" s="1"/>
  <c r="H22" i="91"/>
  <c r="P22" i="91" s="1"/>
  <c r="H23" i="91"/>
  <c r="P23" i="91" s="1"/>
  <c r="H24" i="91"/>
  <c r="P24" i="91" s="1"/>
  <c r="H25" i="91"/>
  <c r="P25" i="91" s="1"/>
  <c r="H26" i="91"/>
  <c r="P26" i="91" s="1"/>
  <c r="H27" i="91"/>
  <c r="P27" i="91" s="1"/>
  <c r="H28" i="91"/>
  <c r="P28" i="91" s="1"/>
  <c r="H29" i="91"/>
  <c r="P29" i="91" s="1"/>
  <c r="H30" i="91"/>
  <c r="P30" i="91" s="1"/>
  <c r="H31" i="91"/>
  <c r="P31" i="91" s="1"/>
  <c r="H32" i="91"/>
  <c r="P32" i="91" s="1"/>
  <c r="H33" i="91"/>
  <c r="P33" i="91" s="1"/>
  <c r="H34" i="91"/>
  <c r="P34" i="91" s="1"/>
  <c r="H35" i="91"/>
  <c r="P35" i="91" s="1"/>
  <c r="H36" i="91"/>
  <c r="P36" i="91" s="1"/>
  <c r="H37" i="91"/>
  <c r="P37" i="91" s="1"/>
  <c r="H38" i="91"/>
  <c r="P38" i="91" s="1"/>
  <c r="H39" i="91"/>
  <c r="P39" i="91" s="1"/>
  <c r="H40" i="91"/>
  <c r="P40" i="91"/>
  <c r="H41" i="91"/>
  <c r="P41" i="91" s="1"/>
  <c r="H42" i="91"/>
  <c r="P42" i="91" s="1"/>
  <c r="H43" i="91"/>
  <c r="P43" i="91" s="1"/>
  <c r="H44" i="91"/>
  <c r="P44" i="91" s="1"/>
  <c r="H45" i="91"/>
  <c r="P45" i="91" s="1"/>
  <c r="H46" i="91"/>
  <c r="P46" i="91" s="1"/>
  <c r="H47" i="91"/>
  <c r="P47" i="91" s="1"/>
  <c r="H48" i="91"/>
  <c r="P48" i="91" s="1"/>
  <c r="H49" i="91"/>
  <c r="P49" i="91" s="1"/>
  <c r="G7" i="90"/>
  <c r="G15" i="90" s="1"/>
  <c r="G16" i="90" s="1"/>
  <c r="G17" i="90" s="1"/>
  <c r="G18" i="90" s="1"/>
  <c r="G19" i="90" s="1"/>
  <c r="G20" i="90" s="1"/>
  <c r="G21" i="90" s="1"/>
  <c r="G22" i="90" s="1"/>
  <c r="G23" i="90" s="1"/>
  <c r="G24" i="90" s="1"/>
  <c r="G25" i="90" s="1"/>
  <c r="G26" i="90" s="1"/>
  <c r="G27" i="90" s="1"/>
  <c r="G28" i="90" s="1"/>
  <c r="G29" i="90" s="1"/>
  <c r="G30" i="90" s="1"/>
  <c r="G31" i="90" s="1"/>
  <c r="G32" i="90" s="1"/>
  <c r="G33" i="90" s="1"/>
  <c r="G34" i="90" s="1"/>
  <c r="G35" i="90" s="1"/>
  <c r="G36" i="90" s="1"/>
  <c r="G37" i="90" s="1"/>
  <c r="G38" i="90" s="1"/>
  <c r="G39" i="90" s="1"/>
  <c r="G40" i="90" s="1"/>
  <c r="G41" i="90" s="1"/>
  <c r="G42" i="90" s="1"/>
  <c r="G43" i="90" s="1"/>
  <c r="G44" i="90" s="1"/>
  <c r="G45" i="90" s="1"/>
  <c r="G46" i="90" s="1"/>
  <c r="G47" i="90" s="1"/>
  <c r="G48" i="90" s="1"/>
  <c r="G49" i="90" s="1"/>
  <c r="G50" i="90" s="1"/>
  <c r="G51" i="90" s="1"/>
  <c r="G52" i="90" s="1"/>
  <c r="G53" i="90" s="1"/>
  <c r="G54" i="90" s="1"/>
  <c r="G55" i="90" s="1"/>
  <c r="G56" i="90" s="1"/>
  <c r="G57" i="90" s="1"/>
  <c r="G58" i="90" s="1"/>
  <c r="G59" i="90" s="1"/>
  <c r="G60" i="90" s="1"/>
  <c r="G61" i="90" s="1"/>
  <c r="G62" i="90" s="1"/>
  <c r="G63" i="90" s="1"/>
  <c r="G64" i="90" s="1"/>
  <c r="G65" i="90" s="1"/>
  <c r="G66" i="90" s="1"/>
  <c r="G67" i="90" s="1"/>
  <c r="O7" i="90"/>
  <c r="O15" i="90" s="1"/>
  <c r="O16" i="90" s="1"/>
  <c r="O17" i="90" s="1"/>
  <c r="O18" i="90" s="1"/>
  <c r="O19" i="90" s="1"/>
  <c r="O20" i="90" s="1"/>
  <c r="O21" i="90" s="1"/>
  <c r="O22" i="90" s="1"/>
  <c r="O23" i="90" s="1"/>
  <c r="O24" i="90" s="1"/>
  <c r="O25" i="90" s="1"/>
  <c r="O26" i="90" s="1"/>
  <c r="O27" i="90" s="1"/>
  <c r="O28" i="90" s="1"/>
  <c r="O29" i="90" s="1"/>
  <c r="O30" i="90" s="1"/>
  <c r="O31" i="90" s="1"/>
  <c r="O32" i="90" s="1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H15" i="90"/>
  <c r="P15" i="90" s="1"/>
  <c r="Q16" i="90" s="1"/>
  <c r="H16" i="90"/>
  <c r="P16" i="90" s="1"/>
  <c r="H17" i="90"/>
  <c r="P17" i="90" s="1"/>
  <c r="H18" i="90"/>
  <c r="P18" i="90" s="1"/>
  <c r="H19" i="90"/>
  <c r="P19" i="90" s="1"/>
  <c r="H20" i="90"/>
  <c r="P20" i="90" s="1"/>
  <c r="H21" i="90"/>
  <c r="P21" i="90" s="1"/>
  <c r="H22" i="90"/>
  <c r="P22" i="90" s="1"/>
  <c r="H23" i="90"/>
  <c r="P23" i="90" s="1"/>
  <c r="H24" i="90"/>
  <c r="P24" i="90" s="1"/>
  <c r="H25" i="90"/>
  <c r="P25" i="90" s="1"/>
  <c r="H26" i="90"/>
  <c r="P26" i="90" s="1"/>
  <c r="H27" i="90"/>
  <c r="P27" i="90" s="1"/>
  <c r="H28" i="90"/>
  <c r="P28" i="90" s="1"/>
  <c r="H29" i="90"/>
  <c r="P29" i="90" s="1"/>
  <c r="H30" i="90"/>
  <c r="P30" i="90" s="1"/>
  <c r="H31" i="90"/>
  <c r="P31" i="90" s="1"/>
  <c r="H32" i="90"/>
  <c r="P32" i="90" s="1"/>
  <c r="H33" i="90"/>
  <c r="P33" i="90" s="1"/>
  <c r="H34" i="90"/>
  <c r="P34" i="90" s="1"/>
  <c r="H35" i="90"/>
  <c r="P35" i="90" s="1"/>
  <c r="H36" i="90"/>
  <c r="P36" i="90" s="1"/>
  <c r="H37" i="90"/>
  <c r="P37" i="90"/>
  <c r="H38" i="90"/>
  <c r="P38" i="90" s="1"/>
  <c r="H39" i="90"/>
  <c r="P39" i="90" s="1"/>
  <c r="H40" i="90"/>
  <c r="P40" i="90" s="1"/>
  <c r="H41" i="90"/>
  <c r="P41" i="90"/>
  <c r="H42" i="90"/>
  <c r="P42" i="90" s="1"/>
  <c r="H43" i="90"/>
  <c r="P43" i="90" s="1"/>
  <c r="H44" i="90"/>
  <c r="P44" i="90" s="1"/>
  <c r="H45" i="90"/>
  <c r="P45" i="90" s="1"/>
  <c r="H46" i="90"/>
  <c r="P46" i="90" s="1"/>
  <c r="H47" i="90"/>
  <c r="P47" i="90" s="1"/>
  <c r="H48" i="90"/>
  <c r="P48" i="90" s="1"/>
  <c r="H49" i="90"/>
  <c r="P49" i="90" s="1"/>
  <c r="C5" i="89"/>
  <c r="C6" i="89"/>
  <c r="O8" i="90" s="1"/>
  <c r="C11" i="89"/>
  <c r="C4" i="92" s="1"/>
  <c r="C12" i="89"/>
  <c r="M25" i="99" l="1"/>
  <c r="N25" i="99"/>
  <c r="A35" i="100"/>
  <c r="C34" i="100"/>
  <c r="I25" i="102"/>
  <c r="J25" i="102"/>
  <c r="P26" i="99"/>
  <c r="Q26" i="99"/>
  <c r="H39" i="101"/>
  <c r="H39" i="102"/>
  <c r="H39" i="100"/>
  <c r="H41" i="99"/>
  <c r="C29" i="102"/>
  <c r="A30" i="102"/>
  <c r="C27" i="99"/>
  <c r="A28" i="99"/>
  <c r="D29" i="100"/>
  <c r="J27" i="99"/>
  <c r="I27" i="99"/>
  <c r="D31" i="101"/>
  <c r="Q26" i="101"/>
  <c r="P26" i="101"/>
  <c r="D29" i="102"/>
  <c r="P26" i="102"/>
  <c r="Q26" i="102"/>
  <c r="M28" i="100"/>
  <c r="N28" i="100"/>
  <c r="I25" i="101"/>
  <c r="J25" i="101"/>
  <c r="G27" i="102"/>
  <c r="F27" i="102"/>
  <c r="M27" i="101"/>
  <c r="N27" i="101"/>
  <c r="C28" i="101"/>
  <c r="A29" i="101"/>
  <c r="I25" i="100"/>
  <c r="J25" i="100"/>
  <c r="P27" i="100"/>
  <c r="Q27" i="100"/>
  <c r="M27" i="102"/>
  <c r="N27" i="102"/>
  <c r="F28" i="99"/>
  <c r="G28" i="99"/>
  <c r="G25" i="101"/>
  <c r="F25" i="101"/>
  <c r="H28" i="102"/>
  <c r="H28" i="101"/>
  <c r="H28" i="100"/>
  <c r="H30" i="99"/>
  <c r="G25" i="100"/>
  <c r="F25" i="100"/>
  <c r="P15" i="91"/>
  <c r="Q16" i="91" s="1"/>
  <c r="Q17" i="91" s="1"/>
  <c r="Q18" i="91" s="1"/>
  <c r="Q19" i="91" s="1"/>
  <c r="Q20" i="91" s="1"/>
  <c r="H50" i="90"/>
  <c r="H51" i="90" s="1"/>
  <c r="P51" i="90" s="1"/>
  <c r="P15" i="92"/>
  <c r="Q16" i="92" s="1"/>
  <c r="H50" i="91"/>
  <c r="Q17" i="90"/>
  <c r="Q18" i="90" s="1"/>
  <c r="Q19" i="90" s="1"/>
  <c r="Q20" i="90" s="1"/>
  <c r="Q17" i="92"/>
  <c r="I16" i="90"/>
  <c r="I17" i="90" s="1"/>
  <c r="I18" i="90" s="1"/>
  <c r="I19" i="90" s="1"/>
  <c r="I20" i="90" s="1"/>
  <c r="I21" i="90" s="1"/>
  <c r="I22" i="90" s="1"/>
  <c r="I23" i="90" s="1"/>
  <c r="I24" i="90" s="1"/>
  <c r="I25" i="90" s="1"/>
  <c r="I26" i="90" s="1"/>
  <c r="I27" i="90" s="1"/>
  <c r="I28" i="90" s="1"/>
  <c r="I29" i="90" s="1"/>
  <c r="I30" i="90" s="1"/>
  <c r="I31" i="90" s="1"/>
  <c r="I32" i="90" s="1"/>
  <c r="I33" i="90" s="1"/>
  <c r="I34" i="90" s="1"/>
  <c r="I35" i="90" s="1"/>
  <c r="I36" i="90" s="1"/>
  <c r="I37" i="90" s="1"/>
  <c r="I38" i="90" s="1"/>
  <c r="I39" i="90" s="1"/>
  <c r="I40" i="90" s="1"/>
  <c r="I41" i="90" s="1"/>
  <c r="I42" i="90" s="1"/>
  <c r="I43" i="90" s="1"/>
  <c r="I44" i="90" s="1"/>
  <c r="I45" i="90" s="1"/>
  <c r="H50" i="92"/>
  <c r="P50" i="92" s="1"/>
  <c r="Q18" i="92"/>
  <c r="R18" i="92" s="1"/>
  <c r="T18" i="92" s="1"/>
  <c r="I17" i="92"/>
  <c r="I18" i="92" s="1"/>
  <c r="I19" i="92" s="1"/>
  <c r="I20" i="92" s="1"/>
  <c r="I21" i="92" s="1"/>
  <c r="I22" i="92" s="1"/>
  <c r="I23" i="92" s="1"/>
  <c r="I24" i="92" s="1"/>
  <c r="I25" i="92" s="1"/>
  <c r="I26" i="92" s="1"/>
  <c r="I27" i="92" s="1"/>
  <c r="I28" i="92" s="1"/>
  <c r="I29" i="92" s="1"/>
  <c r="I30" i="92" s="1"/>
  <c r="I31" i="92" s="1"/>
  <c r="I32" i="92" s="1"/>
  <c r="I33" i="92" s="1"/>
  <c r="I34" i="92" s="1"/>
  <c r="I35" i="92" s="1"/>
  <c r="I36" i="92" s="1"/>
  <c r="I37" i="92" s="1"/>
  <c r="I38" i="92" s="1"/>
  <c r="I39" i="92" s="1"/>
  <c r="I40" i="92" s="1"/>
  <c r="I41" i="92" s="1"/>
  <c r="I42" i="92" s="1"/>
  <c r="I43" i="92" s="1"/>
  <c r="I44" i="92" s="1"/>
  <c r="I45" i="92" s="1"/>
  <c r="K45" i="92" s="1"/>
  <c r="R18" i="90"/>
  <c r="T18" i="90" s="1"/>
  <c r="O8" i="91"/>
  <c r="R15" i="91" s="1"/>
  <c r="T15" i="91" s="1"/>
  <c r="R16" i="90"/>
  <c r="T16" i="90" s="1"/>
  <c r="O8" i="92"/>
  <c r="G8" i="91"/>
  <c r="I46" i="90"/>
  <c r="K45" i="90"/>
  <c r="I20" i="91"/>
  <c r="I21" i="91" s="1"/>
  <c r="I22" i="91" s="1"/>
  <c r="I23" i="91" s="1"/>
  <c r="I24" i="91" s="1"/>
  <c r="Q19" i="92"/>
  <c r="G18" i="91"/>
  <c r="J17" i="91"/>
  <c r="L17" i="91" s="1"/>
  <c r="C4" i="90"/>
  <c r="G8" i="90"/>
  <c r="J15" i="91"/>
  <c r="L15" i="91" s="1"/>
  <c r="J16" i="91"/>
  <c r="L16" i="91" s="1"/>
  <c r="R17" i="92"/>
  <c r="T17" i="92" s="1"/>
  <c r="R15" i="90"/>
  <c r="T15" i="90" s="1"/>
  <c r="R17" i="90"/>
  <c r="T17" i="90" s="1"/>
  <c r="E12" i="89"/>
  <c r="C4" i="91"/>
  <c r="G8" i="92"/>
  <c r="E11" i="89"/>
  <c r="C28" i="87"/>
  <c r="C29" i="87"/>
  <c r="C30" i="87"/>
  <c r="C37" i="87"/>
  <c r="C38" i="87"/>
  <c r="C39" i="87"/>
  <c r="C40" i="87"/>
  <c r="C41" i="87"/>
  <c r="C42" i="87"/>
  <c r="C47" i="87"/>
  <c r="C50" i="87"/>
  <c r="M26" i="99" l="1"/>
  <c r="N26" i="99"/>
  <c r="A29" i="99"/>
  <c r="C28" i="99"/>
  <c r="M28" i="102"/>
  <c r="N28" i="102"/>
  <c r="J26" i="100"/>
  <c r="I26" i="100"/>
  <c r="H40" i="100"/>
  <c r="H42" i="99"/>
  <c r="H40" i="102"/>
  <c r="H40" i="101"/>
  <c r="I26" i="101"/>
  <c r="J26" i="101"/>
  <c r="Q27" i="102"/>
  <c r="P27" i="102"/>
  <c r="G28" i="102"/>
  <c r="F28" i="102"/>
  <c r="P27" i="101"/>
  <c r="Q27" i="101"/>
  <c r="H29" i="101"/>
  <c r="H29" i="102"/>
  <c r="H31" i="99"/>
  <c r="H29" i="100"/>
  <c r="C29" i="101"/>
  <c r="A30" i="101"/>
  <c r="J28" i="99"/>
  <c r="I28" i="99"/>
  <c r="P27" i="99"/>
  <c r="Q27" i="99"/>
  <c r="N28" i="101"/>
  <c r="M28" i="101"/>
  <c r="J26" i="102"/>
  <c r="I26" i="102"/>
  <c r="A31" i="102"/>
  <c r="C30" i="102"/>
  <c r="Q28" i="100"/>
  <c r="P28" i="100"/>
  <c r="D30" i="102"/>
  <c r="D32" i="101"/>
  <c r="F26" i="101"/>
  <c r="G26" i="101"/>
  <c r="F29" i="99"/>
  <c r="G29" i="99"/>
  <c r="N29" i="100"/>
  <c r="M29" i="100"/>
  <c r="G26" i="100"/>
  <c r="F26" i="100"/>
  <c r="D30" i="100"/>
  <c r="C35" i="100"/>
  <c r="A36" i="100"/>
  <c r="H52" i="90"/>
  <c r="P52" i="90" s="1"/>
  <c r="P50" i="90"/>
  <c r="R19" i="90"/>
  <c r="T19" i="90" s="1"/>
  <c r="H51" i="92"/>
  <c r="I46" i="92"/>
  <c r="J46" i="92" s="1"/>
  <c r="L46" i="92" s="1"/>
  <c r="P50" i="91"/>
  <c r="H51" i="91"/>
  <c r="R16" i="91"/>
  <c r="T16" i="91" s="1"/>
  <c r="R18" i="91"/>
  <c r="T18" i="91" s="1"/>
  <c r="R17" i="91"/>
  <c r="T17" i="91" s="1"/>
  <c r="R15" i="92"/>
  <c r="T15" i="92" s="1"/>
  <c r="R16" i="92"/>
  <c r="T16" i="92" s="1"/>
  <c r="Q21" i="91"/>
  <c r="R20" i="91"/>
  <c r="T20" i="91" s="1"/>
  <c r="J16" i="90"/>
  <c r="L16" i="90" s="1"/>
  <c r="J37" i="90"/>
  <c r="L37" i="90" s="1"/>
  <c r="J33" i="90"/>
  <c r="L33" i="90" s="1"/>
  <c r="J17" i="90"/>
  <c r="L17" i="90" s="1"/>
  <c r="J43" i="90"/>
  <c r="L43" i="90" s="1"/>
  <c r="J22" i="90"/>
  <c r="L22" i="90" s="1"/>
  <c r="J27" i="90"/>
  <c r="L27" i="90" s="1"/>
  <c r="J34" i="90"/>
  <c r="L34" i="90" s="1"/>
  <c r="J41" i="90"/>
  <c r="L41" i="90" s="1"/>
  <c r="J32" i="90"/>
  <c r="L32" i="90" s="1"/>
  <c r="J25" i="90"/>
  <c r="L25" i="90" s="1"/>
  <c r="J28" i="90"/>
  <c r="L28" i="90" s="1"/>
  <c r="J40" i="90"/>
  <c r="L40" i="90" s="1"/>
  <c r="J19" i="90"/>
  <c r="L19" i="90" s="1"/>
  <c r="J31" i="90"/>
  <c r="L31" i="90" s="1"/>
  <c r="J46" i="90"/>
  <c r="J36" i="90"/>
  <c r="L36" i="90" s="1"/>
  <c r="J18" i="90"/>
  <c r="L18" i="90" s="1"/>
  <c r="J45" i="90"/>
  <c r="L45" i="90" s="1"/>
  <c r="J23" i="90"/>
  <c r="L23" i="90" s="1"/>
  <c r="J42" i="90"/>
  <c r="L42" i="90" s="1"/>
  <c r="J15" i="90"/>
  <c r="L15" i="90" s="1"/>
  <c r="J35" i="90"/>
  <c r="L35" i="90" s="1"/>
  <c r="J39" i="90"/>
  <c r="L39" i="90" s="1"/>
  <c r="J20" i="90"/>
  <c r="L20" i="90" s="1"/>
  <c r="J24" i="90"/>
  <c r="L24" i="90" s="1"/>
  <c r="J44" i="90"/>
  <c r="L44" i="90" s="1"/>
  <c r="J30" i="90"/>
  <c r="L30" i="90" s="1"/>
  <c r="J26" i="90"/>
  <c r="L26" i="90" s="1"/>
  <c r="J38" i="90"/>
  <c r="L38" i="90" s="1"/>
  <c r="J29" i="90"/>
  <c r="L29" i="90" s="1"/>
  <c r="J21" i="90"/>
  <c r="L21" i="90" s="1"/>
  <c r="Q21" i="90"/>
  <c r="R20" i="90"/>
  <c r="T20" i="90" s="1"/>
  <c r="G19" i="91"/>
  <c r="J18" i="91"/>
  <c r="L18" i="91" s="1"/>
  <c r="Q20" i="92"/>
  <c r="R19" i="92"/>
  <c r="T19" i="92" s="1"/>
  <c r="R19" i="91"/>
  <c r="T19" i="91" s="1"/>
  <c r="J18" i="92"/>
  <c r="L18" i="92" s="1"/>
  <c r="J39" i="92"/>
  <c r="L39" i="92" s="1"/>
  <c r="J16" i="92"/>
  <c r="L16" i="92" s="1"/>
  <c r="J37" i="92"/>
  <c r="L37" i="92" s="1"/>
  <c r="J35" i="92"/>
  <c r="L35" i="92" s="1"/>
  <c r="J33" i="92"/>
  <c r="L33" i="92" s="1"/>
  <c r="J19" i="92"/>
  <c r="L19" i="92" s="1"/>
  <c r="J34" i="92"/>
  <c r="L34" i="92" s="1"/>
  <c r="J24" i="92"/>
  <c r="L24" i="92" s="1"/>
  <c r="J42" i="92"/>
  <c r="L42" i="92" s="1"/>
  <c r="J27" i="92"/>
  <c r="L27" i="92" s="1"/>
  <c r="J17" i="92"/>
  <c r="L17" i="92" s="1"/>
  <c r="J32" i="92"/>
  <c r="L32" i="92" s="1"/>
  <c r="J22" i="92"/>
  <c r="L22" i="92" s="1"/>
  <c r="J44" i="92"/>
  <c r="L44" i="92" s="1"/>
  <c r="J25" i="92"/>
  <c r="L25" i="92" s="1"/>
  <c r="J28" i="92"/>
  <c r="L28" i="92" s="1"/>
  <c r="J41" i="92"/>
  <c r="L41" i="92" s="1"/>
  <c r="J21" i="92"/>
  <c r="L21" i="92" s="1"/>
  <c r="J31" i="92"/>
  <c r="L31" i="92" s="1"/>
  <c r="J38" i="92"/>
  <c r="L38" i="92" s="1"/>
  <c r="J45" i="92"/>
  <c r="L45" i="92" s="1"/>
  <c r="J26" i="92"/>
  <c r="L26" i="92" s="1"/>
  <c r="J23" i="92"/>
  <c r="L23" i="92" s="1"/>
  <c r="J15" i="92"/>
  <c r="L15" i="92" s="1"/>
  <c r="J36" i="92"/>
  <c r="L36" i="92" s="1"/>
  <c r="J29" i="92"/>
  <c r="L29" i="92" s="1"/>
  <c r="J30" i="92"/>
  <c r="L30" i="92" s="1"/>
  <c r="J43" i="92"/>
  <c r="L43" i="92" s="1"/>
  <c r="J40" i="92"/>
  <c r="L40" i="92" s="1"/>
  <c r="J20" i="92"/>
  <c r="L20" i="92" s="1"/>
  <c r="H52" i="92"/>
  <c r="P51" i="92"/>
  <c r="I47" i="92"/>
  <c r="J47" i="92" s="1"/>
  <c r="K46" i="92"/>
  <c r="I25" i="91"/>
  <c r="K46" i="90"/>
  <c r="I47" i="90"/>
  <c r="J47" i="90" s="1"/>
  <c r="C34" i="87"/>
  <c r="B6" i="85"/>
  <c r="E22" i="85" s="1"/>
  <c r="B5" i="85"/>
  <c r="D25" i="85" s="1"/>
  <c r="B4" i="85"/>
  <c r="B3" i="85"/>
  <c r="M27" i="99" l="1"/>
  <c r="N27" i="99"/>
  <c r="J27" i="101"/>
  <c r="I27" i="101"/>
  <c r="C36" i="100"/>
  <c r="A37" i="100"/>
  <c r="D33" i="101"/>
  <c r="J27" i="100"/>
  <c r="I27" i="100"/>
  <c r="Q29" i="100"/>
  <c r="P29" i="100"/>
  <c r="P28" i="102"/>
  <c r="Q28" i="102"/>
  <c r="J29" i="99"/>
  <c r="I29" i="99"/>
  <c r="A31" i="101"/>
  <c r="C30" i="101"/>
  <c r="F27" i="101"/>
  <c r="G27" i="101"/>
  <c r="H41" i="100"/>
  <c r="H41" i="101"/>
  <c r="H41" i="102"/>
  <c r="H43" i="99"/>
  <c r="H30" i="102"/>
  <c r="H30" i="101"/>
  <c r="H30" i="100"/>
  <c r="H32" i="99"/>
  <c r="A32" i="102"/>
  <c r="C31" i="102"/>
  <c r="G30" i="99"/>
  <c r="F30" i="99"/>
  <c r="P28" i="101"/>
  <c r="Q28" i="101"/>
  <c r="M29" i="102"/>
  <c r="N29" i="102"/>
  <c r="D31" i="100"/>
  <c r="F27" i="100"/>
  <c r="G27" i="100"/>
  <c r="D31" i="102"/>
  <c r="M29" i="101"/>
  <c r="N29" i="101"/>
  <c r="Q28" i="99"/>
  <c r="P28" i="99"/>
  <c r="F29" i="102"/>
  <c r="G29" i="102"/>
  <c r="M30" i="100"/>
  <c r="N30" i="100"/>
  <c r="J27" i="102"/>
  <c r="I27" i="102"/>
  <c r="C29" i="99"/>
  <c r="A30" i="99"/>
  <c r="H53" i="90"/>
  <c r="P51" i="91"/>
  <c r="H52" i="91"/>
  <c r="L46" i="90"/>
  <c r="K47" i="90"/>
  <c r="L47" i="90" s="1"/>
  <c r="I48" i="90"/>
  <c r="I26" i="91"/>
  <c r="P53" i="90"/>
  <c r="H54" i="90"/>
  <c r="H55" i="90" s="1"/>
  <c r="H56" i="90" s="1"/>
  <c r="H57" i="90" s="1"/>
  <c r="H58" i="90" s="1"/>
  <c r="H59" i="90" s="1"/>
  <c r="H60" i="90" s="1"/>
  <c r="H61" i="90" s="1"/>
  <c r="H62" i="90" s="1"/>
  <c r="H63" i="90" s="1"/>
  <c r="H64" i="90" s="1"/>
  <c r="H65" i="90" s="1"/>
  <c r="H66" i="90" s="1"/>
  <c r="H67" i="90" s="1"/>
  <c r="G20" i="91"/>
  <c r="J19" i="91"/>
  <c r="L19" i="91" s="1"/>
  <c r="Q22" i="90"/>
  <c r="R21" i="90"/>
  <c r="T21" i="90" s="1"/>
  <c r="K47" i="92"/>
  <c r="L47" i="92" s="1"/>
  <c r="I48" i="92"/>
  <c r="Q21" i="92"/>
  <c r="R20" i="92"/>
  <c r="T20" i="92" s="1"/>
  <c r="Q22" i="91"/>
  <c r="R21" i="91"/>
  <c r="T21" i="91" s="1"/>
  <c r="P52" i="92"/>
  <c r="H53" i="92"/>
  <c r="C45" i="87"/>
  <c r="C49" i="87" s="1"/>
  <c r="C51" i="87" s="1"/>
  <c r="E25" i="85"/>
  <c r="C22" i="85"/>
  <c r="C25" i="85"/>
  <c r="D22" i="85"/>
  <c r="C24" i="85"/>
  <c r="C28" i="85"/>
  <c r="C21" i="85"/>
  <c r="M28" i="99" l="1"/>
  <c r="N28" i="99"/>
  <c r="F30" i="102"/>
  <c r="G30" i="102"/>
  <c r="J30" i="99"/>
  <c r="I30" i="99"/>
  <c r="F28" i="100"/>
  <c r="G28" i="100"/>
  <c r="P29" i="102"/>
  <c r="Q29" i="102"/>
  <c r="H42" i="102"/>
  <c r="H42" i="100"/>
  <c r="H44" i="99"/>
  <c r="H42" i="101"/>
  <c r="D34" i="101"/>
  <c r="C32" i="102"/>
  <c r="A33" i="102"/>
  <c r="H31" i="100"/>
  <c r="H31" i="101"/>
  <c r="H31" i="102"/>
  <c r="N31" i="100"/>
  <c r="M31" i="100"/>
  <c r="N30" i="102"/>
  <c r="M30" i="102"/>
  <c r="N30" i="101"/>
  <c r="M30" i="101"/>
  <c r="C31" i="101"/>
  <c r="A32" i="101"/>
  <c r="D32" i="102"/>
  <c r="D32" i="100"/>
  <c r="I28" i="100"/>
  <c r="J28" i="100"/>
  <c r="C37" i="100"/>
  <c r="A38" i="100"/>
  <c r="F31" i="99"/>
  <c r="G31" i="99"/>
  <c r="F28" i="101"/>
  <c r="G28" i="101"/>
  <c r="J28" i="101"/>
  <c r="I28" i="101"/>
  <c r="C30" i="99"/>
  <c r="A31" i="99"/>
  <c r="I28" i="102"/>
  <c r="J28" i="102"/>
  <c r="P30" i="100"/>
  <c r="Q30" i="100"/>
  <c r="P29" i="101"/>
  <c r="Q29" i="101"/>
  <c r="P29" i="99"/>
  <c r="Q29" i="99"/>
  <c r="H53" i="91"/>
  <c r="P52" i="91"/>
  <c r="I49" i="92"/>
  <c r="K48" i="92"/>
  <c r="J48" i="92"/>
  <c r="I27" i="91"/>
  <c r="H54" i="92"/>
  <c r="H55" i="92" s="1"/>
  <c r="H56" i="92" s="1"/>
  <c r="H57" i="92" s="1"/>
  <c r="H58" i="92" s="1"/>
  <c r="H59" i="92" s="1"/>
  <c r="H60" i="92" s="1"/>
  <c r="H61" i="92" s="1"/>
  <c r="H62" i="92" s="1"/>
  <c r="H63" i="92" s="1"/>
  <c r="H64" i="92" s="1"/>
  <c r="H65" i="92" s="1"/>
  <c r="H66" i="92" s="1"/>
  <c r="H67" i="92" s="1"/>
  <c r="P53" i="92"/>
  <c r="I49" i="90"/>
  <c r="K48" i="90"/>
  <c r="J48" i="90"/>
  <c r="Q22" i="92"/>
  <c r="R21" i="92"/>
  <c r="T21" i="92" s="1"/>
  <c r="Q23" i="90"/>
  <c r="R22" i="90"/>
  <c r="T22" i="90" s="1"/>
  <c r="G21" i="91"/>
  <c r="J20" i="91"/>
  <c r="L20" i="91" s="1"/>
  <c r="Q23" i="91"/>
  <c r="R22" i="91"/>
  <c r="T22" i="91" s="1"/>
  <c r="C52" i="87"/>
  <c r="C53" i="87" s="1"/>
  <c r="C29" i="85"/>
  <c r="C30" i="85" s="1"/>
  <c r="C32" i="85"/>
  <c r="N29" i="99" l="1"/>
  <c r="M29" i="99"/>
  <c r="D35" i="101"/>
  <c r="A39" i="100"/>
  <c r="C38" i="100"/>
  <c r="H32" i="102"/>
  <c r="H32" i="101"/>
  <c r="H34" i="99"/>
  <c r="H32" i="100"/>
  <c r="Q30" i="101"/>
  <c r="P30" i="101"/>
  <c r="P31" i="100"/>
  <c r="Q31" i="100"/>
  <c r="J31" i="99"/>
  <c r="I31" i="99"/>
  <c r="H43" i="101"/>
  <c r="H43" i="100"/>
  <c r="H43" i="102"/>
  <c r="H45" i="99"/>
  <c r="F29" i="101"/>
  <c r="G29" i="101"/>
  <c r="F32" i="99"/>
  <c r="G32" i="99"/>
  <c r="Q30" i="99"/>
  <c r="P30" i="99"/>
  <c r="G29" i="100"/>
  <c r="F29" i="100"/>
  <c r="D33" i="100"/>
  <c r="J29" i="102"/>
  <c r="I29" i="102"/>
  <c r="C31" i="99"/>
  <c r="A32" i="99"/>
  <c r="A33" i="101"/>
  <c r="C32" i="101"/>
  <c r="J29" i="101"/>
  <c r="I29" i="101"/>
  <c r="N31" i="102"/>
  <c r="M31" i="102"/>
  <c r="M32" i="100"/>
  <c r="N32" i="100"/>
  <c r="F31" i="102"/>
  <c r="G31" i="102"/>
  <c r="A34" i="102"/>
  <c r="C33" i="102"/>
  <c r="M31" i="101"/>
  <c r="N31" i="101"/>
  <c r="P30" i="102"/>
  <c r="Q30" i="102"/>
  <c r="I29" i="100"/>
  <c r="J29" i="100"/>
  <c r="D33" i="102"/>
  <c r="P53" i="91"/>
  <c r="H54" i="91"/>
  <c r="H55" i="91" s="1"/>
  <c r="H56" i="91" s="1"/>
  <c r="H57" i="91" s="1"/>
  <c r="H58" i="91" s="1"/>
  <c r="H59" i="91" s="1"/>
  <c r="H60" i="91" s="1"/>
  <c r="H61" i="91" s="1"/>
  <c r="H62" i="91" s="1"/>
  <c r="H63" i="91" s="1"/>
  <c r="H64" i="91" s="1"/>
  <c r="H65" i="91" s="1"/>
  <c r="H66" i="91" s="1"/>
  <c r="H67" i="91" s="1"/>
  <c r="L48" i="92"/>
  <c r="L48" i="90"/>
  <c r="G22" i="91"/>
  <c r="J21" i="91"/>
  <c r="L21" i="91" s="1"/>
  <c r="Q24" i="90"/>
  <c r="R23" i="90"/>
  <c r="T23" i="90" s="1"/>
  <c r="Q23" i="92"/>
  <c r="R22" i="92"/>
  <c r="T22" i="92" s="1"/>
  <c r="K49" i="90"/>
  <c r="I50" i="90"/>
  <c r="J49" i="90"/>
  <c r="I28" i="91"/>
  <c r="K49" i="92"/>
  <c r="I50" i="92"/>
  <c r="J49" i="92"/>
  <c r="Q24" i="91"/>
  <c r="R23" i="91"/>
  <c r="T23" i="91" s="1"/>
  <c r="N30" i="99" l="1"/>
  <c r="M30" i="99"/>
  <c r="D34" i="100"/>
  <c r="F32" i="102"/>
  <c r="G32" i="102"/>
  <c r="H44" i="101"/>
  <c r="H44" i="100"/>
  <c r="H44" i="102"/>
  <c r="J32" i="99"/>
  <c r="I32" i="99"/>
  <c r="D34" i="102"/>
  <c r="P31" i="99"/>
  <c r="Q31" i="99"/>
  <c r="F33" i="99"/>
  <c r="G33" i="99"/>
  <c r="F30" i="100"/>
  <c r="G30" i="100"/>
  <c r="P32" i="100"/>
  <c r="Q32" i="100"/>
  <c r="I30" i="100"/>
  <c r="J30" i="100"/>
  <c r="P31" i="102"/>
  <c r="Q31" i="102"/>
  <c r="C39" i="100"/>
  <c r="A40" i="100"/>
  <c r="Q31" i="101"/>
  <c r="P31" i="101"/>
  <c r="M32" i="102"/>
  <c r="N32" i="102"/>
  <c r="J30" i="101"/>
  <c r="I30" i="101"/>
  <c r="H33" i="102"/>
  <c r="H33" i="100"/>
  <c r="H33" i="101"/>
  <c r="H35" i="99"/>
  <c r="C33" i="101"/>
  <c r="A34" i="101"/>
  <c r="G30" i="101"/>
  <c r="F30" i="101"/>
  <c r="A33" i="99"/>
  <c r="C32" i="99"/>
  <c r="M32" i="101"/>
  <c r="N32" i="101"/>
  <c r="M33" i="100"/>
  <c r="N33" i="100"/>
  <c r="J30" i="102"/>
  <c r="I30" i="102"/>
  <c r="A35" i="102"/>
  <c r="C34" i="102"/>
  <c r="D36" i="101"/>
  <c r="L49" i="90"/>
  <c r="L49" i="92"/>
  <c r="I51" i="92"/>
  <c r="K50" i="92"/>
  <c r="J50" i="92"/>
  <c r="L50" i="92" s="1"/>
  <c r="I29" i="91"/>
  <c r="I51" i="90"/>
  <c r="K50" i="90"/>
  <c r="J50" i="90"/>
  <c r="Q25" i="91"/>
  <c r="R24" i="91"/>
  <c r="T24" i="91" s="1"/>
  <c r="Q24" i="92"/>
  <c r="R23" i="92"/>
  <c r="T23" i="92" s="1"/>
  <c r="Q25" i="90"/>
  <c r="R24" i="90"/>
  <c r="T24" i="90" s="1"/>
  <c r="G23" i="91"/>
  <c r="J22" i="91"/>
  <c r="L22" i="91" s="1"/>
  <c r="M31" i="99" l="1"/>
  <c r="N31" i="99"/>
  <c r="D35" i="100"/>
  <c r="G31" i="100"/>
  <c r="F31" i="100"/>
  <c r="J31" i="101"/>
  <c r="I31" i="101"/>
  <c r="M34" i="100"/>
  <c r="N34" i="100"/>
  <c r="M33" i="102"/>
  <c r="N33" i="102"/>
  <c r="G33" i="102"/>
  <c r="F33" i="102"/>
  <c r="F34" i="99"/>
  <c r="G34" i="99"/>
  <c r="D35" i="102"/>
  <c r="C33" i="99"/>
  <c r="A34" i="99"/>
  <c r="P32" i="102"/>
  <c r="Q32" i="102"/>
  <c r="P32" i="99"/>
  <c r="Q32" i="99"/>
  <c r="D37" i="101"/>
  <c r="Q32" i="101"/>
  <c r="P32" i="101"/>
  <c r="C35" i="102"/>
  <c r="A36" i="102"/>
  <c r="M33" i="101"/>
  <c r="N33" i="101"/>
  <c r="G31" i="101"/>
  <c r="F31" i="101"/>
  <c r="A35" i="101"/>
  <c r="C34" i="101"/>
  <c r="J31" i="100"/>
  <c r="I31" i="100"/>
  <c r="H34" i="101"/>
  <c r="H34" i="100"/>
  <c r="H34" i="102"/>
  <c r="I31" i="102"/>
  <c r="J31" i="102"/>
  <c r="A41" i="100"/>
  <c r="C40" i="100"/>
  <c r="I33" i="99"/>
  <c r="J33" i="99"/>
  <c r="Q33" i="100"/>
  <c r="P33" i="100"/>
  <c r="L50" i="90"/>
  <c r="G24" i="91"/>
  <c r="J23" i="91"/>
  <c r="L23" i="91" s="1"/>
  <c r="Q26" i="90"/>
  <c r="R25" i="90"/>
  <c r="T25" i="90" s="1"/>
  <c r="Q25" i="92"/>
  <c r="R24" i="92"/>
  <c r="T24" i="92" s="1"/>
  <c r="Q26" i="91"/>
  <c r="R25" i="91"/>
  <c r="T25" i="91" s="1"/>
  <c r="K51" i="90"/>
  <c r="I52" i="90"/>
  <c r="J51" i="90"/>
  <c r="I30" i="91"/>
  <c r="K51" i="92"/>
  <c r="I52" i="92"/>
  <c r="J51" i="92"/>
  <c r="L51" i="92" s="1"/>
  <c r="M32" i="99" l="1"/>
  <c r="N32" i="99"/>
  <c r="P33" i="102"/>
  <c r="Q33" i="102"/>
  <c r="F32" i="101"/>
  <c r="G32" i="101"/>
  <c r="C41" i="100"/>
  <c r="A42" i="100"/>
  <c r="F35" i="99"/>
  <c r="G35" i="99"/>
  <c r="F34" i="102"/>
  <c r="G34" i="102"/>
  <c r="A37" i="102"/>
  <c r="C36" i="102"/>
  <c r="J32" i="102"/>
  <c r="I32" i="102"/>
  <c r="P33" i="101"/>
  <c r="Q33" i="101"/>
  <c r="M34" i="102"/>
  <c r="N34" i="102"/>
  <c r="Q33" i="99"/>
  <c r="P33" i="99"/>
  <c r="D36" i="100"/>
  <c r="I34" i="99"/>
  <c r="J34" i="99"/>
  <c r="D36" i="102"/>
  <c r="M35" i="100"/>
  <c r="N35" i="100"/>
  <c r="I32" i="101"/>
  <c r="J32" i="101"/>
  <c r="P34" i="100"/>
  <c r="Q34" i="100"/>
  <c r="I32" i="100"/>
  <c r="J32" i="100"/>
  <c r="G32" i="100"/>
  <c r="F32" i="100"/>
  <c r="C35" i="101"/>
  <c r="A36" i="101"/>
  <c r="A35" i="99"/>
  <c r="C34" i="99"/>
  <c r="N34" i="101"/>
  <c r="M34" i="101"/>
  <c r="D38" i="101"/>
  <c r="L51" i="90"/>
  <c r="I53" i="92"/>
  <c r="K52" i="92"/>
  <c r="J52" i="92"/>
  <c r="I31" i="91"/>
  <c r="K52" i="90"/>
  <c r="I53" i="90"/>
  <c r="J52" i="90"/>
  <c r="Q27" i="91"/>
  <c r="R26" i="91"/>
  <c r="T26" i="91" s="1"/>
  <c r="Q26" i="92"/>
  <c r="R25" i="92"/>
  <c r="T25" i="92" s="1"/>
  <c r="Q27" i="90"/>
  <c r="R26" i="90"/>
  <c r="T26" i="90" s="1"/>
  <c r="G25" i="91"/>
  <c r="J24" i="91"/>
  <c r="L24" i="91" s="1"/>
  <c r="M33" i="99" l="1"/>
  <c r="N33" i="99"/>
  <c r="P34" i="102"/>
  <c r="Q34" i="102"/>
  <c r="N35" i="102"/>
  <c r="M35" i="102"/>
  <c r="J33" i="102"/>
  <c r="I33" i="102"/>
  <c r="D39" i="101"/>
  <c r="N36" i="100"/>
  <c r="M36" i="100"/>
  <c r="N35" i="101"/>
  <c r="M35" i="101"/>
  <c r="A36" i="99"/>
  <c r="C35" i="99"/>
  <c r="P35" i="100"/>
  <c r="Q35" i="100"/>
  <c r="I33" i="101"/>
  <c r="J33" i="101"/>
  <c r="Q34" i="101"/>
  <c r="P34" i="101"/>
  <c r="D37" i="102"/>
  <c r="C37" i="102"/>
  <c r="A38" i="102"/>
  <c r="F35" i="102"/>
  <c r="G35" i="102"/>
  <c r="C36" i="101"/>
  <c r="A37" i="101"/>
  <c r="I35" i="99"/>
  <c r="J35" i="99"/>
  <c r="G36" i="99"/>
  <c r="F36" i="99"/>
  <c r="D37" i="100"/>
  <c r="A43" i="100"/>
  <c r="C42" i="100"/>
  <c r="G33" i="100"/>
  <c r="F33" i="100"/>
  <c r="P34" i="99"/>
  <c r="Q34" i="99"/>
  <c r="G33" i="101"/>
  <c r="F33" i="101"/>
  <c r="I33" i="100"/>
  <c r="J33" i="100"/>
  <c r="L52" i="90"/>
  <c r="L52" i="92"/>
  <c r="G26" i="91"/>
  <c r="J25" i="91"/>
  <c r="L25" i="91" s="1"/>
  <c r="Q28" i="91"/>
  <c r="R27" i="91"/>
  <c r="T27" i="91" s="1"/>
  <c r="Q28" i="90"/>
  <c r="R27" i="90"/>
  <c r="T27" i="90" s="1"/>
  <c r="Q27" i="92"/>
  <c r="R26" i="92"/>
  <c r="T26" i="92" s="1"/>
  <c r="K53" i="90"/>
  <c r="I54" i="90"/>
  <c r="J53" i="90"/>
  <c r="I32" i="91"/>
  <c r="I54" i="92"/>
  <c r="K53" i="92"/>
  <c r="J53" i="92"/>
  <c r="L53" i="92" s="1"/>
  <c r="N34" i="99" l="1"/>
  <c r="M34" i="99"/>
  <c r="Q36" i="100"/>
  <c r="P36" i="100"/>
  <c r="M36" i="101"/>
  <c r="N36" i="101"/>
  <c r="D40" i="101"/>
  <c r="C38" i="102"/>
  <c r="A39" i="102"/>
  <c r="I34" i="102"/>
  <c r="J34" i="102"/>
  <c r="M36" i="102"/>
  <c r="N36" i="102"/>
  <c r="F37" i="99"/>
  <c r="G37" i="99"/>
  <c r="F36" i="102"/>
  <c r="G36" i="102"/>
  <c r="C37" i="101"/>
  <c r="A38" i="101"/>
  <c r="D38" i="100"/>
  <c r="A37" i="99"/>
  <c r="C36" i="99"/>
  <c r="I36" i="99"/>
  <c r="J36" i="99"/>
  <c r="M37" i="100"/>
  <c r="N37" i="100"/>
  <c r="I34" i="100"/>
  <c r="J34" i="100"/>
  <c r="G34" i="101"/>
  <c r="F34" i="101"/>
  <c r="D38" i="102"/>
  <c r="Q35" i="99"/>
  <c r="P35" i="99"/>
  <c r="G34" i="100"/>
  <c r="F34" i="100"/>
  <c r="Q35" i="101"/>
  <c r="P35" i="101"/>
  <c r="C43" i="100"/>
  <c r="A44" i="100"/>
  <c r="I34" i="101"/>
  <c r="J34" i="101"/>
  <c r="P35" i="102"/>
  <c r="Q35" i="102"/>
  <c r="L53" i="90"/>
  <c r="K54" i="92"/>
  <c r="I55" i="92"/>
  <c r="J54" i="92"/>
  <c r="Q29" i="90"/>
  <c r="R28" i="90"/>
  <c r="T28" i="90" s="1"/>
  <c r="I33" i="91"/>
  <c r="K54" i="90"/>
  <c r="I55" i="90"/>
  <c r="J54" i="90"/>
  <c r="R27" i="92"/>
  <c r="T27" i="92" s="1"/>
  <c r="Q28" i="92"/>
  <c r="Q29" i="91"/>
  <c r="R28" i="91"/>
  <c r="T28" i="91" s="1"/>
  <c r="G27" i="91"/>
  <c r="J26" i="91"/>
  <c r="L26" i="91" s="1"/>
  <c r="N35" i="99" l="1"/>
  <c r="M35" i="99"/>
  <c r="G35" i="101"/>
  <c r="F35" i="101"/>
  <c r="M37" i="102"/>
  <c r="N37" i="102"/>
  <c r="J35" i="102"/>
  <c r="I35" i="102"/>
  <c r="I37" i="99"/>
  <c r="J37" i="99"/>
  <c r="D41" i="101"/>
  <c r="J35" i="101"/>
  <c r="I35" i="101"/>
  <c r="C37" i="99"/>
  <c r="A38" i="99"/>
  <c r="C44" i="100"/>
  <c r="A45" i="100"/>
  <c r="D39" i="102"/>
  <c r="G37" i="102"/>
  <c r="F37" i="102"/>
  <c r="F38" i="99"/>
  <c r="G38" i="99"/>
  <c r="J35" i="100"/>
  <c r="I35" i="100"/>
  <c r="N38" i="100"/>
  <c r="M38" i="100"/>
  <c r="P36" i="102"/>
  <c r="Q36" i="102"/>
  <c r="N37" i="101"/>
  <c r="M37" i="101"/>
  <c r="P36" i="99"/>
  <c r="Q36" i="99"/>
  <c r="A40" i="102"/>
  <c r="C39" i="102"/>
  <c r="Q36" i="101"/>
  <c r="P36" i="101"/>
  <c r="D39" i="100"/>
  <c r="G35" i="100"/>
  <c r="F35" i="100"/>
  <c r="C38" i="101"/>
  <c r="A39" i="101"/>
  <c r="P37" i="100"/>
  <c r="Q37" i="100"/>
  <c r="G28" i="91"/>
  <c r="J27" i="91"/>
  <c r="L27" i="91" s="1"/>
  <c r="Q30" i="91"/>
  <c r="R29" i="91"/>
  <c r="T29" i="91" s="1"/>
  <c r="Q29" i="92"/>
  <c r="R28" i="92"/>
  <c r="T28" i="92" s="1"/>
  <c r="L54" i="90"/>
  <c r="K55" i="90"/>
  <c r="I56" i="90"/>
  <c r="J55" i="90"/>
  <c r="L54" i="92"/>
  <c r="I34" i="91"/>
  <c r="Q30" i="90"/>
  <c r="R29" i="90"/>
  <c r="T29" i="90" s="1"/>
  <c r="K55" i="92"/>
  <c r="I56" i="92"/>
  <c r="J55" i="92"/>
  <c r="L55" i="92" s="1"/>
  <c r="M36" i="99" l="1"/>
  <c r="N36" i="99"/>
  <c r="G36" i="101"/>
  <c r="F36" i="101"/>
  <c r="G38" i="102"/>
  <c r="F38" i="102"/>
  <c r="P37" i="102"/>
  <c r="Q37" i="102"/>
  <c r="M39" i="100"/>
  <c r="N39" i="100"/>
  <c r="J38" i="99"/>
  <c r="I38" i="99"/>
  <c r="Q38" i="100"/>
  <c r="P38" i="100"/>
  <c r="C39" i="101"/>
  <c r="A40" i="101"/>
  <c r="D42" i="101"/>
  <c r="G36" i="100"/>
  <c r="F36" i="100"/>
  <c r="I36" i="100"/>
  <c r="J36" i="100"/>
  <c r="I36" i="102"/>
  <c r="J36" i="102"/>
  <c r="D40" i="102"/>
  <c r="A41" i="102"/>
  <c r="C40" i="102"/>
  <c r="A46" i="100"/>
  <c r="C45" i="100"/>
  <c r="Q37" i="99"/>
  <c r="P37" i="99"/>
  <c r="C38" i="99"/>
  <c r="A39" i="99"/>
  <c r="M38" i="101"/>
  <c r="N38" i="101"/>
  <c r="I36" i="101"/>
  <c r="J36" i="101"/>
  <c r="D40" i="100"/>
  <c r="P37" i="101"/>
  <c r="Q37" i="101"/>
  <c r="G39" i="99"/>
  <c r="F39" i="99"/>
  <c r="M38" i="102"/>
  <c r="N38" i="102"/>
  <c r="L55" i="90"/>
  <c r="I35" i="91"/>
  <c r="Q31" i="90"/>
  <c r="R30" i="90"/>
  <c r="T30" i="90" s="1"/>
  <c r="I57" i="90"/>
  <c r="K56" i="90"/>
  <c r="J56" i="90"/>
  <c r="Q30" i="92"/>
  <c r="R29" i="92"/>
  <c r="T29" i="92" s="1"/>
  <c r="K56" i="92"/>
  <c r="I57" i="92"/>
  <c r="J56" i="92"/>
  <c r="Q31" i="91"/>
  <c r="R30" i="91"/>
  <c r="T30" i="91" s="1"/>
  <c r="G29" i="91"/>
  <c r="J28" i="91"/>
  <c r="L28" i="91" s="1"/>
  <c r="N37" i="99" l="1"/>
  <c r="M37" i="99"/>
  <c r="C39" i="99"/>
  <c r="A40" i="99"/>
  <c r="P39" i="100"/>
  <c r="Q39" i="100"/>
  <c r="Q38" i="99"/>
  <c r="P38" i="99"/>
  <c r="A47" i="100"/>
  <c r="C46" i="100"/>
  <c r="J37" i="100"/>
  <c r="I37" i="100"/>
  <c r="D43" i="101"/>
  <c r="M39" i="101"/>
  <c r="N39" i="101"/>
  <c r="J39" i="99"/>
  <c r="I39" i="99"/>
  <c r="M39" i="102"/>
  <c r="N39" i="102"/>
  <c r="M40" i="100"/>
  <c r="N40" i="100"/>
  <c r="G40" i="99"/>
  <c r="F40" i="99"/>
  <c r="F39" i="102"/>
  <c r="G39" i="102"/>
  <c r="G37" i="100"/>
  <c r="F37" i="100"/>
  <c r="A42" i="102"/>
  <c r="C41" i="102"/>
  <c r="P38" i="102"/>
  <c r="Q38" i="102"/>
  <c r="P38" i="101"/>
  <c r="Q38" i="101"/>
  <c r="D41" i="102"/>
  <c r="D41" i="100"/>
  <c r="I37" i="101"/>
  <c r="J37" i="101"/>
  <c r="A41" i="101"/>
  <c r="C40" i="101"/>
  <c r="J37" i="102"/>
  <c r="I37" i="102"/>
  <c r="G37" i="101"/>
  <c r="F37" i="101"/>
  <c r="L56" i="90"/>
  <c r="K57" i="92"/>
  <c r="I58" i="92"/>
  <c r="J57" i="92"/>
  <c r="R30" i="92"/>
  <c r="T30" i="92" s="1"/>
  <c r="Q31" i="92"/>
  <c r="I58" i="90"/>
  <c r="K57" i="90"/>
  <c r="J57" i="90"/>
  <c r="Q32" i="90"/>
  <c r="R31" i="90"/>
  <c r="T31" i="90" s="1"/>
  <c r="I36" i="91"/>
  <c r="G30" i="91"/>
  <c r="J29" i="91"/>
  <c r="L29" i="91" s="1"/>
  <c r="Q32" i="91"/>
  <c r="R31" i="91"/>
  <c r="T31" i="91" s="1"/>
  <c r="L56" i="92"/>
  <c r="M38" i="99" l="1"/>
  <c r="N38" i="99"/>
  <c r="D42" i="100"/>
  <c r="P39" i="101"/>
  <c r="Q39" i="101"/>
  <c r="P39" i="102"/>
  <c r="Q39" i="102"/>
  <c r="C42" i="102"/>
  <c r="A43" i="102"/>
  <c r="G38" i="100"/>
  <c r="F38" i="100"/>
  <c r="N41" i="100"/>
  <c r="M41" i="100"/>
  <c r="J38" i="101"/>
  <c r="I38" i="101"/>
  <c r="M40" i="102"/>
  <c r="N40" i="102"/>
  <c r="D42" i="102"/>
  <c r="P39" i="99"/>
  <c r="Q39" i="99"/>
  <c r="I38" i="102"/>
  <c r="J38" i="102"/>
  <c r="F40" i="102"/>
  <c r="G40" i="102"/>
  <c r="N40" i="101"/>
  <c r="M40" i="101"/>
  <c r="D44" i="101"/>
  <c r="A48" i="100"/>
  <c r="C47" i="100"/>
  <c r="Q40" i="100"/>
  <c r="P40" i="100"/>
  <c r="F41" i="99"/>
  <c r="G41" i="99"/>
  <c r="A41" i="99"/>
  <c r="C40" i="99"/>
  <c r="F38" i="101"/>
  <c r="G38" i="101"/>
  <c r="I38" i="100"/>
  <c r="J38" i="100"/>
  <c r="I40" i="99"/>
  <c r="J40" i="99"/>
  <c r="A42" i="101"/>
  <c r="C41" i="101"/>
  <c r="L57" i="90"/>
  <c r="L57" i="92"/>
  <c r="Q33" i="91"/>
  <c r="R32" i="91"/>
  <c r="T32" i="91" s="1"/>
  <c r="I37" i="91"/>
  <c r="K58" i="90"/>
  <c r="I59" i="90"/>
  <c r="J58" i="90"/>
  <c r="G31" i="91"/>
  <c r="J30" i="91"/>
  <c r="L30" i="91" s="1"/>
  <c r="R32" i="90"/>
  <c r="T32" i="90" s="1"/>
  <c r="Q33" i="90"/>
  <c r="Q32" i="92"/>
  <c r="R31" i="92"/>
  <c r="T31" i="92" s="1"/>
  <c r="I59" i="92"/>
  <c r="K58" i="92"/>
  <c r="J58" i="92"/>
  <c r="M39" i="99" l="1"/>
  <c r="N39" i="99"/>
  <c r="F42" i="99"/>
  <c r="G42" i="99"/>
  <c r="C42" i="101"/>
  <c r="A43" i="101"/>
  <c r="P40" i="102"/>
  <c r="Q40" i="102"/>
  <c r="D43" i="102"/>
  <c r="J39" i="101"/>
  <c r="I39" i="101"/>
  <c r="A49" i="100"/>
  <c r="C48" i="100"/>
  <c r="D45" i="101"/>
  <c r="F39" i="100"/>
  <c r="G39" i="100"/>
  <c r="A44" i="102"/>
  <c r="C43" i="102"/>
  <c r="J41" i="99"/>
  <c r="I41" i="99"/>
  <c r="F41" i="102"/>
  <c r="G41" i="102"/>
  <c r="M41" i="102"/>
  <c r="N41" i="102"/>
  <c r="P41" i="100"/>
  <c r="Q41" i="100"/>
  <c r="M42" i="100"/>
  <c r="N42" i="100"/>
  <c r="M41" i="101"/>
  <c r="N41" i="101"/>
  <c r="I39" i="100"/>
  <c r="J39" i="100"/>
  <c r="I39" i="102"/>
  <c r="J39" i="102"/>
  <c r="P40" i="101"/>
  <c r="Q40" i="101"/>
  <c r="C41" i="99"/>
  <c r="A42" i="99"/>
  <c r="D43" i="100"/>
  <c r="P40" i="99"/>
  <c r="Q40" i="99"/>
  <c r="F39" i="101"/>
  <c r="G39" i="101"/>
  <c r="L58" i="90"/>
  <c r="L58" i="92"/>
  <c r="Q34" i="90"/>
  <c r="R33" i="90"/>
  <c r="T33" i="90" s="1"/>
  <c r="G32" i="91"/>
  <c r="J31" i="91"/>
  <c r="L31" i="91" s="1"/>
  <c r="I38" i="91"/>
  <c r="Q34" i="91"/>
  <c r="R33" i="91"/>
  <c r="T33" i="91" s="1"/>
  <c r="K59" i="92"/>
  <c r="I60" i="92"/>
  <c r="J59" i="92"/>
  <c r="L59" i="92" s="1"/>
  <c r="R32" i="92"/>
  <c r="T32" i="92" s="1"/>
  <c r="Q33" i="92"/>
  <c r="I60" i="90"/>
  <c r="K59" i="90"/>
  <c r="J59" i="90"/>
  <c r="M40" i="99" l="1"/>
  <c r="N40" i="99"/>
  <c r="F40" i="100"/>
  <c r="G40" i="100"/>
  <c r="C49" i="100"/>
  <c r="A50" i="100"/>
  <c r="M42" i="101"/>
  <c r="N42" i="101"/>
  <c r="P41" i="102"/>
  <c r="Q41" i="102"/>
  <c r="N42" i="102"/>
  <c r="M42" i="102"/>
  <c r="P41" i="99"/>
  <c r="Q41" i="99"/>
  <c r="D44" i="100"/>
  <c r="I42" i="99"/>
  <c r="J42" i="99"/>
  <c r="Q41" i="101"/>
  <c r="P41" i="101"/>
  <c r="I40" i="102"/>
  <c r="J40" i="102"/>
  <c r="D46" i="101"/>
  <c r="I40" i="100"/>
  <c r="J40" i="100"/>
  <c r="J40" i="101"/>
  <c r="I40" i="101"/>
  <c r="D44" i="102"/>
  <c r="N43" i="100"/>
  <c r="M43" i="100"/>
  <c r="A44" i="101"/>
  <c r="C43" i="101"/>
  <c r="A45" i="102"/>
  <c r="C44" i="102"/>
  <c r="F42" i="102"/>
  <c r="G42" i="102"/>
  <c r="Q42" i="100"/>
  <c r="P42" i="100"/>
  <c r="F40" i="101"/>
  <c r="G40" i="101"/>
  <c r="A43" i="99"/>
  <c r="C42" i="99"/>
  <c r="G43" i="99"/>
  <c r="F43" i="99"/>
  <c r="L59" i="90"/>
  <c r="K60" i="92"/>
  <c r="I61" i="92"/>
  <c r="J60" i="92"/>
  <c r="R34" i="91"/>
  <c r="T34" i="91" s="1"/>
  <c r="Q35" i="91"/>
  <c r="I39" i="91"/>
  <c r="G33" i="91"/>
  <c r="J32" i="91"/>
  <c r="L32" i="91" s="1"/>
  <c r="R34" i="90"/>
  <c r="T34" i="90" s="1"/>
  <c r="Q35" i="90"/>
  <c r="K60" i="90"/>
  <c r="I61" i="90"/>
  <c r="J60" i="90"/>
  <c r="Q34" i="92"/>
  <c r="R33" i="92"/>
  <c r="T33" i="92" s="1"/>
  <c r="M41" i="99" l="1"/>
  <c r="N41" i="99"/>
  <c r="A45" i="101"/>
  <c r="C44" i="101"/>
  <c r="D45" i="100"/>
  <c r="P42" i="99"/>
  <c r="Q42" i="99"/>
  <c r="F44" i="99"/>
  <c r="G44" i="99"/>
  <c r="F15" i="100"/>
  <c r="G15" i="100" s="1"/>
  <c r="M43" i="102"/>
  <c r="N43" i="102"/>
  <c r="A46" i="102"/>
  <c r="C45" i="102"/>
  <c r="D45" i="102"/>
  <c r="G43" i="102"/>
  <c r="F43" i="102"/>
  <c r="J41" i="101"/>
  <c r="I41" i="101"/>
  <c r="C43" i="99"/>
  <c r="A44" i="99"/>
  <c r="G41" i="101"/>
  <c r="F41" i="101"/>
  <c r="Q43" i="100"/>
  <c r="P43" i="100"/>
  <c r="I43" i="99"/>
  <c r="J43" i="99"/>
  <c r="Q42" i="102"/>
  <c r="P42" i="102"/>
  <c r="C50" i="100"/>
  <c r="A51" i="100"/>
  <c r="D47" i="101"/>
  <c r="M43" i="101"/>
  <c r="N43" i="101"/>
  <c r="J41" i="100"/>
  <c r="I41" i="100"/>
  <c r="I41" i="102"/>
  <c r="J41" i="102"/>
  <c r="P42" i="101"/>
  <c r="Q42" i="101"/>
  <c r="F41" i="100"/>
  <c r="G41" i="100"/>
  <c r="L60" i="90"/>
  <c r="L60" i="92"/>
  <c r="R34" i="92"/>
  <c r="T34" i="92" s="1"/>
  <c r="Q35" i="92"/>
  <c r="K61" i="90"/>
  <c r="I62" i="90"/>
  <c r="J61" i="90"/>
  <c r="Q36" i="90"/>
  <c r="R35" i="90"/>
  <c r="T35" i="90" s="1"/>
  <c r="G34" i="91"/>
  <c r="J33" i="91"/>
  <c r="L33" i="91" s="1"/>
  <c r="I40" i="91"/>
  <c r="Q36" i="91"/>
  <c r="R35" i="91"/>
  <c r="T35" i="91" s="1"/>
  <c r="K61" i="92"/>
  <c r="I62" i="92"/>
  <c r="J61" i="92"/>
  <c r="L61" i="92" s="1"/>
  <c r="N42" i="99" l="1"/>
  <c r="M42" i="99"/>
  <c r="F15" i="101"/>
  <c r="G15" i="101" s="1"/>
  <c r="P43" i="102"/>
  <c r="Q43" i="102"/>
  <c r="F15" i="102" s="1"/>
  <c r="G15" i="102" s="1"/>
  <c r="A47" i="102"/>
  <c r="C46" i="102"/>
  <c r="C51" i="100"/>
  <c r="A52" i="100"/>
  <c r="F42" i="100"/>
  <c r="G42" i="100"/>
  <c r="D46" i="100"/>
  <c r="J44" i="99"/>
  <c r="I44" i="99"/>
  <c r="Q43" i="101"/>
  <c r="P43" i="101"/>
  <c r="Q43" i="99"/>
  <c r="P43" i="99"/>
  <c r="J42" i="101"/>
  <c r="I42" i="101"/>
  <c r="D48" i="101"/>
  <c r="D46" i="102"/>
  <c r="I42" i="102"/>
  <c r="J42" i="102"/>
  <c r="A45" i="99"/>
  <c r="C44" i="99"/>
  <c r="C45" i="101"/>
  <c r="A46" i="101"/>
  <c r="G45" i="99"/>
  <c r="F45" i="99"/>
  <c r="F42" i="101"/>
  <c r="G42" i="101"/>
  <c r="J42" i="100"/>
  <c r="I42" i="100"/>
  <c r="F44" i="102"/>
  <c r="G44" i="102"/>
  <c r="L61" i="90"/>
  <c r="Q37" i="91"/>
  <c r="R36" i="91"/>
  <c r="T36" i="91" s="1"/>
  <c r="I63" i="92"/>
  <c r="K62" i="92"/>
  <c r="J62" i="92"/>
  <c r="Q36" i="92"/>
  <c r="R35" i="92"/>
  <c r="T35" i="92" s="1"/>
  <c r="I41" i="91"/>
  <c r="G35" i="91"/>
  <c r="J34" i="91"/>
  <c r="L34" i="91" s="1"/>
  <c r="Q37" i="90"/>
  <c r="R36" i="90"/>
  <c r="T36" i="90" s="1"/>
  <c r="I63" i="90"/>
  <c r="K62" i="90"/>
  <c r="J62" i="90"/>
  <c r="M43" i="99" l="1"/>
  <c r="N43" i="99"/>
  <c r="J43" i="101"/>
  <c r="I43" i="101"/>
  <c r="F46" i="99"/>
  <c r="G46" i="99"/>
  <c r="A46" i="99"/>
  <c r="C45" i="99"/>
  <c r="F43" i="101"/>
  <c r="G43" i="101"/>
  <c r="G43" i="100"/>
  <c r="F43" i="100"/>
  <c r="F45" i="102"/>
  <c r="G45" i="102"/>
  <c r="A48" i="102"/>
  <c r="C47" i="102"/>
  <c r="P44" i="99"/>
  <c r="Q44" i="99"/>
  <c r="I45" i="99"/>
  <c r="J45" i="99"/>
  <c r="A47" i="101"/>
  <c r="C46" i="101"/>
  <c r="D47" i="100"/>
  <c r="I43" i="100"/>
  <c r="J43" i="100"/>
  <c r="J43" i="102"/>
  <c r="I43" i="102"/>
  <c r="A53" i="100"/>
  <c r="C52" i="100"/>
  <c r="D47" i="102"/>
  <c r="D49" i="101"/>
  <c r="L62" i="92"/>
  <c r="L62" i="90"/>
  <c r="Q38" i="90"/>
  <c r="R37" i="90"/>
  <c r="T37" i="90" s="1"/>
  <c r="K63" i="90"/>
  <c r="I64" i="90"/>
  <c r="J63" i="90"/>
  <c r="G36" i="91"/>
  <c r="J35" i="91"/>
  <c r="L35" i="91" s="1"/>
  <c r="I42" i="91"/>
  <c r="Q37" i="92"/>
  <c r="R36" i="92"/>
  <c r="T36" i="92" s="1"/>
  <c r="I64" i="92"/>
  <c r="K63" i="92"/>
  <c r="J63" i="92"/>
  <c r="Q38" i="91"/>
  <c r="R37" i="91"/>
  <c r="T37" i="91" s="1"/>
  <c r="M44" i="99" l="1"/>
  <c r="N44" i="99"/>
  <c r="F15" i="99" s="1"/>
  <c r="G15" i="99" s="1"/>
  <c r="D48" i="100"/>
  <c r="I44" i="101"/>
  <c r="J44" i="101"/>
  <c r="C47" i="101"/>
  <c r="A48" i="101"/>
  <c r="J46" i="99"/>
  <c r="I46" i="99"/>
  <c r="C53" i="100"/>
  <c r="A54" i="100"/>
  <c r="F44" i="101"/>
  <c r="G44" i="101"/>
  <c r="D48" i="102"/>
  <c r="I44" i="102"/>
  <c r="J44" i="102"/>
  <c r="D50" i="101"/>
  <c r="F46" i="102"/>
  <c r="G46" i="102"/>
  <c r="A49" i="102"/>
  <c r="C48" i="102"/>
  <c r="F44" i="100"/>
  <c r="G44" i="100"/>
  <c r="J44" i="100"/>
  <c r="I44" i="100"/>
  <c r="A47" i="99"/>
  <c r="C46" i="99"/>
  <c r="F47" i="99"/>
  <c r="G47" i="99"/>
  <c r="L63" i="90"/>
  <c r="L63" i="92"/>
  <c r="I43" i="91"/>
  <c r="Q39" i="91"/>
  <c r="R38" i="91"/>
  <c r="T38" i="91" s="1"/>
  <c r="K64" i="92"/>
  <c r="I65" i="92"/>
  <c r="J64" i="92"/>
  <c r="R37" i="92"/>
  <c r="T37" i="92" s="1"/>
  <c r="Q38" i="92"/>
  <c r="G37" i="91"/>
  <c r="J36" i="91"/>
  <c r="L36" i="91" s="1"/>
  <c r="I65" i="90"/>
  <c r="K64" i="90"/>
  <c r="J64" i="90"/>
  <c r="Q39" i="90"/>
  <c r="R38" i="90"/>
  <c r="T38" i="90" s="1"/>
  <c r="D51" i="101" l="1"/>
  <c r="F47" i="102"/>
  <c r="G47" i="102"/>
  <c r="G48" i="99"/>
  <c r="F48" i="99"/>
  <c r="G45" i="101"/>
  <c r="F45" i="101"/>
  <c r="C47" i="99"/>
  <c r="A48" i="99"/>
  <c r="I45" i="100"/>
  <c r="J45" i="100"/>
  <c r="J47" i="99"/>
  <c r="I47" i="99"/>
  <c r="C48" i="101"/>
  <c r="A49" i="101"/>
  <c r="I45" i="102"/>
  <c r="J45" i="102"/>
  <c r="D49" i="102"/>
  <c r="A55" i="100"/>
  <c r="C54" i="100"/>
  <c r="F45" i="100"/>
  <c r="G45" i="100"/>
  <c r="C49" i="102"/>
  <c r="A50" i="102"/>
  <c r="I45" i="101"/>
  <c r="J45" i="101"/>
  <c r="D49" i="100"/>
  <c r="L64" i="92"/>
  <c r="L64" i="90"/>
  <c r="Q40" i="90"/>
  <c r="R39" i="90"/>
  <c r="T39" i="90" s="1"/>
  <c r="K65" i="90"/>
  <c r="I66" i="90"/>
  <c r="J65" i="90"/>
  <c r="L65" i="90" s="1"/>
  <c r="G38" i="91"/>
  <c r="J37" i="91"/>
  <c r="L37" i="91" s="1"/>
  <c r="Q39" i="92"/>
  <c r="R38" i="92"/>
  <c r="T38" i="92" s="1"/>
  <c r="K65" i="92"/>
  <c r="I66" i="92"/>
  <c r="J65" i="92"/>
  <c r="L65" i="92" s="1"/>
  <c r="Q40" i="91"/>
  <c r="R39" i="91"/>
  <c r="T39" i="91" s="1"/>
  <c r="I44" i="91"/>
  <c r="A50" i="101" l="1"/>
  <c r="C49" i="101"/>
  <c r="I48" i="99"/>
  <c r="J48" i="99"/>
  <c r="G49" i="99"/>
  <c r="F49" i="99"/>
  <c r="A51" i="102"/>
  <c r="C50" i="102"/>
  <c r="G46" i="100"/>
  <c r="F46" i="100"/>
  <c r="J46" i="101"/>
  <c r="I46" i="101"/>
  <c r="J46" i="102"/>
  <c r="I46" i="102"/>
  <c r="D50" i="100"/>
  <c r="C55" i="100"/>
  <c r="A56" i="100"/>
  <c r="F46" i="101"/>
  <c r="G46" i="101"/>
  <c r="I46" i="100"/>
  <c r="J46" i="100"/>
  <c r="C48" i="99"/>
  <c r="A49" i="99"/>
  <c r="F48" i="102"/>
  <c r="G48" i="102"/>
  <c r="D52" i="101"/>
  <c r="D50" i="102"/>
  <c r="I45" i="91"/>
  <c r="Q41" i="91"/>
  <c r="R40" i="91"/>
  <c r="T40" i="91" s="1"/>
  <c r="K66" i="92"/>
  <c r="I67" i="92"/>
  <c r="J66" i="92"/>
  <c r="Q40" i="92"/>
  <c r="R39" i="92"/>
  <c r="T39" i="92" s="1"/>
  <c r="G39" i="91"/>
  <c r="J38" i="91"/>
  <c r="L38" i="91" s="1"/>
  <c r="I67" i="90"/>
  <c r="K66" i="90"/>
  <c r="J66" i="90"/>
  <c r="Q41" i="90"/>
  <c r="R40" i="90"/>
  <c r="T40" i="90" s="1"/>
  <c r="G47" i="101" l="1"/>
  <c r="F47" i="101"/>
  <c r="F49" i="102"/>
  <c r="G49" i="102"/>
  <c r="F47" i="100"/>
  <c r="G47" i="100"/>
  <c r="C56" i="100"/>
  <c r="A57" i="100"/>
  <c r="I47" i="101"/>
  <c r="J47" i="101"/>
  <c r="D51" i="102"/>
  <c r="C49" i="99"/>
  <c r="A50" i="99"/>
  <c r="C51" i="102"/>
  <c r="A52" i="102"/>
  <c r="D51" i="100"/>
  <c r="I47" i="102"/>
  <c r="J47" i="102"/>
  <c r="D53" i="101"/>
  <c r="F50" i="99"/>
  <c r="G50" i="99"/>
  <c r="I47" i="100"/>
  <c r="J47" i="100"/>
  <c r="J49" i="99"/>
  <c r="I49" i="99"/>
  <c r="C50" i="101"/>
  <c r="A51" i="101"/>
  <c r="L66" i="92"/>
  <c r="Q42" i="90"/>
  <c r="R41" i="90"/>
  <c r="T41" i="90" s="1"/>
  <c r="G40" i="91"/>
  <c r="J39" i="91"/>
  <c r="L39" i="91" s="1"/>
  <c r="L66" i="90"/>
  <c r="K67" i="90"/>
  <c r="J67" i="90"/>
  <c r="Q41" i="92"/>
  <c r="R40" i="92"/>
  <c r="T40" i="92" s="1"/>
  <c r="K67" i="92"/>
  <c r="J67" i="92"/>
  <c r="Q42" i="91"/>
  <c r="R41" i="91"/>
  <c r="T41" i="91" s="1"/>
  <c r="I46" i="91"/>
  <c r="J48" i="101" l="1"/>
  <c r="I48" i="101"/>
  <c r="A53" i="102"/>
  <c r="C52" i="102"/>
  <c r="G50" i="102"/>
  <c r="F50" i="102"/>
  <c r="J48" i="102"/>
  <c r="I48" i="102"/>
  <c r="C50" i="99"/>
  <c r="A51" i="99"/>
  <c r="I50" i="99"/>
  <c r="J50" i="99"/>
  <c r="I48" i="100"/>
  <c r="J48" i="100"/>
  <c r="F51" i="99"/>
  <c r="G51" i="99"/>
  <c r="F48" i="100"/>
  <c r="G48" i="100"/>
  <c r="C51" i="101"/>
  <c r="A52" i="101"/>
  <c r="D52" i="102"/>
  <c r="A58" i="100"/>
  <c r="C57" i="100"/>
  <c r="D54" i="101"/>
  <c r="G48" i="101"/>
  <c r="F48" i="101"/>
  <c r="D52" i="100"/>
  <c r="L67" i="92"/>
  <c r="L12" i="92" s="1"/>
  <c r="L67" i="90"/>
  <c r="L12" i="90" s="1"/>
  <c r="I47" i="91"/>
  <c r="Q42" i="92"/>
  <c r="R41" i="92"/>
  <c r="T41" i="92" s="1"/>
  <c r="Q43" i="91"/>
  <c r="R42" i="91"/>
  <c r="T42" i="91" s="1"/>
  <c r="G41" i="91"/>
  <c r="J40" i="91"/>
  <c r="L40" i="91" s="1"/>
  <c r="Q43" i="90"/>
  <c r="R42" i="90"/>
  <c r="T42" i="90" s="1"/>
  <c r="G49" i="101" l="1"/>
  <c r="F49" i="101"/>
  <c r="F52" i="99"/>
  <c r="G52" i="99"/>
  <c r="D53" i="100"/>
  <c r="I51" i="99"/>
  <c r="J51" i="99"/>
  <c r="J49" i="102"/>
  <c r="I49" i="102"/>
  <c r="D55" i="101"/>
  <c r="C58" i="100"/>
  <c r="A59" i="100"/>
  <c r="C53" i="102"/>
  <c r="A54" i="102"/>
  <c r="F49" i="100"/>
  <c r="G49" i="100"/>
  <c r="I49" i="100"/>
  <c r="J49" i="100"/>
  <c r="A53" i="101"/>
  <c r="C52" i="101"/>
  <c r="J49" i="101"/>
  <c r="I49" i="101"/>
  <c r="C51" i="99"/>
  <c r="A52" i="99"/>
  <c r="F51" i="102"/>
  <c r="G51" i="102"/>
  <c r="D53" i="102"/>
  <c r="G42" i="91"/>
  <c r="J41" i="91"/>
  <c r="L41" i="91" s="1"/>
  <c r="Q44" i="90"/>
  <c r="R43" i="90"/>
  <c r="T43" i="90" s="1"/>
  <c r="Q44" i="91"/>
  <c r="R43" i="91"/>
  <c r="T43" i="91" s="1"/>
  <c r="Q43" i="92"/>
  <c r="R42" i="92"/>
  <c r="T42" i="92" s="1"/>
  <c r="I48" i="91"/>
  <c r="F52" i="102" l="1"/>
  <c r="G52" i="102"/>
  <c r="F50" i="100"/>
  <c r="G50" i="100"/>
  <c r="A55" i="102"/>
  <c r="C54" i="102"/>
  <c r="F50" i="101"/>
  <c r="G50" i="101"/>
  <c r="D54" i="102"/>
  <c r="D56" i="101"/>
  <c r="C52" i="99"/>
  <c r="A53" i="99"/>
  <c r="I50" i="100"/>
  <c r="J50" i="100"/>
  <c r="A60" i="100"/>
  <c r="C59" i="100"/>
  <c r="C53" i="101"/>
  <c r="A54" i="101"/>
  <c r="I50" i="102"/>
  <c r="J50" i="102"/>
  <c r="I52" i="99"/>
  <c r="J52" i="99"/>
  <c r="D54" i="100"/>
  <c r="J50" i="101"/>
  <c r="I50" i="101"/>
  <c r="F53" i="99"/>
  <c r="G53" i="99"/>
  <c r="I49" i="91"/>
  <c r="Q44" i="92"/>
  <c r="R43" i="92"/>
  <c r="T43" i="92" s="1"/>
  <c r="Q45" i="91"/>
  <c r="R44" i="91"/>
  <c r="T44" i="91" s="1"/>
  <c r="Q45" i="90"/>
  <c r="R44" i="90"/>
  <c r="T44" i="90" s="1"/>
  <c r="G43" i="91"/>
  <c r="J42" i="91"/>
  <c r="L42" i="91" s="1"/>
  <c r="F54" i="99" l="1"/>
  <c r="G54" i="99"/>
  <c r="A54" i="99"/>
  <c r="C53" i="99"/>
  <c r="I51" i="101"/>
  <c r="J51" i="101"/>
  <c r="D57" i="101"/>
  <c r="D55" i="100"/>
  <c r="A56" i="102"/>
  <c r="C55" i="102"/>
  <c r="A61" i="100"/>
  <c r="C60" i="100"/>
  <c r="I51" i="100"/>
  <c r="J51" i="100"/>
  <c r="D55" i="102"/>
  <c r="I53" i="99"/>
  <c r="J53" i="99"/>
  <c r="F53" i="102"/>
  <c r="G53" i="102"/>
  <c r="G51" i="101"/>
  <c r="F51" i="101"/>
  <c r="J51" i="102"/>
  <c r="I51" i="102"/>
  <c r="F51" i="100"/>
  <c r="G51" i="100"/>
  <c r="C54" i="101"/>
  <c r="A55" i="101"/>
  <c r="G44" i="91"/>
  <c r="J43" i="91"/>
  <c r="L43" i="91" s="1"/>
  <c r="S45" i="90"/>
  <c r="Q46" i="90"/>
  <c r="R45" i="90"/>
  <c r="Q46" i="91"/>
  <c r="R45" i="91"/>
  <c r="Q45" i="92"/>
  <c r="R44" i="92"/>
  <c r="T44" i="92" s="1"/>
  <c r="I50" i="91"/>
  <c r="C55" i="101" l="1"/>
  <c r="A56" i="101"/>
  <c r="A57" i="102"/>
  <c r="C56" i="102"/>
  <c r="J52" i="102"/>
  <c r="I52" i="102"/>
  <c r="D58" i="101"/>
  <c r="C61" i="100"/>
  <c r="A62" i="100"/>
  <c r="I52" i="100"/>
  <c r="J52" i="100"/>
  <c r="D56" i="100"/>
  <c r="J54" i="99"/>
  <c r="I54" i="99"/>
  <c r="G52" i="100"/>
  <c r="F52" i="100"/>
  <c r="C54" i="99"/>
  <c r="A55" i="99"/>
  <c r="F52" i="101"/>
  <c r="G52" i="101"/>
  <c r="J52" i="101"/>
  <c r="I52" i="101"/>
  <c r="F54" i="102"/>
  <c r="G54" i="102"/>
  <c r="D56" i="102"/>
  <c r="G55" i="99"/>
  <c r="F55" i="99"/>
  <c r="T45" i="90"/>
  <c r="S45" i="92"/>
  <c r="Q46" i="92"/>
  <c r="R45" i="92"/>
  <c r="Q47" i="91"/>
  <c r="R46" i="91"/>
  <c r="I51" i="91"/>
  <c r="Q47" i="90"/>
  <c r="R46" i="90"/>
  <c r="S46" i="90"/>
  <c r="G45" i="91"/>
  <c r="J44" i="91"/>
  <c r="L44" i="91" s="1"/>
  <c r="F53" i="100" l="1"/>
  <c r="G53" i="100"/>
  <c r="D57" i="102"/>
  <c r="D57" i="100"/>
  <c r="C62" i="100"/>
  <c r="A63" i="100"/>
  <c r="D59" i="101"/>
  <c r="I53" i="102"/>
  <c r="J53" i="102"/>
  <c r="F55" i="102"/>
  <c r="G55" i="102"/>
  <c r="C55" i="99"/>
  <c r="A56" i="99"/>
  <c r="J55" i="99"/>
  <c r="I55" i="99"/>
  <c r="F56" i="99"/>
  <c r="G56" i="99"/>
  <c r="J53" i="100"/>
  <c r="I53" i="100"/>
  <c r="I53" i="101"/>
  <c r="J53" i="101"/>
  <c r="F53" i="101"/>
  <c r="G53" i="101"/>
  <c r="C57" i="102"/>
  <c r="A58" i="102"/>
  <c r="C56" i="101"/>
  <c r="A57" i="101"/>
  <c r="T45" i="92"/>
  <c r="T46" i="90"/>
  <c r="S47" i="90"/>
  <c r="Q48" i="90"/>
  <c r="R47" i="90"/>
  <c r="T47" i="90" s="1"/>
  <c r="G46" i="91"/>
  <c r="K45" i="91"/>
  <c r="J45" i="91"/>
  <c r="S45" i="91"/>
  <c r="T45" i="91" s="1"/>
  <c r="I52" i="91"/>
  <c r="Q48" i="91"/>
  <c r="S47" i="91"/>
  <c r="R47" i="91"/>
  <c r="T47" i="91" s="1"/>
  <c r="S46" i="91"/>
  <c r="T46" i="91" s="1"/>
  <c r="Q47" i="92"/>
  <c r="S46" i="92"/>
  <c r="R46" i="92"/>
  <c r="I56" i="99" l="1"/>
  <c r="J56" i="99"/>
  <c r="A58" i="101"/>
  <c r="C57" i="101"/>
  <c r="A59" i="102"/>
  <c r="C58" i="102"/>
  <c r="J54" i="102"/>
  <c r="I54" i="102"/>
  <c r="F54" i="101"/>
  <c r="G54" i="101"/>
  <c r="D58" i="102"/>
  <c r="F56" i="102"/>
  <c r="G56" i="102"/>
  <c r="C56" i="99"/>
  <c r="A57" i="99"/>
  <c r="C63" i="100"/>
  <c r="A64" i="100"/>
  <c r="J54" i="101"/>
  <c r="I54" i="101"/>
  <c r="D60" i="101"/>
  <c r="D58" i="100"/>
  <c r="I54" i="100"/>
  <c r="J54" i="100"/>
  <c r="G57" i="99"/>
  <c r="F57" i="99"/>
  <c r="G54" i="100"/>
  <c r="F54" i="100"/>
  <c r="L45" i="91"/>
  <c r="S48" i="91"/>
  <c r="Q49" i="91"/>
  <c r="R48" i="91"/>
  <c r="T48" i="91" s="1"/>
  <c r="I53" i="91"/>
  <c r="S47" i="92"/>
  <c r="Q48" i="92"/>
  <c r="R47" i="92"/>
  <c r="T46" i="92"/>
  <c r="G47" i="91"/>
  <c r="K46" i="91"/>
  <c r="J46" i="91"/>
  <c r="Q49" i="90"/>
  <c r="R48" i="90"/>
  <c r="S48" i="90"/>
  <c r="F57" i="102" l="1"/>
  <c r="G57" i="102"/>
  <c r="C64" i="100"/>
  <c r="A65" i="100"/>
  <c r="C65" i="100" s="1"/>
  <c r="D59" i="100"/>
  <c r="C57" i="99"/>
  <c r="A58" i="99"/>
  <c r="D59" i="102"/>
  <c r="F58" i="99"/>
  <c r="G58" i="99"/>
  <c r="F55" i="101"/>
  <c r="G55" i="101"/>
  <c r="G55" i="100"/>
  <c r="F55" i="100"/>
  <c r="I55" i="100"/>
  <c r="J55" i="100"/>
  <c r="I55" i="102"/>
  <c r="J55" i="102"/>
  <c r="D61" i="101"/>
  <c r="C59" i="102"/>
  <c r="A60" i="102"/>
  <c r="A59" i="101"/>
  <c r="C58" i="101"/>
  <c r="I55" i="101"/>
  <c r="J55" i="101"/>
  <c r="J57" i="99"/>
  <c r="I57" i="99"/>
  <c r="L46" i="91"/>
  <c r="G48" i="91"/>
  <c r="K47" i="91"/>
  <c r="J47" i="91"/>
  <c r="L47" i="91" s="1"/>
  <c r="T47" i="92"/>
  <c r="Q50" i="90"/>
  <c r="S49" i="90"/>
  <c r="R49" i="90"/>
  <c r="T48" i="90"/>
  <c r="Q49" i="92"/>
  <c r="R48" i="92"/>
  <c r="S48" i="92"/>
  <c r="I54" i="91"/>
  <c r="Q50" i="91"/>
  <c r="R49" i="91"/>
  <c r="S49" i="91"/>
  <c r="I58" i="99" l="1"/>
  <c r="J58" i="99"/>
  <c r="A59" i="99"/>
  <c r="C58" i="99"/>
  <c r="A61" i="102"/>
  <c r="C60" i="102"/>
  <c r="F56" i="101"/>
  <c r="G56" i="101"/>
  <c r="D60" i="102"/>
  <c r="D62" i="101"/>
  <c r="F58" i="102"/>
  <c r="G58" i="102"/>
  <c r="F59" i="99"/>
  <c r="G59" i="99"/>
  <c r="J56" i="102"/>
  <c r="I56" i="102"/>
  <c r="G56" i="100"/>
  <c r="F56" i="100"/>
  <c r="J56" i="101"/>
  <c r="I56" i="101"/>
  <c r="A60" i="101"/>
  <c r="C59" i="101"/>
  <c r="D60" i="100"/>
  <c r="J56" i="100"/>
  <c r="I56" i="100"/>
  <c r="T49" i="90"/>
  <c r="S50" i="91"/>
  <c r="Q51" i="91"/>
  <c r="R50" i="91"/>
  <c r="S49" i="92"/>
  <c r="Q50" i="92"/>
  <c r="R49" i="92"/>
  <c r="T49" i="92" s="1"/>
  <c r="T49" i="91"/>
  <c r="I55" i="91"/>
  <c r="T48" i="92"/>
  <c r="Q51" i="90"/>
  <c r="S50" i="90"/>
  <c r="R50" i="90"/>
  <c r="G49" i="91"/>
  <c r="K48" i="91"/>
  <c r="J48" i="91"/>
  <c r="L48" i="91" s="1"/>
  <c r="G60" i="99" l="1"/>
  <c r="F60" i="99"/>
  <c r="I57" i="100"/>
  <c r="J57" i="100"/>
  <c r="G57" i="101"/>
  <c r="F57" i="101"/>
  <c r="A62" i="102"/>
  <c r="C61" i="102"/>
  <c r="D61" i="100"/>
  <c r="F59" i="102"/>
  <c r="G59" i="102"/>
  <c r="A61" i="101"/>
  <c r="C60" i="101"/>
  <c r="C59" i="99"/>
  <c r="A60" i="99"/>
  <c r="D63" i="101"/>
  <c r="D61" i="102"/>
  <c r="I57" i="101"/>
  <c r="J57" i="101"/>
  <c r="F57" i="100"/>
  <c r="G57" i="100"/>
  <c r="J57" i="102"/>
  <c r="I57" i="102"/>
  <c r="I59" i="99"/>
  <c r="J59" i="99"/>
  <c r="T50" i="91"/>
  <c r="G50" i="91"/>
  <c r="K49" i="91"/>
  <c r="J49" i="91"/>
  <c r="T50" i="90"/>
  <c r="Q52" i="90"/>
  <c r="S51" i="90"/>
  <c r="R51" i="90"/>
  <c r="I56" i="91"/>
  <c r="S50" i="92"/>
  <c r="R50" i="92"/>
  <c r="Q51" i="92"/>
  <c r="S51" i="91"/>
  <c r="Q52" i="91"/>
  <c r="R51" i="91"/>
  <c r="T51" i="91" s="1"/>
  <c r="D64" i="101" l="1"/>
  <c r="A61" i="99"/>
  <c r="C60" i="99"/>
  <c r="I60" i="99"/>
  <c r="J60" i="99"/>
  <c r="D62" i="100"/>
  <c r="A63" i="102"/>
  <c r="C62" i="102"/>
  <c r="I58" i="100"/>
  <c r="J58" i="100"/>
  <c r="A62" i="101"/>
  <c r="C61" i="101"/>
  <c r="J58" i="102"/>
  <c r="I58" i="102"/>
  <c r="G58" i="101"/>
  <c r="F58" i="101"/>
  <c r="F58" i="100"/>
  <c r="G58" i="100"/>
  <c r="J58" i="101"/>
  <c r="I58" i="101"/>
  <c r="G60" i="102"/>
  <c r="F60" i="102"/>
  <c r="F61" i="99"/>
  <c r="G61" i="99"/>
  <c r="D62" i="102"/>
  <c r="T50" i="92"/>
  <c r="T51" i="90"/>
  <c r="L49" i="91"/>
  <c r="Q53" i="91"/>
  <c r="S52" i="91"/>
  <c r="R52" i="91"/>
  <c r="T52" i="91" s="1"/>
  <c r="S51" i="92"/>
  <c r="Q52" i="92"/>
  <c r="R51" i="92"/>
  <c r="I57" i="91"/>
  <c r="S52" i="90"/>
  <c r="Q53" i="90"/>
  <c r="R52" i="90"/>
  <c r="T52" i="90" s="1"/>
  <c r="G51" i="91"/>
  <c r="J50" i="91"/>
  <c r="K50" i="91"/>
  <c r="I59" i="102" l="1"/>
  <c r="J59" i="102"/>
  <c r="F62" i="99"/>
  <c r="G62" i="99"/>
  <c r="D65" i="101"/>
  <c r="D63" i="102"/>
  <c r="I59" i="100"/>
  <c r="J59" i="100"/>
  <c r="A64" i="102"/>
  <c r="C63" i="102"/>
  <c r="G59" i="100"/>
  <c r="F59" i="100"/>
  <c r="A63" i="101"/>
  <c r="C62" i="101"/>
  <c r="F61" i="102"/>
  <c r="G61" i="102"/>
  <c r="D63" i="100"/>
  <c r="I61" i="99"/>
  <c r="J61" i="99"/>
  <c r="I59" i="101"/>
  <c r="J59" i="101"/>
  <c r="C61" i="99"/>
  <c r="A62" i="99"/>
  <c r="F59" i="101"/>
  <c r="G59" i="101"/>
  <c r="T51" i="92"/>
  <c r="G52" i="91"/>
  <c r="K51" i="91"/>
  <c r="J51" i="91"/>
  <c r="L51" i="91" s="1"/>
  <c r="L50" i="91"/>
  <c r="S53" i="90"/>
  <c r="R53" i="90"/>
  <c r="I58" i="91"/>
  <c r="Q53" i="92"/>
  <c r="R52" i="92"/>
  <c r="S52" i="92"/>
  <c r="S53" i="91"/>
  <c r="R53" i="91"/>
  <c r="A64" i="101" l="1"/>
  <c r="C63" i="101"/>
  <c r="G60" i="100"/>
  <c r="F60" i="100"/>
  <c r="I60" i="100"/>
  <c r="J60" i="100"/>
  <c r="A65" i="102"/>
  <c r="C65" i="102" s="1"/>
  <c r="C64" i="102"/>
  <c r="F60" i="101"/>
  <c r="G60" i="101"/>
  <c r="C62" i="99"/>
  <c r="A63" i="99"/>
  <c r="I62" i="99"/>
  <c r="J62" i="99"/>
  <c r="G62" i="102"/>
  <c r="F62" i="102"/>
  <c r="D64" i="102"/>
  <c r="J60" i="101"/>
  <c r="I60" i="101"/>
  <c r="F63" i="99"/>
  <c r="G63" i="99"/>
  <c r="D64" i="100"/>
  <c r="J60" i="102"/>
  <c r="I60" i="102"/>
  <c r="T53" i="90"/>
  <c r="T12" i="90" s="1"/>
  <c r="C5" i="90" s="1"/>
  <c r="C6" i="90" s="1"/>
  <c r="T53" i="91"/>
  <c r="T12" i="91" s="1"/>
  <c r="T52" i="92"/>
  <c r="R53" i="92"/>
  <c r="S53" i="92"/>
  <c r="I59" i="91"/>
  <c r="G53" i="91"/>
  <c r="K52" i="91"/>
  <c r="J52" i="91"/>
  <c r="C63" i="99" l="1"/>
  <c r="A64" i="99"/>
  <c r="F64" i="99"/>
  <c r="G64" i="99"/>
  <c r="F61" i="101"/>
  <c r="G61" i="101"/>
  <c r="I61" i="100"/>
  <c r="J61" i="100"/>
  <c r="F63" i="102"/>
  <c r="G63" i="102"/>
  <c r="D65" i="100"/>
  <c r="I63" i="99"/>
  <c r="J63" i="99"/>
  <c r="J61" i="102"/>
  <c r="I61" i="102"/>
  <c r="I61" i="101"/>
  <c r="J61" i="101"/>
  <c r="F61" i="100"/>
  <c r="G61" i="100"/>
  <c r="D65" i="102"/>
  <c r="C64" i="101"/>
  <c r="A65" i="101"/>
  <c r="C65" i="101" s="1"/>
  <c r="L52" i="91"/>
  <c r="G54" i="91"/>
  <c r="K53" i="91"/>
  <c r="J53" i="91"/>
  <c r="L53" i="91" s="1"/>
  <c r="I60" i="91"/>
  <c r="T53" i="92"/>
  <c r="T12" i="92" s="1"/>
  <c r="C5" i="92" s="1"/>
  <c r="C6" i="92" s="1"/>
  <c r="I64" i="99" l="1"/>
  <c r="J64" i="99"/>
  <c r="F62" i="101"/>
  <c r="G62" i="101"/>
  <c r="J62" i="101"/>
  <c r="I62" i="101"/>
  <c r="I62" i="100"/>
  <c r="J62" i="100"/>
  <c r="F65" i="99"/>
  <c r="G65" i="99"/>
  <c r="J62" i="102"/>
  <c r="I62" i="102"/>
  <c r="F64" i="102"/>
  <c r="G65" i="102" s="1"/>
  <c r="G64" i="102"/>
  <c r="C64" i="99"/>
  <c r="A65" i="99"/>
  <c r="F62" i="100"/>
  <c r="G62" i="100"/>
  <c r="I61" i="91"/>
  <c r="G55" i="91"/>
  <c r="K54" i="91"/>
  <c r="J54" i="91"/>
  <c r="L54" i="91" s="1"/>
  <c r="F65" i="102" l="1"/>
  <c r="G63" i="101"/>
  <c r="F63" i="101"/>
  <c r="I63" i="102"/>
  <c r="J63" i="102"/>
  <c r="G66" i="99"/>
  <c r="F66" i="99"/>
  <c r="I63" i="100"/>
  <c r="J63" i="100"/>
  <c r="J63" i="101"/>
  <c r="I63" i="101"/>
  <c r="F63" i="100"/>
  <c r="G63" i="100"/>
  <c r="A66" i="99"/>
  <c r="C66" i="99" s="1"/>
  <c r="C65" i="99"/>
  <c r="I65" i="99"/>
  <c r="J65" i="99"/>
  <c r="I62" i="91"/>
  <c r="G56" i="91"/>
  <c r="K55" i="91"/>
  <c r="J55" i="91"/>
  <c r="L55" i="91" s="1"/>
  <c r="J66" i="99" l="1"/>
  <c r="F14" i="99" s="1"/>
  <c r="I66" i="99"/>
  <c r="G64" i="100"/>
  <c r="F64" i="100"/>
  <c r="G64" i="101"/>
  <c r="F64" i="101"/>
  <c r="J64" i="101"/>
  <c r="I64" i="101"/>
  <c r="I64" i="100"/>
  <c r="J64" i="100"/>
  <c r="J64" i="102"/>
  <c r="I64" i="102"/>
  <c r="G57" i="91"/>
  <c r="K56" i="91"/>
  <c r="J56" i="91"/>
  <c r="I63" i="91"/>
  <c r="I65" i="102" l="1"/>
  <c r="J65" i="102"/>
  <c r="F14" i="102" s="1"/>
  <c r="F65" i="100"/>
  <c r="G65" i="100"/>
  <c r="F14" i="100" s="1"/>
  <c r="I65" i="100"/>
  <c r="J65" i="100"/>
  <c r="F65" i="101"/>
  <c r="G65" i="101"/>
  <c r="I65" i="101"/>
  <c r="J65" i="101"/>
  <c r="H14" i="99"/>
  <c r="H17" i="99" s="1"/>
  <c r="G14" i="99"/>
  <c r="G17" i="99" s="1"/>
  <c r="F17" i="99"/>
  <c r="L56" i="91"/>
  <c r="I64" i="91"/>
  <c r="G58" i="91"/>
  <c r="K57" i="91"/>
  <c r="J57" i="91"/>
  <c r="B9" i="103" l="1"/>
  <c r="H4" i="100"/>
  <c r="F14" i="101"/>
  <c r="F17" i="100"/>
  <c r="H14" i="100"/>
  <c r="H17" i="100" s="1"/>
  <c r="G14" i="100"/>
  <c r="G17" i="100" s="1"/>
  <c r="H9" i="100" s="1"/>
  <c r="B10" i="103"/>
  <c r="H5" i="100"/>
  <c r="F17" i="102"/>
  <c r="H14" i="102"/>
  <c r="H17" i="102" s="1"/>
  <c r="G14" i="102"/>
  <c r="G17" i="102" s="1"/>
  <c r="H9" i="102" s="1"/>
  <c r="L57" i="91"/>
  <c r="G59" i="91"/>
  <c r="J58" i="91"/>
  <c r="K58" i="91"/>
  <c r="I65" i="91"/>
  <c r="B19" i="103" l="1"/>
  <c r="J13" i="101"/>
  <c r="H14" i="101"/>
  <c r="H17" i="101" s="1"/>
  <c r="G14" i="101"/>
  <c r="G17" i="101" s="1"/>
  <c r="H9" i="101" s="1"/>
  <c r="F17" i="101"/>
  <c r="H6" i="100"/>
  <c r="H8" i="100" s="1"/>
  <c r="B11" i="103"/>
  <c r="L58" i="91"/>
  <c r="G60" i="91"/>
  <c r="K59" i="91"/>
  <c r="J59" i="91"/>
  <c r="L59" i="91" s="1"/>
  <c r="I66" i="91"/>
  <c r="H11" i="101" l="1"/>
  <c r="B5" i="103" s="1"/>
  <c r="B14" i="103" s="1"/>
  <c r="H11" i="100"/>
  <c r="B4" i="103" s="1"/>
  <c r="H11" i="102"/>
  <c r="B6" i="103" s="1"/>
  <c r="B15" i="103" s="1"/>
  <c r="I67" i="91"/>
  <c r="G61" i="91"/>
  <c r="K60" i="91"/>
  <c r="J60" i="91"/>
  <c r="B3" i="103" l="1"/>
  <c r="B16" i="103"/>
  <c r="B17" i="103" s="1"/>
  <c r="L60" i="91"/>
  <c r="G62" i="91"/>
  <c r="K61" i="91"/>
  <c r="J61" i="91"/>
  <c r="L61" i="91" s="1"/>
  <c r="G63" i="91" l="1"/>
  <c r="K62" i="91"/>
  <c r="J62" i="91"/>
  <c r="L62" i="91" s="1"/>
  <c r="G64" i="91" l="1"/>
  <c r="J63" i="91"/>
  <c r="K63" i="91"/>
  <c r="L63" i="91" l="1"/>
  <c r="G65" i="91"/>
  <c r="K64" i="91"/>
  <c r="J64" i="91"/>
  <c r="L64" i="91" s="1"/>
  <c r="G66" i="91" l="1"/>
  <c r="K65" i="91"/>
  <c r="J65" i="91"/>
  <c r="L65" i="91" l="1"/>
  <c r="G67" i="91"/>
  <c r="K66" i="91"/>
  <c r="J66" i="91"/>
  <c r="L66" i="91" s="1"/>
  <c r="K67" i="91" l="1"/>
  <c r="J67" i="91"/>
  <c r="L67" i="91" s="1"/>
  <c r="L12" i="91" s="1"/>
  <c r="C5" i="91" s="1"/>
  <c r="D5" i="92" l="1"/>
  <c r="C6" i="91"/>
  <c r="C7" i="91"/>
  <c r="D6" i="92" l="1"/>
  <c r="C8" i="91"/>
</calcChain>
</file>

<file path=xl/sharedStrings.xml><?xml version="1.0" encoding="utf-8"?>
<sst xmlns="http://schemas.openxmlformats.org/spreadsheetml/2006/main" count="1662" uniqueCount="568">
  <si>
    <t>Question 3</t>
  </si>
  <si>
    <t>Question 5</t>
  </si>
  <si>
    <t>Question 2</t>
  </si>
  <si>
    <t>State any assumptions and show your work.</t>
  </si>
  <si>
    <t>Age</t>
  </si>
  <si>
    <t>Question 7</t>
  </si>
  <si>
    <t>None</t>
  </si>
  <si>
    <t>Count</t>
  </si>
  <si>
    <t>Benefit</t>
  </si>
  <si>
    <t>Long Term Disability</t>
  </si>
  <si>
    <t>In the Excel spreadsheet, you are provided with the following information:</t>
  </si>
  <si>
    <t>(i)              Defined Benefit Obligation (DBO) as of December 31, 20X1</t>
  </si>
  <si>
    <t>Year 4</t>
  </si>
  <si>
    <t>Year 5</t>
  </si>
  <si>
    <t>Year 6</t>
  </si>
  <si>
    <t>Year 7</t>
  </si>
  <si>
    <t>ABC has been contemplating expansion into Quebec due to particularly strong sales results in that province, but they are concerned about</t>
  </si>
  <si>
    <t>Coverage Level</t>
  </si>
  <si>
    <t>Monthly Rate</t>
  </si>
  <si>
    <t>Basic Life Insurance</t>
  </si>
  <si>
    <t>Fully insured</t>
  </si>
  <si>
    <t>2 times annual salary up to $500,000</t>
  </si>
  <si>
    <t>$0.463 per $1,000</t>
  </si>
  <si>
    <t>66.67% of monthly salary up to $5,000</t>
  </si>
  <si>
    <t>$2.55 per $100</t>
  </si>
  <si>
    <t>Health</t>
  </si>
  <si>
    <t>Funding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</si>
  <si>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Census data of the members as of December 31, 20X1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</si>
  <si>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Valuation assumptions</t>
    </r>
  </si>
  <si>
    <t>(ii)              Current service cost for 20X2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</si>
  <si>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Claim costs are $1,000 as of July 1, 20X3 (excluding expenses)</t>
    </r>
  </si>
  <si>
    <t>Change in DBO</t>
  </si>
  <si>
    <t>Year 20X2</t>
  </si>
  <si>
    <t>DBO at end of prior year</t>
  </si>
  <si>
    <t>Current service cost</t>
  </si>
  <si>
    <t>Interest expense</t>
  </si>
  <si>
    <t>Benefit payments from employer</t>
  </si>
  <si>
    <t>Remeasurements</t>
  </si>
  <si>
    <t>DBO at end of year</t>
  </si>
  <si>
    <t>No benefits offered to spouses</t>
  </si>
  <si>
    <t>Name</t>
  </si>
  <si>
    <t>Years of service</t>
  </si>
  <si>
    <t>Male/Female</t>
  </si>
  <si>
    <t>Member A</t>
  </si>
  <si>
    <t>Female</t>
  </si>
  <si>
    <t>Member B</t>
  </si>
  <si>
    <t>Male</t>
  </si>
  <si>
    <t>Year</t>
  </si>
  <si>
    <t>Medical trend</t>
  </si>
  <si>
    <t>0-49</t>
  </si>
  <si>
    <t>50-59</t>
  </si>
  <si>
    <t>60+</t>
  </si>
  <si>
    <t>Company ABC, operating in Saskatchewan, offers a Long-Term Disability (LTD) benefit whose premiums are employee-paid.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</si>
  <si>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Introducing a cost-of-living-adjustment (COLA) to the LTD benefit.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</si>
  <si>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Employee information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</si>
  <si>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Individual income tax table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</si>
  <si>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Insurer assumptions</t>
    </r>
  </si>
  <si>
    <t>(i)              The expected percentage increase in total monthly premiums paid to the insurer.</t>
  </si>
  <si>
    <t>Plan design information:</t>
  </si>
  <si>
    <t>Benefit amount</t>
  </si>
  <si>
    <t>60% of the first $4,500 of monthly earnings, plus 45% of the remainder</t>
  </si>
  <si>
    <t>65% of monthly earnings</t>
  </si>
  <si>
    <t>Primary offsets</t>
  </si>
  <si>
    <t>CPP disability</t>
  </si>
  <si>
    <t>Annual LTD incidence rate</t>
  </si>
  <si>
    <t>Benefit period</t>
  </si>
  <si>
    <t>Employee details:</t>
  </si>
  <si>
    <t>Income</t>
  </si>
  <si>
    <t>Individual income tax table:</t>
  </si>
  <si>
    <t>Tax rate</t>
  </si>
  <si>
    <t>Applied</t>
  </si>
  <si>
    <t>On income up to $20,000, plus</t>
  </si>
  <si>
    <t>On income beyond $20,000 to $40,000, plus</t>
  </si>
  <si>
    <t>On income beyond $40,000 to $70,000, plus</t>
  </si>
  <si>
    <t>On income beyond $70,000 to $120,000, plus</t>
  </si>
  <si>
    <t>On income beyond $120,000</t>
  </si>
  <si>
    <t>Insurer assumptions:</t>
  </si>
  <si>
    <t>Insurer’s target loss ratio (includes expenses and applicable premium taxes)</t>
  </si>
  <si>
    <t>Termination rates:</t>
  </si>
  <si>
    <t>See below (monthly up to 36 months, then annual):</t>
  </si>
  <si>
    <t>Duration</t>
  </si>
  <si>
    <t>Termination Rate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</si>
  <si>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</si>
  <si>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</si>
  <si>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</si>
  <si>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</si>
  <si>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</si>
  <si>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</si>
  <si>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</si>
  <si>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</si>
  <si>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</si>
  <si>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</si>
  <si>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</si>
  <si>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</si>
  <si>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</si>
  <si>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</si>
  <si>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</si>
  <si>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</si>
  <si>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</si>
  <si>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</si>
  <si>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</si>
  <si>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</si>
  <si>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</si>
  <si>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</si>
  <si>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</si>
  <si>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</si>
  <si>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</si>
  <si>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</si>
  <si>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</si>
  <si>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</si>
  <si>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</si>
  <si>
    <t>Month 36</t>
  </si>
  <si>
    <t>Years 8 and beyond</t>
  </si>
  <si>
    <t>Additionally:</t>
  </si>
  <si>
    <t>You are provided with the following information:</t>
  </si>
  <si>
    <t xml:space="preserve">(c)             (4 points) </t>
  </si>
  <si>
    <t>Other Information</t>
  </si>
  <si>
    <t>Earnings on Surplus</t>
  </si>
  <si>
    <t>Actual Net Investment Income</t>
  </si>
  <si>
    <t>Actual Premium Tax</t>
  </si>
  <si>
    <t>Expected Liabilities</t>
  </si>
  <si>
    <t>Expected Business Volume</t>
  </si>
  <si>
    <t>Valuation Figures</t>
  </si>
  <si>
    <t>Risk &amp; Profit Load</t>
  </si>
  <si>
    <t>Premium Tax</t>
  </si>
  <si>
    <t>Expense Load</t>
  </si>
  <si>
    <t>Commission Load</t>
  </si>
  <si>
    <t>Premium per $1000 Coverage</t>
  </si>
  <si>
    <t>Pricing Figures</t>
  </si>
  <si>
    <t xml:space="preserve">Operational risk: </t>
  </si>
  <si>
    <t xml:space="preserve">Insurance risk: </t>
  </si>
  <si>
    <t xml:space="preserve">Credit risk: </t>
  </si>
  <si>
    <t xml:space="preserve">Market risk: 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</si>
  <si>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Investment income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</si>
  <si>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Death claims</t>
    </r>
  </si>
  <si>
    <t>Question 4</t>
  </si>
  <si>
    <t>Investment Income</t>
  </si>
  <si>
    <t>Year 10</t>
  </si>
  <si>
    <t>Year 9</t>
  </si>
  <si>
    <t>Year 8</t>
  </si>
  <si>
    <t>Year 3</t>
  </si>
  <si>
    <t>Year 2</t>
  </si>
  <si>
    <t>Year 1</t>
  </si>
  <si>
    <t>Face amount - Lapse</t>
  </si>
  <si>
    <t>Face amount - Death</t>
  </si>
  <si>
    <t>Face amount - New</t>
  </si>
  <si>
    <t>Face amount at end of year</t>
  </si>
  <si>
    <t>Policy count - Lapse</t>
  </si>
  <si>
    <t>Policy count - Death</t>
  </si>
  <si>
    <t>Policy count - New</t>
  </si>
  <si>
    <t>Policy count at end of year</t>
  </si>
  <si>
    <t>Solvency Scenario</t>
  </si>
  <si>
    <t>Adverse Scenario</t>
  </si>
  <si>
    <t>Base Scenario</t>
  </si>
  <si>
    <t>Business volume inforce projections: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</si>
  <si>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Death benefits are paid at the end of the year in which death occurred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</si>
  <si>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Assume no tax</t>
    </r>
  </si>
  <si>
    <t>Scale factor for base solvency buffer (BSB)</t>
  </si>
  <si>
    <t>Available capital, grow with economic growth rate</t>
  </si>
  <si>
    <t>Surplus allowance as % of reserve</t>
  </si>
  <si>
    <t>Reserve factor per $1000 face amount</t>
  </si>
  <si>
    <t>Operating expense - variable per $1,000 face amount per year</t>
  </si>
  <si>
    <t>Operating expense - fixed per year</t>
  </si>
  <si>
    <t xml:space="preserve">Projected premium rate per year per $1,000 </t>
  </si>
  <si>
    <t>Investment return on investment portfolio</t>
  </si>
  <si>
    <t>Annual economic growth</t>
  </si>
  <si>
    <t>annual</t>
  </si>
  <si>
    <t>of insurance contract liability</t>
  </si>
  <si>
    <t>of investment portfolio value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</si>
  <si>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Actual benefit payments for 20X2 are equal to expected</t>
    </r>
  </si>
  <si>
    <t>Census data of the members as of December 31, 20X1</t>
  </si>
  <si>
    <t>(iii)              Calculate the result in (i) and (ii).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</si>
  <si>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Moving the LTD benefit from employee-paid to employer-paid.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</si>
  <si>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Adjusting the plan design to provide employees with a similar after-tax LTD benefit.</t>
    </r>
  </si>
  <si>
    <t>Company ABC has contacted you, a benefits consultant, to help assess the proposed plan design.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</si>
  <si>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ABC’s current and proposed LTD plan designs</t>
    </r>
  </si>
  <si>
    <t xml:space="preserve">(a)             (2 points)  Assess whether the proposed plan design adequately maintains employee LTD benefits on an after-tax basis. </t>
  </si>
  <si>
    <t>(b)             (6 points)  Calculate the following for the proposed plan:</t>
  </si>
  <si>
    <t>(ii)              The expected percentage increase in the insurer’s monthly premium rate, expressed on a per $100 of monthly benefit basis.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</si>
  <si>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believes that termination rates should be 25% higher.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</si>
  <si>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can earn an annual discount rate of 8.0%.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</si>
  <si>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would retain the insurer to administer a self-insured LTD plan. The insurer would charge 15.0% of paid claims.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</si>
  <si>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Applicable payroll taxes under a self-insured LTD arrangement would equal 5.0% of paid claims.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</si>
  <si>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Company ABC will apply a stress test of doubled incidence rates.</t>
    </r>
  </si>
  <si>
    <t>Maximum benefit per month</t>
  </si>
  <si>
    <t>Annual cost of living adjustment (COLA)</t>
  </si>
  <si>
    <t>Elimination period (months)</t>
  </si>
  <si>
    <t>Earlier of termination or age 65</t>
  </si>
  <si>
    <t>CPP monthly disability amount for all employees (in today's dollars):</t>
  </si>
  <si>
    <t>Annual CPP disability increases</t>
  </si>
  <si>
    <t>Timing for CPP disability approval</t>
  </si>
  <si>
    <t>36 months following the date of disability.</t>
  </si>
  <si>
    <t>Insurer discount rate (annual)</t>
  </si>
  <si>
    <t>In the Excel spreadsheet, you are provided with the key assumptions XYZ applies for LICAT.</t>
  </si>
  <si>
    <t xml:space="preserve">(c)             (3 points)  Calculate the total LICAT ratios for projection years 1 to 10 under each scenario. </t>
  </si>
  <si>
    <t>Assumptions:</t>
  </si>
  <si>
    <t>Base scenario</t>
  </si>
  <si>
    <t>Adverse scenario</t>
  </si>
  <si>
    <t>Solvency scenario</t>
  </si>
  <si>
    <t>(b)             (2 points)  Calculate the following projected income statements items for XYZ under each of the three scenarios for projection years 1 to 10, using the table</t>
  </si>
  <si>
    <t>provided in the Excel spreadsheet:</t>
  </si>
  <si>
    <t>$50,000</t>
  </si>
  <si>
    <t>$75,000</t>
  </si>
  <si>
    <t>$90,000</t>
  </si>
  <si>
    <t>$115,000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</si>
  <si>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There are 260 working days in a year.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</si>
  <si>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Employer payroll taxes equal 8.0% of salary.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</si>
  <si>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Employees are absent from work 10.0 days per year on average. Half are due to illness, in which employees receive 70% of their regular salary. Otherwise, no salary replacement is provided.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</si>
  <si>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Industry data indicates that an average 40-year old requires $1,250 of prescription drug coverage per year.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</si>
  <si>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Insurer’s target loss ratio: 90.0%</t>
    </r>
  </si>
  <si>
    <t>Question 6</t>
  </si>
  <si>
    <t>Investment portfolio value</t>
  </si>
  <si>
    <r>
      <t>·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XYZ has an internal target Life Insurance Capital Adequacy Test (LICAT) total ratio of 120%, while the minimum regulatory is 100%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</si>
  <si>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Gain/loss</t>
    </r>
  </si>
  <si>
    <t>Gain/Loss</t>
  </si>
  <si>
    <t>increased costs per employee driven from higher premium taxes and sales taxes.</t>
  </si>
  <si>
    <t>Administrative Service Only (ASO) with pooling</t>
  </si>
  <si>
    <t>•	Administration fee is 15% of the claim cost. 
•	The pooling charge per employee is $5/month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</si>
  <si>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 average annual salary per employee is</t>
    </r>
    <r>
      <rPr>
        <sz val="12"/>
        <color theme="1"/>
        <rFont val="Symbol"/>
        <family val="1"/>
        <charset val="2"/>
      </rPr>
      <t>: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</si>
  <si>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The average annual ASO health claim cost per employee is</t>
    </r>
    <r>
      <rPr>
        <sz val="12"/>
        <color theme="1"/>
        <rFont val="Symbol"/>
        <family val="1"/>
        <charset val="2"/>
      </rPr>
      <t>: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</si>
  <si>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Benefits plan information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</si>
  <si>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average annual salary per employee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</si>
  <si>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average annual ASO health claim cost per employee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</si>
  <si>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Plan provisions of the post-retirement benefits plan</t>
    </r>
  </si>
  <si>
    <t>For your client’s December 31, 20X2 year-end disclosures, the following assumption changes have been made:</t>
  </si>
  <si>
    <t xml:space="preserve">  - Effect of changes in demographic assumptions</t>
  </si>
  <si>
    <t xml:space="preserve">  - Effect of changes in financial assumptions</t>
  </si>
  <si>
    <t xml:space="preserve">  - Effect of experience adjustments</t>
  </si>
  <si>
    <t>(d)             (4 points)  Calculate the following:</t>
  </si>
  <si>
    <t>You are asked to prepare a Source of Earnings (SOE) report for the calendar year-end 20X1 for the closed block of fully-insured group life policies.</t>
  </si>
  <si>
    <t>In the Excel spreadsheet, you are provided with information gathered from the pricing and valuation teams.</t>
  </si>
  <si>
    <t xml:space="preserve">(d)             (2 points)  Analyze whether Company ABC should proceed in self-insuring the LTD benefit. </t>
  </si>
  <si>
    <t xml:space="preserve">State any assumptions and show your work. </t>
  </si>
  <si>
    <t>You are preparing the FCT filing for XYZ.</t>
  </si>
  <si>
    <t>In the Excel spreadsheet, you are provided with assumptions for three projection scenarios.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</si>
  <si>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Premiums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</si>
  <si>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Change in reserve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</si>
  <si>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2"/>
        <color rgb="FF000000"/>
        <rFont val="Times New Roman"/>
        <family val="1"/>
      </rPr>
      <t>Expenses</t>
    </r>
  </si>
  <si>
    <t>Death claims</t>
  </si>
  <si>
    <t>Change in Reserve</t>
  </si>
  <si>
    <t>Expenses</t>
  </si>
  <si>
    <t>Premiums</t>
  </si>
  <si>
    <t>Company ABC, a manufacturing firm located in Alberta, has identified employee absenteeism as an increasingly significant corporate risk.</t>
  </si>
  <si>
    <t>300% of the absent employee’s daily salary in productivity.</t>
  </si>
  <si>
    <t>The costs of Company ABC’s absenteeism is measured in lost productivity. A third-party consulting firm has estimated that for every day absent, Company ABC is losing</t>
  </si>
  <si>
    <t>Company ABC’s employee distribution is as follows:</t>
  </si>
  <si>
    <t xml:space="preserve">The third-party consultant has proposed that Company ABC’s lost productivity could be reduced from 300% to 75% if an employee’s absence is covered by another employee. </t>
  </si>
  <si>
    <t>Doing so would require the employee to be paid overtime, equal to 150% of salary.</t>
  </si>
  <si>
    <t xml:space="preserve">(a)             (3 points) Recommend whether Company ABC should adopt the third-party consultant’s proposal. </t>
  </si>
  <si>
    <t>The third-party consultant has estimated that providing employees with a 50-50 cost-share of prescription drugs will reduce employee illness by one day a year on average.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</si>
  <si>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Utilization trend due to aging: 2.0% per year (e.g. someone age 41 claims 2.0% more than age 40)</t>
    </r>
  </si>
  <si>
    <t>(c)             (2 points) Evaluate whether Company ABC should offer the prescription drug coverage with reference to your recommendation in part (a).</t>
  </si>
  <si>
    <t>Service Month</t>
  </si>
  <si>
    <t>Payment Month</t>
  </si>
  <si>
    <t>Paid Amount</t>
  </si>
  <si>
    <t>January 20X1</t>
  </si>
  <si>
    <t>February 20X1</t>
  </si>
  <si>
    <t>March 20X1</t>
  </si>
  <si>
    <t>April 20X1</t>
  </si>
  <si>
    <t>May 20X1</t>
  </si>
  <si>
    <t>June 20X1</t>
  </si>
  <si>
    <t>July 20X1</t>
  </si>
  <si>
    <t>August 20X1</t>
  </si>
  <si>
    <t>September 20X1</t>
  </si>
  <si>
    <t>October 20X1</t>
  </si>
  <si>
    <t>November 20X1</t>
  </si>
  <si>
    <t>December 20X1</t>
  </si>
  <si>
    <t>January 20X2</t>
  </si>
  <si>
    <t>February 20X2</t>
  </si>
  <si>
    <t>March 20X2</t>
  </si>
  <si>
    <t>Question 1</t>
  </si>
  <si>
    <t>Show your work.</t>
  </si>
  <si>
    <t>Your boss has asked you to help in the calculation of incurred but not reported (IBNR) reserves.</t>
  </si>
  <si>
    <t>(e)             (5 points)  Calculate average completion factors as of 12/31/20X1 for each lag using the following averaging methods:</t>
  </si>
  <si>
    <t>Plan provisions of the post-retirement benefits plan</t>
  </si>
  <si>
    <t>Eligibility provision:</t>
  </si>
  <si>
    <t>Age 65</t>
  </si>
  <si>
    <t>Dependent coverage:</t>
  </si>
  <si>
    <t>Benefit termination age:</t>
  </si>
  <si>
    <t>Age 90</t>
  </si>
  <si>
    <t>Cost-sharing:</t>
  </si>
  <si>
    <t>100% employer-paid</t>
  </si>
  <si>
    <t>Status</t>
  </si>
  <si>
    <t>Active</t>
  </si>
  <si>
    <t>Retired</t>
  </si>
  <si>
    <t>Valuation assumptions:</t>
  </si>
  <si>
    <t>Assumption</t>
  </si>
  <si>
    <t>Basis</t>
  </si>
  <si>
    <t>Discount rate:</t>
  </si>
  <si>
    <t>per year</t>
  </si>
  <si>
    <t>Claims costs:</t>
  </si>
  <si>
    <t>at all ages, annual, excluding expenses</t>
  </si>
  <si>
    <t>Expenses:</t>
  </si>
  <si>
    <t>of claims</t>
  </si>
  <si>
    <t>Retirement age:</t>
  </si>
  <si>
    <t>100% at age 65; no one retires prior to 65.</t>
  </si>
  <si>
    <t>Medical trend rate:</t>
  </si>
  <si>
    <t>See table below</t>
  </si>
  <si>
    <t>annual rates</t>
  </si>
  <si>
    <t>Withdrawal/termination rates for active employees not fully eligible to retire:</t>
  </si>
  <si>
    <t>Mortality:</t>
  </si>
  <si>
    <t>Other assumptions:</t>
  </si>
  <si>
    <t xml:space="preserve"> - Ignore taxes</t>
  </si>
  <si>
    <t xml:space="preserve"> - Benefits are paid uniformly throughout the year</t>
  </si>
  <si>
    <t>Medical trend:</t>
  </si>
  <si>
    <t>5+</t>
  </si>
  <si>
    <t>Withdrawal/termination rates for active employees not fully eligible:</t>
  </si>
  <si>
    <t>Annual rate</t>
  </si>
  <si>
    <t>Mortality rates by age:</t>
  </si>
  <si>
    <t>In the Excel spreadsheet, you are provided historical claims data paid through 5/31/20X2.</t>
  </si>
  <si>
    <t>(i)              3 of last 3</t>
  </si>
  <si>
    <t>(ii)              4 of last 6</t>
  </si>
  <si>
    <t>(c)             (2 points)  Calculate ABC’s additional per employee annual costs if they proceed with expansion into Quebec.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</si>
  <si>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Medical trend is 4.0% per year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</si>
  <si>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active employee is still an active employee as of December 31, 20X2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</si>
  <si>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retiree is still alive as of December 31, 20X2</t>
    </r>
  </si>
  <si>
    <t>(e)             (3 points)  Create a reconciliation of the DBO for the year 20X2 by completing the following table:</t>
  </si>
  <si>
    <t>(i)              Write down the formula of the expected profit contained in the SOE report.</t>
  </si>
  <si>
    <t>(ii)              Write down the formula of the experience gains or losses contained in the SOE report.</t>
  </si>
  <si>
    <t>Expected Return on Assets</t>
  </si>
  <si>
    <t>Required Interest on Liability</t>
  </si>
  <si>
    <t>Actual Premium Receivable</t>
  </si>
  <si>
    <t>Actual Incurred Claims</t>
  </si>
  <si>
    <t>Actual Commission Payable</t>
  </si>
  <si>
    <t>Actual Non-Commission Expenses</t>
  </si>
  <si>
    <t>Actual Required Interest on Liabilities</t>
  </si>
  <si>
    <t>Effective Tax Rate</t>
  </si>
  <si>
    <t>Basis Change Implemented in 20X1</t>
  </si>
  <si>
    <t xml:space="preserve">Due to budget constraints, employee salaries have not kept pace with inflation and employee retention is becoming a concern. To help address this issue, </t>
  </si>
  <si>
    <t>Company ABC is proposing:</t>
  </si>
  <si>
    <t>Current Design</t>
  </si>
  <si>
    <t>Proposed Design</t>
  </si>
  <si>
    <t>Employee Count</t>
  </si>
  <si>
    <t>Base Year</t>
  </si>
  <si>
    <t>Average annual salary</t>
  </si>
  <si>
    <t>Diversification/Aggregation Credit: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</si>
  <si>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effective discount rate is 4.0% per year on December 31, 20X2</t>
    </r>
  </si>
  <si>
    <t>(iv)              Create an SOE report in accordance with the CIA standards.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</si>
  <si>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Assume no benefit on termination or lapse</t>
    </r>
  </si>
  <si>
    <t>Annual - Manitoba</t>
  </si>
  <si>
    <t>Life Premiums</t>
  </si>
  <si>
    <t>This already includes premium tax</t>
  </si>
  <si>
    <t>LTD Premiums</t>
  </si>
  <si>
    <t>ASO-Claim</t>
  </si>
  <si>
    <t>ASO-Fee</t>
  </si>
  <si>
    <t>Applicable taxes are shown below:</t>
  </si>
  <si>
    <t>Province</t>
  </si>
  <si>
    <t>Insured Benefits (Life and LTD)</t>
  </si>
  <si>
    <t>ASO health plan with pooling</t>
  </si>
  <si>
    <t>Premium tax charged on premiums</t>
  </si>
  <si>
    <t>Claims</t>
  </si>
  <si>
    <t>Fees</t>
  </si>
  <si>
    <t>Manitoba</t>
  </si>
  <si>
    <t>n/a</t>
  </si>
  <si>
    <t>Quebec</t>
  </si>
  <si>
    <t>Provincial Sales tax charged on premium</t>
  </si>
  <si>
    <t>Annual paid per employee</t>
  </si>
  <si>
    <t>Annual cost per employee</t>
  </si>
  <si>
    <t>Difference</t>
  </si>
  <si>
    <t>Alternatively</t>
  </si>
  <si>
    <t>Basis change implemented in 20X1</t>
  </si>
  <si>
    <t>Effective tax rate</t>
  </si>
  <si>
    <t>Actual Required interest on liabilities</t>
  </si>
  <si>
    <t>Actual non-commission expenses</t>
  </si>
  <si>
    <t>Actual Commission payable</t>
  </si>
  <si>
    <t>Actual Incurred claims</t>
  </si>
  <si>
    <t>Actual Premium receivable</t>
  </si>
  <si>
    <t>Required interest on liability</t>
  </si>
  <si>
    <t>Expected Return on assets</t>
  </si>
  <si>
    <t>Net Income After Tax</t>
  </si>
  <si>
    <t>Less: Taxes (35% of Pre tax income)</t>
  </si>
  <si>
    <t>Net Income Before Tax</t>
  </si>
  <si>
    <t>Earnings on buinesss before Taxes</t>
  </si>
  <si>
    <t>Change in Best Estimated Assumptions and Other Changes</t>
  </si>
  <si>
    <t>Experience Gains &amp; Losses</t>
  </si>
  <si>
    <t>Impact of New Business</t>
  </si>
  <si>
    <t>Expected Profit on In-force buinesss</t>
  </si>
  <si>
    <t>iv)</t>
  </si>
  <si>
    <t>12/31/ 20X1</t>
  </si>
  <si>
    <t>Total</t>
  </si>
  <si>
    <t>iii)</t>
  </si>
  <si>
    <t>Gain on premium tax</t>
  </si>
  <si>
    <t>Gain on expense</t>
  </si>
  <si>
    <t>Gain on commission</t>
  </si>
  <si>
    <t>Gain on Investment Income</t>
  </si>
  <si>
    <t>Experience G/L on claims</t>
  </si>
  <si>
    <t>Experience Gains on Inforce business</t>
  </si>
  <si>
    <t>ii)</t>
  </si>
  <si>
    <t>Gain on interest</t>
  </si>
  <si>
    <t>Net risk and profit margin</t>
  </si>
  <si>
    <t>Premium</t>
  </si>
  <si>
    <t>Expected profit on inforce business</t>
  </si>
  <si>
    <t>i)</t>
  </si>
  <si>
    <t>This design provides employees with a similar (slightly better, in fact) after-tax LTD benefit.</t>
  </si>
  <si>
    <t>The benefit design is a 65% benefit to a maximum of $8,000 per month.</t>
  </si>
  <si>
    <t>Benefit (after tax)</t>
  </si>
  <si>
    <t>Benefit (before tax)</t>
  </si>
  <si>
    <t>Salary</t>
  </si>
  <si>
    <t>Step 2: Determine everyone's LTD benefit on an after-tax basis for the proposed plan and assess the difference.</t>
  </si>
  <si>
    <t>Step 1: Determine everyone's LTD benefit on an after-tax basis for the current plan</t>
  </si>
  <si>
    <t>Year 26</t>
  </si>
  <si>
    <t>Year 25</t>
  </si>
  <si>
    <t>Year 24</t>
  </si>
  <si>
    <t>Year 23</t>
  </si>
  <si>
    <t>Year 22</t>
  </si>
  <si>
    <t>Year 21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</si>
  <si>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</si>
  <si>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</si>
  <si>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</si>
  <si>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</si>
  <si>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</si>
  <si>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</si>
  <si>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</si>
  <si>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</si>
  <si>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</si>
  <si>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</si>
  <si>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PV of Benefit</t>
  </si>
  <si>
    <t>Exp. CPP offset</t>
  </si>
  <si>
    <t>Exp. Benefit</t>
  </si>
  <si>
    <t>Survival</t>
  </si>
  <si>
    <t>Termination</t>
  </si>
  <si>
    <t>Age of claimant</t>
  </si>
  <si>
    <t>Period</t>
  </si>
  <si>
    <t>PV of Cost</t>
  </si>
  <si>
    <t>=PV of costs * incidence rate * number employees / target loss ratio</t>
  </si>
  <si>
    <t>Insurer's required premium:</t>
  </si>
  <si>
    <t>Assume member becomes disabled mid-year. Therefore, LTD does not commence until 1 year after their current age.</t>
  </si>
  <si>
    <t>See work to the right --&gt;</t>
  </si>
  <si>
    <t>Current age</t>
  </si>
  <si>
    <t>Employee Cohort 2</t>
  </si>
  <si>
    <t>Employee Cohort 1</t>
  </si>
  <si>
    <t>Premium rate per $100 of benefit:</t>
  </si>
  <si>
    <t>Total premium required (monthly):</t>
  </si>
  <si>
    <t>Total volume insured (monthly):</t>
  </si>
  <si>
    <t>ANSWER:</t>
  </si>
  <si>
    <t>Increase in premium rate:</t>
  </si>
  <si>
    <t>Increase in premiums paid to insurer:</t>
  </si>
  <si>
    <t>=PV of costs * doubled incidence rate * number employees * (1 + expenses + payroll)</t>
  </si>
  <si>
    <t>As premium is lower, self-insure the benefit.</t>
  </si>
  <si>
    <t>Prior:</t>
  </si>
  <si>
    <t>part(c)</t>
  </si>
  <si>
    <t>Scale</t>
  </si>
  <si>
    <t>Operational Risk</t>
  </si>
  <si>
    <t>Insurance Risk</t>
  </si>
  <si>
    <t>Market Risk</t>
  </si>
  <si>
    <t>Required</t>
  </si>
  <si>
    <t>Total Ratio</t>
  </si>
  <si>
    <t>BSB</t>
  </si>
  <si>
    <t>Surplus Allowance</t>
  </si>
  <si>
    <t>Available Capital</t>
  </si>
  <si>
    <t>Capital Projection</t>
  </si>
  <si>
    <t>part(b)</t>
  </si>
  <si>
    <t>Expense</t>
  </si>
  <si>
    <t>Increase in Reserve</t>
  </si>
  <si>
    <t>Death Claims</t>
  </si>
  <si>
    <t>Income Statement</t>
  </si>
  <si>
    <t>Reserve</t>
  </si>
  <si>
    <t>P10</t>
  </si>
  <si>
    <t>P9</t>
  </si>
  <si>
    <t>P8</t>
  </si>
  <si>
    <t>P7</t>
  </si>
  <si>
    <t>P6</t>
  </si>
  <si>
    <t>P5</t>
  </si>
  <si>
    <t>P4</t>
  </si>
  <si>
    <t>P3</t>
  </si>
  <si>
    <t>P2</t>
  </si>
  <si>
    <t>P1</t>
  </si>
  <si>
    <t>Solvency</t>
  </si>
  <si>
    <t>Adverse</t>
  </si>
  <si>
    <t>Assuming diversification adjustment = 0</t>
  </si>
  <si>
    <t>Operational Risk: Flat $2 million.</t>
  </si>
  <si>
    <t>Insurance Risk: 10% of insurance contract liabilities.</t>
  </si>
  <si>
    <t>Credit Risk: 0%</t>
  </si>
  <si>
    <t>Market Risk: 12% of investment portfolio value.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</si>
  <si>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Assume no benefits on termination or lapse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</si>
  <si>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XYZ has an internal target Life Insurance Capital Adequacy Test (LICAT) total ratio of 120%, while the minimum regulatory is 100%</t>
    </r>
  </si>
  <si>
    <t>If overtime is uniform, there is a clear preference to adopt the proposal. But if the overtime is first offered up to the most senior employees, it's not so clear.</t>
  </si>
  <si>
    <t>The answer will depend on how the candidate treats the distribution of overtime.</t>
  </si>
  <si>
    <t>Step 3: Make determination</t>
  </si>
  <si>
    <t>* Employer is saving 30% of income (plus payroll taxes) paid to individuals on a sick day + 100% of income (plus payroll) for other reasons.</t>
  </si>
  <si>
    <t>--&gt; if overtime is senior staff</t>
  </si>
  <si>
    <t>--&gt; if overtime is distributed accross all ages</t>
  </si>
  <si>
    <t>Overtime (if taken by Senior staff)</t>
  </si>
  <si>
    <t>Overtime (if uniformly offered)</t>
  </si>
  <si>
    <t>Lost productivity</t>
  </si>
  <si>
    <t>Saved payrol*</t>
  </si>
  <si>
    <t>Average salary</t>
  </si>
  <si>
    <t>Cost of ten days absent</t>
  </si>
  <si>
    <t>Step 2: Determine the cost of 10 days absent (proposed)</t>
  </si>
  <si>
    <t>Step 1: Determine the cost of 10 days absent (current)</t>
  </si>
  <si>
    <t>offering the drug plan would work out to a win. See next tab for example.</t>
  </si>
  <si>
    <t xml:space="preserve">However, the answer will depend on how overtime was treated in part a. If, for example, the candidate concluded to NOT adopt the overtime, </t>
  </si>
  <si>
    <t>Because 50% of the cost of drugs is greater than the savings generated, the drug plan should NOT be offered.</t>
  </si>
  <si>
    <t>Step 5: Make determination</t>
  </si>
  <si>
    <t>--&gt; employer share</t>
  </si>
  <si>
    <t>--&gt; no sales taxes in Alberta</t>
  </si>
  <si>
    <t>Drug Costs</t>
  </si>
  <si>
    <t>Step 4: Determine drug costs:</t>
  </si>
  <si>
    <t>Step 3: Determine maximum budget:</t>
  </si>
  <si>
    <t xml:space="preserve">Overtime (if uniform) </t>
  </si>
  <si>
    <t>Cost of nine days absent</t>
  </si>
  <si>
    <t>Step 2: Determine cost of 9 days absent (1 less sick day)</t>
  </si>
  <si>
    <t>Step 1: Cost of 10 days absent from (a):</t>
  </si>
  <si>
    <t>However, the answer will depend on how overtime was treated in part a.</t>
  </si>
  <si>
    <t>Because 50% of the cost of drugs is less than the savings generated, the drug plan should be offered.</t>
  </si>
  <si>
    <t>Mid-year</t>
  </si>
  <si>
    <t>Cumulative continuation</t>
  </si>
  <si>
    <t>Cumulative Survival</t>
  </si>
  <si>
    <t>Mortality</t>
  </si>
  <si>
    <t>Discount</t>
  </si>
  <si>
    <t>Claim cost</t>
  </si>
  <si>
    <t>Service Cost = PV of Payment at Retirement / Attribution Period</t>
  </si>
  <si>
    <t>DBO = PV of Payment at Retirement x Attribution</t>
  </si>
  <si>
    <t>PV of Payment at Retirement</t>
  </si>
  <si>
    <t>Total years of service at retirement</t>
  </si>
  <si>
    <t>Years to retirement</t>
  </si>
  <si>
    <t>Current years of service</t>
  </si>
  <si>
    <t>See Other Assumption tab</t>
  </si>
  <si>
    <t>Termination rates</t>
  </si>
  <si>
    <t>Medical Trend</t>
  </si>
  <si>
    <t>Mortality rates</t>
  </si>
  <si>
    <t>Discount rate</t>
  </si>
  <si>
    <t>Termination age</t>
  </si>
  <si>
    <t>Retirement age</t>
  </si>
  <si>
    <t>Claim Costs with Fees</t>
  </si>
  <si>
    <t>Claim costs</t>
  </si>
  <si>
    <t>Calculate the Defined Benefit Obligation as at December 31, 20X1 and the Service Cost for 20X2.</t>
  </si>
  <si>
    <t>SC</t>
  </si>
  <si>
    <t>--&gt; loss due to experience (i.e. members not decrementing)</t>
  </si>
  <si>
    <t>Isolated Loss/(Gain)</t>
  </si>
  <si>
    <t>Actual DBO at December 31, 20X2</t>
  </si>
  <si>
    <t>Expected DBO at December 31, 20X2</t>
  </si>
  <si>
    <t>Interest Expense</t>
  </si>
  <si>
    <t>Insurer fees</t>
  </si>
  <si>
    <t>Reconciliation of DBO</t>
  </si>
  <si>
    <t>&lt;--includes first year trend</t>
  </si>
  <si>
    <t>Calculate the Defined Benefit Obligation as at December 31, 20X2 and reconcile liability</t>
  </si>
  <si>
    <t>--&gt; alternatively, candidate can simply prorate the prior DBO for the change in claims costs, i.e. (see below):</t>
  </si>
  <si>
    <t>--&gt; gain due to claims cost change (in effect, the gain due to the fact claims did not inflate as expected)</t>
  </si>
  <si>
    <t>--&gt; gain due to trend rates moving to 4% flat and discount rate to 4%</t>
  </si>
  <si>
    <t>Check:</t>
  </si>
  <si>
    <t>Closing DBO (calculated)</t>
  </si>
  <si>
    <t>Effect of experience adjustments</t>
  </si>
  <si>
    <t>Effect of changes in financial assumptions</t>
  </si>
  <si>
    <t>Effect of changes in demographic assumptions</t>
  </si>
  <si>
    <t>Actuarial Loss/(Gain)</t>
  </si>
  <si>
    <t>Expected Benefit Payments (from question c)</t>
  </si>
  <si>
    <t>Interest Cost (from question b)</t>
  </si>
  <si>
    <t>Service Cost (from question b)</t>
  </si>
  <si>
    <t>Opening DBO (from question b)</t>
  </si>
  <si>
    <t>financial items</t>
  </si>
  <si>
    <t>Trend and Discount Rates</t>
  </si>
  <si>
    <t>demographic item</t>
  </si>
  <si>
    <t>Claim Costs</t>
  </si>
  <si>
    <t>experience item</t>
  </si>
  <si>
    <t>No decrements</t>
  </si>
  <si>
    <t>Claim Triangle</t>
  </si>
  <si>
    <t>Lag</t>
  </si>
  <si>
    <t>Cummulative</t>
  </si>
  <si>
    <t>Development Factors</t>
  </si>
  <si>
    <t>Average</t>
  </si>
  <si>
    <t>CFs</t>
  </si>
  <si>
    <t>3 of 3</t>
  </si>
  <si>
    <t>4 of 6</t>
  </si>
  <si>
    <t>N/A</t>
  </si>
  <si>
    <t>Expected Benefit Payments (from part d)</t>
  </si>
  <si>
    <t>Service Cost (from part d)</t>
  </si>
  <si>
    <t>Opening DBO (from part 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</si>
</sst>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%"/>
    <numFmt numFmtId="168" formatCode="0.00000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&quot;$&quot;#,##0;[Red]\-&quot;$&quot;#,##0"/>
    <numFmt numFmtId="172" formatCode="&quot;$&quot;#,##0.00;[Red]\-&quot;$&quot;#,##0.00"/>
    <numFmt numFmtId="173" formatCode="_-&quot;$&quot;* #,##0_-;\-&quot;$&quot;* #,##0_-;_-&quot;$&quot;* &quot;-&quot;??_-;_-@_-"/>
    <numFmt numFmtId="174" formatCode="_-* #,##0_-;\-* #,##0_-;_-* &quot;-&quot;??_-;_-@_-"/>
    <numFmt numFmtId="175" formatCode="&quot;$&quot;#,##0.00;\-&quot;$&quot;#,##0.00"/>
    <numFmt numFmtId="176" formatCode="&quot;$&quot;#,##0.00"/>
    <numFmt numFmtId="177" formatCode="&quot;$&quot;#,##0"/>
    <numFmt numFmtId="178" formatCode="0.0000"/>
    <numFmt numFmtId="179" formatCode="&quot;$&quot;#,##0.00_);[Red]\(&quot;$&quot;#,##0.00\)"/>
    <numFmt numFmtId="180" formatCode="0.0"/>
    <numFmt numFmtId="181" formatCode="&quot;$&quot;#,##0.000_);[Red]\(&quot;$&quot;#,##0.000\)"/>
    <numFmt numFmtId="182" formatCode="#,##0.00_ ;[Red]\-#,##0.00\ "/>
    <numFmt numFmtId="183" formatCode="0.000"/>
    <numFmt numFmtId="184" formatCode="&quot;$&quot;#,##0.00000"/>
    <numFmt numFmtId="185" formatCode="#,##0.0000"/>
    <numFmt numFmtId="186" formatCode="#,##0.000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sz val="12"/>
      <color rgb="FF000000"/>
      <name val="Symbol"/>
      <family val="1"/>
      <charset val="2"/>
    </font>
    <font>
      <b/>
      <sz val="12"/>
      <color rgb="FF000000"/>
      <name val="Times New Roman"/>
      <family val="1"/>
    </font>
    <font>
      <u/>
      <sz val="12"/>
      <color theme="1"/>
      <name val="Times New Roman"/>
      <family val="1"/>
    </font>
    <font>
      <sz val="11"/>
      <color rgb="FF000000"/>
      <name val="Calibri"/>
      <family val="2"/>
      <scheme val="minor"/>
    </font>
    <font>
      <sz val="11"/>
      <color theme="1"/>
      <name val="SwissReSans"/>
      <family val="2"/>
    </font>
    <font>
      <b/>
      <sz val="12"/>
      <color theme="1"/>
      <name val="Calibri"/>
      <family val="2"/>
      <scheme val="minor"/>
    </font>
    <font>
      <sz val="7"/>
      <color rgb="FF000000"/>
      <name val="Times New Roman"/>
      <family val="1"/>
    </font>
    <font>
      <sz val="11"/>
      <color theme="1"/>
      <name val="Times New Roman"/>
      <family val="1"/>
    </font>
    <font>
      <b/>
      <u/>
      <sz val="12"/>
      <color theme="1"/>
      <name val="Times New Roman"/>
      <family val="1"/>
    </font>
    <font>
      <sz val="11"/>
      <name val="Calibri"/>
      <family val="2"/>
      <scheme val="minor"/>
    </font>
    <font>
      <sz val="12"/>
      <name val="Symbol"/>
      <family val="1"/>
      <charset val="2"/>
    </font>
    <font>
      <sz val="7"/>
      <name val="Times New Roman"/>
      <family val="1"/>
    </font>
    <font>
      <sz val="12"/>
      <name val="Times New Roman"/>
      <family val="1"/>
    </font>
    <font>
      <sz val="11"/>
      <color rgb="FF0070C0"/>
      <name val="Calibri"/>
      <family val="2"/>
      <scheme val="minor"/>
    </font>
    <font>
      <sz val="12"/>
      <color theme="4"/>
      <name val="Times New Roman"/>
      <family val="1"/>
    </font>
    <font>
      <b/>
      <sz val="12"/>
      <name val="Times New Roman"/>
      <family val="1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7" fillId="0" borderId="0"/>
    <xf numFmtId="165" fontId="8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9" fillId="0" borderId="0"/>
    <xf numFmtId="0" fontId="10" fillId="0" borderId="0"/>
    <xf numFmtId="0" fontId="12" fillId="0" borderId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52">
    <xf numFmtId="0" fontId="0" fillId="0" borderId="0" xfId="0"/>
    <xf numFmtId="0" fontId="5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quotePrefix="1" applyFont="1" applyFill="1" applyAlignment="1">
      <alignment horizontal="left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left" vertical="center" indent="4"/>
    </xf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0" fontId="14" fillId="2" borderId="0" xfId="0" applyFont="1" applyFill="1" applyAlignment="1">
      <alignment horizontal="left" vertical="center" indent="7"/>
    </xf>
    <xf numFmtId="0" fontId="3" fillId="0" borderId="8" xfId="0" applyFont="1" applyBorder="1" applyAlignment="1">
      <alignment horizontal="right" vertical="center" wrapText="1"/>
    </xf>
    <xf numFmtId="0" fontId="0" fillId="0" borderId="8" xfId="0" applyBorder="1"/>
    <xf numFmtId="0" fontId="14" fillId="2" borderId="0" xfId="0" applyFont="1" applyFill="1" applyAlignment="1">
      <alignment horizontal="left" vertical="center" indent="5"/>
    </xf>
    <xf numFmtId="0" fontId="11" fillId="0" borderId="8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10" fontId="0" fillId="0" borderId="0" xfId="0" applyNumberFormat="1" applyAlignment="1">
      <alignment horizontal="center"/>
    </xf>
    <xf numFmtId="0" fontId="0" fillId="0" borderId="11" xfId="0" applyBorder="1" applyAlignment="1">
      <alignment horizontal="center"/>
    </xf>
    <xf numFmtId="167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horizontal="right"/>
    </xf>
    <xf numFmtId="0" fontId="3" fillId="0" borderId="8" xfId="0" applyFont="1" applyBorder="1"/>
    <xf numFmtId="9" fontId="3" fillId="0" borderId="8" xfId="0" applyNumberFormat="1" applyFont="1" applyBorder="1"/>
    <xf numFmtId="0" fontId="15" fillId="0" borderId="0" xfId="0" applyFont="1" applyAlignment="1">
      <alignment vertical="center"/>
    </xf>
    <xf numFmtId="0" fontId="4" fillId="0" borderId="8" xfId="0" applyFont="1" applyBorder="1" applyAlignment="1">
      <alignment vertical="center"/>
    </xf>
    <xf numFmtId="171" fontId="4" fillId="0" borderId="8" xfId="0" applyNumberFormat="1" applyFont="1" applyBorder="1" applyAlignment="1">
      <alignment vertical="center"/>
    </xf>
    <xf numFmtId="10" fontId="4" fillId="0" borderId="8" xfId="0" applyNumberFormat="1" applyFont="1" applyBorder="1" applyAlignment="1">
      <alignment horizontal="right" vertical="center"/>
    </xf>
    <xf numFmtId="172" fontId="4" fillId="0" borderId="8" xfId="0" applyNumberFormat="1" applyFont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 indent="7"/>
    </xf>
    <xf numFmtId="171" fontId="3" fillId="0" borderId="8" xfId="0" applyNumberFormat="1" applyFont="1" applyBorder="1"/>
    <xf numFmtId="173" fontId="3" fillId="0" borderId="8" xfId="0" applyNumberFormat="1" applyFont="1" applyBorder="1"/>
    <xf numFmtId="0" fontId="11" fillId="0" borderId="8" xfId="0" applyFont="1" applyBorder="1"/>
    <xf numFmtId="0" fontId="11" fillId="0" borderId="0" xfId="0" applyFont="1"/>
    <xf numFmtId="174" fontId="21" fillId="0" borderId="8" xfId="12" applyNumberFormat="1" applyFont="1" applyBorder="1"/>
    <xf numFmtId="0" fontId="21" fillId="0" borderId="8" xfId="0" applyFont="1" applyBorder="1"/>
    <xf numFmtId="3" fontId="21" fillId="0" borderId="8" xfId="0" applyNumberFormat="1" applyFont="1" applyBorder="1"/>
    <xf numFmtId="0" fontId="11" fillId="0" borderId="8" xfId="0" applyFont="1" applyBorder="1" applyAlignment="1">
      <alignment horizontal="right"/>
    </xf>
    <xf numFmtId="0" fontId="3" fillId="0" borderId="0" xfId="0" applyFont="1" applyAlignment="1">
      <alignment horizontal="left" vertical="center" indent="5"/>
    </xf>
    <xf numFmtId="174" fontId="3" fillId="0" borderId="0" xfId="12" applyNumberFormat="1" applyFont="1"/>
    <xf numFmtId="0" fontId="11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13" fillId="0" borderId="0" xfId="0" applyFont="1" applyAlignment="1">
      <alignment horizontal="left" vertical="center" indent="4"/>
    </xf>
    <xf numFmtId="0" fontId="3" fillId="0" borderId="8" xfId="0" applyFont="1" applyBorder="1" applyAlignment="1">
      <alignment vertical="center"/>
    </xf>
    <xf numFmtId="171" fontId="3" fillId="0" borderId="8" xfId="0" applyNumberFormat="1" applyFont="1" applyBorder="1" applyAlignment="1">
      <alignment horizontal="right" vertical="center" wrapText="1"/>
    </xf>
    <xf numFmtId="10" fontId="3" fillId="0" borderId="8" xfId="14" applyNumberFormat="1" applyFont="1" applyBorder="1" applyAlignment="1">
      <alignment horizontal="right" vertical="center" wrapText="1"/>
    </xf>
    <xf numFmtId="175" fontId="3" fillId="0" borderId="8" xfId="11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177" fontId="3" fillId="0" borderId="8" xfId="0" applyNumberFormat="1" applyFont="1" applyBorder="1" applyAlignment="1">
      <alignment horizontal="right" vertical="center"/>
    </xf>
    <xf numFmtId="9" fontId="3" fillId="0" borderId="8" xfId="0" applyNumberFormat="1" applyFont="1" applyBorder="1" applyAlignment="1">
      <alignment horizontal="right" vertical="center"/>
    </xf>
    <xf numFmtId="10" fontId="3" fillId="0" borderId="8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horizontal="right" vertical="center"/>
    </xf>
    <xf numFmtId="0" fontId="11" fillId="0" borderId="8" xfId="0" applyFont="1" applyBorder="1" applyAlignment="1">
      <alignment vertical="center"/>
    </xf>
    <xf numFmtId="9" fontId="4" fillId="0" borderId="8" xfId="0" applyNumberFormat="1" applyFont="1" applyBorder="1" applyAlignment="1">
      <alignment vertical="center"/>
    </xf>
    <xf numFmtId="0" fontId="17" fillId="0" borderId="15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0" fillId="0" borderId="11" xfId="0" applyBorder="1" applyAlignment="1">
      <alignment horizontal="left"/>
    </xf>
    <xf numFmtId="0" fontId="23" fillId="0" borderId="11" xfId="0" applyFont="1" applyBorder="1" applyAlignment="1">
      <alignment horizontal="left"/>
    </xf>
    <xf numFmtId="0" fontId="23" fillId="0" borderId="0" xfId="0" applyFont="1"/>
    <xf numFmtId="0" fontId="23" fillId="0" borderId="6" xfId="0" applyFont="1" applyBorder="1"/>
    <xf numFmtId="0" fontId="0" fillId="0" borderId="11" xfId="0" applyBorder="1"/>
    <xf numFmtId="0" fontId="22" fillId="0" borderId="0" xfId="0" applyFont="1"/>
    <xf numFmtId="0" fontId="24" fillId="0" borderId="0" xfId="0" applyFont="1" applyAlignment="1">
      <alignment horizontal="left" vertical="center" indent="4"/>
    </xf>
    <xf numFmtId="0" fontId="3" fillId="0" borderId="14" xfId="0" applyFont="1" applyBorder="1"/>
    <xf numFmtId="171" fontId="3" fillId="0" borderId="14" xfId="0" applyNumberFormat="1" applyFont="1" applyBorder="1"/>
    <xf numFmtId="0" fontId="2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164" fontId="0" fillId="0" borderId="0" xfId="0" applyNumberFormat="1" applyAlignment="1">
      <alignment horizontal="left"/>
    </xf>
    <xf numFmtId="0" fontId="13" fillId="0" borderId="0" xfId="0" applyFont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3" fillId="0" borderId="2" xfId="0" quotePrefix="1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176" fontId="0" fillId="0" borderId="0" xfId="0" applyNumberFormat="1"/>
    <xf numFmtId="178" fontId="0" fillId="0" borderId="0" xfId="0" applyNumberFormat="1"/>
    <xf numFmtId="0" fontId="2" fillId="0" borderId="0" xfId="0" applyFont="1" applyAlignment="1">
      <alignment horizontal="left"/>
    </xf>
    <xf numFmtId="0" fontId="2" fillId="0" borderId="8" xfId="0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10" fontId="2" fillId="0" borderId="15" xfId="0" applyNumberFormat="1" applyFont="1" applyBorder="1" applyAlignment="1">
      <alignment horizontal="center"/>
    </xf>
    <xf numFmtId="0" fontId="2" fillId="0" borderId="10" xfId="0" applyFont="1" applyBorder="1"/>
    <xf numFmtId="0" fontId="0" fillId="0" borderId="8" xfId="0" applyBorder="1" applyAlignment="1">
      <alignment vertical="center"/>
    </xf>
    <xf numFmtId="10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164" fontId="0" fillId="0" borderId="8" xfId="0" applyNumberFormat="1" applyBorder="1" applyAlignment="1">
      <alignment horizontal="center" vertical="center" wrapText="1"/>
    </xf>
    <xf numFmtId="9" fontId="0" fillId="0" borderId="8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0" fillId="0" borderId="12" xfId="0" applyBorder="1"/>
    <xf numFmtId="0" fontId="0" fillId="0" borderId="11" xfId="0" quotePrefix="1" applyBorder="1" applyAlignment="1">
      <alignment vertical="center"/>
    </xf>
    <xf numFmtId="0" fontId="23" fillId="0" borderId="13" xfId="0" quotePrefix="1" applyFont="1" applyBorder="1" applyAlignment="1">
      <alignment vertical="center"/>
    </xf>
    <xf numFmtId="0" fontId="23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16" xfId="0" applyBorder="1" applyAlignment="1">
      <alignment horizontal="center"/>
    </xf>
    <xf numFmtId="10" fontId="0" fillId="0" borderId="12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10" fontId="0" fillId="0" borderId="7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167" fontId="0" fillId="0" borderId="7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168" fontId="0" fillId="0" borderId="7" xfId="0" applyNumberFormat="1" applyBorder="1" applyAlignment="1">
      <alignment horizontal="center"/>
    </xf>
    <xf numFmtId="0" fontId="3" fillId="0" borderId="0" xfId="0" quotePrefix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9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164" fontId="12" fillId="0" borderId="8" xfId="0" applyNumberFormat="1" applyFont="1" applyBorder="1" applyAlignment="1">
      <alignment horizontal="left" vertical="center" wrapText="1"/>
    </xf>
    <xf numFmtId="164" fontId="12" fillId="0" borderId="8" xfId="0" applyNumberFormat="1" applyFont="1" applyBorder="1" applyAlignment="1">
      <alignment horizontal="center" vertical="center" wrapText="1"/>
    </xf>
    <xf numFmtId="9" fontId="12" fillId="0" borderId="8" xfId="0" applyNumberFormat="1" applyFont="1" applyBorder="1" applyAlignment="1">
      <alignment horizontal="center" vertical="center" wrapText="1"/>
    </xf>
    <xf numFmtId="10" fontId="12" fillId="0" borderId="8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10" fontId="12" fillId="0" borderId="8" xfId="0" applyNumberFormat="1" applyFont="1" applyBorder="1" applyAlignment="1">
      <alignment horizontal="left" vertical="center"/>
    </xf>
    <xf numFmtId="10" fontId="12" fillId="0" borderId="8" xfId="0" applyNumberFormat="1" applyFont="1" applyBorder="1" applyAlignment="1">
      <alignment horizontal="left" vertical="center" wrapText="1"/>
    </xf>
    <xf numFmtId="0" fontId="19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179" fontId="0" fillId="0" borderId="0" xfId="0" applyNumberFormat="1"/>
    <xf numFmtId="164" fontId="0" fillId="0" borderId="0" xfId="0" applyNumberFormat="1"/>
    <xf numFmtId="0" fontId="2" fillId="0" borderId="8" xfId="0" applyFont="1" applyBorder="1"/>
    <xf numFmtId="10" fontId="0" fillId="0" borderId="0" xfId="0" applyNumberFormat="1"/>
    <xf numFmtId="167" fontId="0" fillId="0" borderId="0" xfId="0" applyNumberFormat="1"/>
    <xf numFmtId="0" fontId="0" fillId="0" borderId="6" xfId="0" applyBorder="1"/>
    <xf numFmtId="176" fontId="0" fillId="0" borderId="6" xfId="0" applyNumberFormat="1" applyBorder="1"/>
    <xf numFmtId="176" fontId="2" fillId="3" borderId="0" xfId="0" applyNumberFormat="1" applyFont="1" applyFill="1"/>
    <xf numFmtId="0" fontId="27" fillId="0" borderId="0" xfId="0" applyFont="1"/>
    <xf numFmtId="179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3" fontId="4" fillId="0" borderId="8" xfId="0" applyNumberFormat="1" applyFont="1" applyBorder="1" applyAlignment="1">
      <alignment vertical="center"/>
    </xf>
    <xf numFmtId="167" fontId="3" fillId="0" borderId="0" xfId="14" applyNumberFormat="1" applyFont="1"/>
    <xf numFmtId="171" fontId="2" fillId="0" borderId="14" xfId="0" applyNumberFormat="1" applyFont="1" applyBorder="1"/>
    <xf numFmtId="0" fontId="11" fillId="0" borderId="14" xfId="0" applyFont="1" applyBorder="1"/>
    <xf numFmtId="171" fontId="0" fillId="0" borderId="14" xfId="0" applyNumberFormat="1" applyBorder="1"/>
    <xf numFmtId="171" fontId="2" fillId="0" borderId="16" xfId="0" applyNumberFormat="1" applyFont="1" applyBorder="1"/>
    <xf numFmtId="0" fontId="11" fillId="0" borderId="16" xfId="0" applyFont="1" applyBorder="1"/>
    <xf numFmtId="0" fontId="0" fillId="0" borderId="14" xfId="0" applyBorder="1"/>
    <xf numFmtId="171" fontId="0" fillId="0" borderId="16" xfId="0" applyNumberFormat="1" applyBorder="1"/>
    <xf numFmtId="0" fontId="3" fillId="0" borderId="16" xfId="0" applyFont="1" applyBorder="1"/>
    <xf numFmtId="0" fontId="0" fillId="0" borderId="16" xfId="0" applyBorder="1"/>
    <xf numFmtId="171" fontId="0" fillId="0" borderId="15" xfId="0" applyNumberFormat="1" applyBorder="1"/>
    <xf numFmtId="0" fontId="3" fillId="0" borderId="15" xfId="0" applyFont="1" applyBorder="1"/>
    <xf numFmtId="0" fontId="3" fillId="0" borderId="0" xfId="0" applyFont="1" applyAlignment="1">
      <alignment horizontal="right"/>
    </xf>
    <xf numFmtId="171" fontId="28" fillId="0" borderId="0" xfId="0" applyNumberFormat="1" applyFont="1"/>
    <xf numFmtId="172" fontId="28" fillId="0" borderId="0" xfId="0" applyNumberFormat="1" applyFont="1" applyAlignment="1">
      <alignment vertical="center"/>
    </xf>
    <xf numFmtId="171" fontId="28" fillId="0" borderId="0" xfId="0" applyNumberFormat="1" applyFont="1" applyAlignment="1">
      <alignment vertical="center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10" fontId="12" fillId="0" borderId="8" xfId="14" applyNumberFormat="1" applyFont="1" applyBorder="1" applyAlignment="1">
      <alignment horizontal="center" vertical="center"/>
    </xf>
    <xf numFmtId="167" fontId="0" fillId="0" borderId="8" xfId="14" applyNumberFormat="1" applyFont="1" applyBorder="1" applyAlignment="1">
      <alignment horizontal="right"/>
    </xf>
    <xf numFmtId="177" fontId="0" fillId="0" borderId="8" xfId="0" applyNumberFormat="1" applyBorder="1" applyAlignment="1">
      <alignment horizontal="right"/>
    </xf>
    <xf numFmtId="0" fontId="2" fillId="0" borderId="0" xfId="0" applyFont="1" applyAlignment="1">
      <alignment horizontal="right"/>
    </xf>
    <xf numFmtId="0" fontId="0" fillId="4" borderId="0" xfId="0" applyFill="1" applyAlignment="1">
      <alignment horizontal="left"/>
    </xf>
    <xf numFmtId="0" fontId="2" fillId="4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164" fontId="0" fillId="5" borderId="0" xfId="0" applyNumberFormat="1" applyFill="1"/>
    <xf numFmtId="164" fontId="0" fillId="4" borderId="0" xfId="0" applyNumberFormat="1" applyFill="1"/>
    <xf numFmtId="178" fontId="0" fillId="4" borderId="0" xfId="0" applyNumberFormat="1" applyFill="1"/>
    <xf numFmtId="0" fontId="0" fillId="5" borderId="0" xfId="0" applyFill="1" applyAlignment="1">
      <alignment horizontal="right"/>
    </xf>
    <xf numFmtId="180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178" fontId="0" fillId="5" borderId="0" xfId="0" applyNumberFormat="1" applyFill="1"/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 wrapText="1"/>
    </xf>
    <xf numFmtId="0" fontId="30" fillId="0" borderId="0" xfId="0" quotePrefix="1" applyFont="1" applyAlignment="1">
      <alignment horizontal="right"/>
    </xf>
    <xf numFmtId="0" fontId="31" fillId="0" borderId="0" xfId="0" applyFont="1"/>
    <xf numFmtId="164" fontId="2" fillId="4" borderId="0" xfId="0" applyNumberFormat="1" applyFont="1" applyFill="1"/>
    <xf numFmtId="0" fontId="0" fillId="6" borderId="0" xfId="0" applyFill="1"/>
    <xf numFmtId="164" fontId="0" fillId="6" borderId="0" xfId="0" applyNumberFormat="1" applyFill="1"/>
    <xf numFmtId="0" fontId="30" fillId="6" borderId="0" xfId="0" applyFont="1" applyFill="1"/>
    <xf numFmtId="10" fontId="0" fillId="0" borderId="3" xfId="0" applyNumberFormat="1" applyBorder="1"/>
    <xf numFmtId="0" fontId="0" fillId="0" borderId="18" xfId="0" applyBorder="1"/>
    <xf numFmtId="1" fontId="0" fillId="0" borderId="0" xfId="0" applyNumberFormat="1"/>
    <xf numFmtId="181" fontId="2" fillId="0" borderId="4" xfId="0" applyNumberFormat="1" applyFont="1" applyBorder="1"/>
    <xf numFmtId="0" fontId="0" fillId="0" borderId="19" xfId="0" applyBorder="1"/>
    <xf numFmtId="164" fontId="2" fillId="0" borderId="20" xfId="0" applyNumberFormat="1" applyFont="1" applyBorder="1"/>
    <xf numFmtId="0" fontId="0" fillId="0" borderId="21" xfId="0" applyBorder="1"/>
    <xf numFmtId="0" fontId="0" fillId="0" borderId="20" xfId="0" applyBorder="1"/>
    <xf numFmtId="0" fontId="0" fillId="0" borderId="22" xfId="0" applyBorder="1"/>
    <xf numFmtId="0" fontId="2" fillId="0" borderId="23" xfId="0" applyFont="1" applyBorder="1"/>
    <xf numFmtId="164" fontId="0" fillId="3" borderId="0" xfId="0" applyNumberFormat="1" applyFill="1"/>
    <xf numFmtId="0" fontId="2" fillId="3" borderId="0" xfId="0" applyFont="1" applyFill="1" applyAlignment="1">
      <alignment horizontal="right"/>
    </xf>
    <xf numFmtId="180" fontId="0" fillId="0" borderId="0" xfId="0" applyNumberFormat="1"/>
    <xf numFmtId="9" fontId="2" fillId="3" borderId="4" xfId="14" applyFont="1" applyFill="1" applyBorder="1" applyAlignment="1"/>
    <xf numFmtId="0" fontId="2" fillId="3" borderId="19" xfId="0" applyFont="1" applyFill="1" applyBorder="1"/>
    <xf numFmtId="0" fontId="0" fillId="3" borderId="0" xfId="0" applyFill="1" applyAlignment="1">
      <alignment horizontal="right"/>
    </xf>
    <xf numFmtId="10" fontId="2" fillId="3" borderId="3" xfId="0" applyNumberFormat="1" applyFont="1" applyFill="1" applyBorder="1"/>
    <xf numFmtId="0" fontId="0" fillId="3" borderId="0" xfId="0" applyFill="1"/>
    <xf numFmtId="0" fontId="2" fillId="3" borderId="0" xfId="0" applyFont="1" applyFill="1"/>
    <xf numFmtId="181" fontId="2" fillId="3" borderId="1" xfId="0" applyNumberFormat="1" applyFont="1" applyFill="1" applyBorder="1"/>
    <xf numFmtId="164" fontId="2" fillId="3" borderId="1" xfId="0" applyNumberFormat="1" applyFont="1" applyFill="1" applyBorder="1"/>
    <xf numFmtId="0" fontId="32" fillId="0" borderId="7" xfId="0" applyFont="1" applyBorder="1"/>
    <xf numFmtId="0" fontId="32" fillId="0" borderId="6" xfId="0" applyFont="1" applyBorder="1"/>
    <xf numFmtId="0" fontId="32" fillId="0" borderId="13" xfId="0" applyFont="1" applyBorder="1"/>
    <xf numFmtId="171" fontId="0" fillId="0" borderId="12" xfId="0" applyNumberFormat="1" applyBorder="1"/>
    <xf numFmtId="171" fontId="0" fillId="0" borderId="0" xfId="0" applyNumberFormat="1"/>
    <xf numFmtId="171" fontId="2" fillId="0" borderId="12" xfId="0" applyNumberFormat="1" applyFont="1" applyBorder="1"/>
    <xf numFmtId="171" fontId="2" fillId="0" borderId="0" xfId="0" applyNumberFormat="1" applyFont="1"/>
    <xf numFmtId="0" fontId="2" fillId="0" borderId="11" xfId="0" applyFont="1" applyBorder="1"/>
    <xf numFmtId="167" fontId="0" fillId="0" borderId="12" xfId="14" applyNumberFormat="1" applyFont="1" applyBorder="1"/>
    <xf numFmtId="167" fontId="0" fillId="0" borderId="0" xfId="14" applyNumberFormat="1" applyFont="1" applyBorder="1"/>
    <xf numFmtId="173" fontId="32" fillId="0" borderId="12" xfId="0" applyNumberFormat="1" applyFont="1" applyBorder="1"/>
    <xf numFmtId="173" fontId="32" fillId="0" borderId="0" xfId="0" applyNumberFormat="1" applyFont="1"/>
    <xf numFmtId="0" fontId="32" fillId="0" borderId="11" xfId="0" applyFont="1" applyBorder="1"/>
    <xf numFmtId="3" fontId="32" fillId="0" borderId="12" xfId="0" applyNumberFormat="1" applyFont="1" applyBorder="1"/>
    <xf numFmtId="3" fontId="32" fillId="0" borderId="0" xfId="0" applyNumberFormat="1" applyFont="1"/>
    <xf numFmtId="0" fontId="32" fillId="0" borderId="0" xfId="0" applyFont="1"/>
    <xf numFmtId="3" fontId="32" fillId="0" borderId="10" xfId="0" applyNumberFormat="1" applyFont="1" applyBorder="1"/>
    <xf numFmtId="3" fontId="32" fillId="0" borderId="24" xfId="0" applyNumberFormat="1" applyFont="1" applyBorder="1"/>
    <xf numFmtId="0" fontId="32" fillId="0" borderId="25" xfId="0" applyFont="1" applyBorder="1"/>
    <xf numFmtId="0" fontId="32" fillId="0" borderId="10" xfId="0" applyFont="1" applyBorder="1" applyAlignment="1">
      <alignment horizontal="right"/>
    </xf>
    <xf numFmtId="0" fontId="32" fillId="0" borderId="24" xfId="0" applyFont="1" applyBorder="1" applyAlignment="1">
      <alignment horizontal="right"/>
    </xf>
    <xf numFmtId="0" fontId="32" fillId="0" borderId="24" xfId="0" applyFont="1" applyBorder="1"/>
    <xf numFmtId="0" fontId="33" fillId="0" borderId="0" xfId="0" applyFont="1"/>
    <xf numFmtId="0" fontId="12" fillId="0" borderId="0" xfId="0" applyFont="1" applyAlignment="1">
      <alignment horizontal="left" vertical="center" indent="5"/>
    </xf>
    <xf numFmtId="0" fontId="12" fillId="0" borderId="0" xfId="0" applyFont="1" applyAlignment="1">
      <alignment vertical="center"/>
    </xf>
    <xf numFmtId="0" fontId="0" fillId="0" borderId="7" xfId="0" applyBorder="1"/>
    <xf numFmtId="0" fontId="0" fillId="0" borderId="13" xfId="0" applyBorder="1"/>
    <xf numFmtId="0" fontId="12" fillId="0" borderId="0" xfId="0" applyFont="1" applyAlignment="1">
      <alignment horizontal="left" vertical="center"/>
    </xf>
    <xf numFmtId="172" fontId="0" fillId="0" borderId="0" xfId="0" applyNumberFormat="1"/>
    <xf numFmtId="182" fontId="0" fillId="0" borderId="0" xfId="0" applyNumberFormat="1" applyAlignment="1">
      <alignment vertical="center" wrapText="1"/>
    </xf>
    <xf numFmtId="171" fontId="0" fillId="0" borderId="0" xfId="0" applyNumberFormat="1" applyAlignment="1">
      <alignment vertical="center" wrapText="1"/>
    </xf>
    <xf numFmtId="9" fontId="0" fillId="0" borderId="0" xfId="0" applyNumberFormat="1" applyAlignment="1">
      <alignment vertical="center" wrapText="1"/>
    </xf>
    <xf numFmtId="0" fontId="12" fillId="0" borderId="8" xfId="0" applyFont="1" applyBorder="1" applyAlignment="1">
      <alignment horizontal="right" vertical="center" wrapText="1"/>
    </xf>
    <xf numFmtId="171" fontId="12" fillId="0" borderId="8" xfId="0" applyNumberFormat="1" applyFont="1" applyBorder="1" applyAlignment="1">
      <alignment horizontal="right" vertical="center" wrapText="1"/>
    </xf>
    <xf numFmtId="10" fontId="12" fillId="0" borderId="8" xfId="14" applyNumberFormat="1" applyFont="1" applyBorder="1" applyAlignment="1">
      <alignment horizontal="right" vertical="center" wrapText="1"/>
    </xf>
    <xf numFmtId="175" fontId="12" fillId="0" borderId="8" xfId="11" applyNumberFormat="1" applyFont="1" applyBorder="1" applyAlignment="1">
      <alignment horizontal="right" vertical="center"/>
    </xf>
    <xf numFmtId="176" fontId="12" fillId="0" borderId="8" xfId="0" applyNumberFormat="1" applyFont="1" applyBorder="1" applyAlignment="1">
      <alignment horizontal="right" vertical="center"/>
    </xf>
    <xf numFmtId="177" fontId="12" fillId="0" borderId="8" xfId="0" applyNumberFormat="1" applyFont="1" applyBorder="1" applyAlignment="1">
      <alignment horizontal="right" vertical="center"/>
    </xf>
    <xf numFmtId="10" fontId="12" fillId="0" borderId="8" xfId="0" applyNumberFormat="1" applyFont="1" applyBorder="1" applyAlignment="1">
      <alignment horizontal="right" vertical="center"/>
    </xf>
    <xf numFmtId="0" fontId="19" fillId="0" borderId="8" xfId="0" applyFont="1" applyBorder="1" applyAlignment="1">
      <alignment horizontal="right" vertical="center" wrapText="1"/>
    </xf>
    <xf numFmtId="0" fontId="19" fillId="0" borderId="8" xfId="0" applyFont="1" applyBorder="1" applyAlignment="1">
      <alignment vertical="center"/>
    </xf>
    <xf numFmtId="0" fontId="0" fillId="0" borderId="0" xfId="0" quotePrefix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" fontId="2" fillId="0" borderId="0" xfId="0" applyNumberFormat="1" applyFont="1"/>
    <xf numFmtId="0" fontId="11" fillId="0" borderId="0" xfId="0" quotePrefix="1" applyFont="1"/>
    <xf numFmtId="4" fontId="0" fillId="0" borderId="0" xfId="0" applyNumberFormat="1"/>
    <xf numFmtId="0" fontId="3" fillId="0" borderId="0" xfId="0" applyFont="1" applyAlignment="1">
      <alignment horizontal="left" vertical="center" indent="2"/>
    </xf>
    <xf numFmtId="183" fontId="0" fillId="7" borderId="0" xfId="0" applyNumberFormat="1" applyFill="1"/>
    <xf numFmtId="9" fontId="0" fillId="7" borderId="0" xfId="0" applyNumberFormat="1" applyFill="1"/>
    <xf numFmtId="1" fontId="0" fillId="7" borderId="0" xfId="0" applyNumberFormat="1" applyFill="1"/>
    <xf numFmtId="183" fontId="0" fillId="8" borderId="0" xfId="0" applyNumberFormat="1" applyFill="1"/>
    <xf numFmtId="167" fontId="0" fillId="8" borderId="0" xfId="0" applyNumberFormat="1" applyFill="1"/>
    <xf numFmtId="1" fontId="0" fillId="8" borderId="0" xfId="0" applyNumberFormat="1" applyFill="1"/>
    <xf numFmtId="183" fontId="0" fillId="0" borderId="0" xfId="0" applyNumberFormat="1"/>
    <xf numFmtId="3" fontId="0" fillId="0" borderId="0" xfId="0" applyNumberFormat="1"/>
    <xf numFmtId="183" fontId="0" fillId="7" borderId="12" xfId="0" applyNumberFormat="1" applyFill="1" applyBorder="1"/>
    <xf numFmtId="167" fontId="0" fillId="7" borderId="0" xfId="0" applyNumberFormat="1" applyFill="1"/>
    <xf numFmtId="3" fontId="0" fillId="0" borderId="24" xfId="0" applyNumberFormat="1" applyBorder="1"/>
    <xf numFmtId="0" fontId="0" fillId="0" borderId="25" xfId="0" applyBorder="1" applyAlignment="1">
      <alignment horizontal="left"/>
    </xf>
    <xf numFmtId="0" fontId="2" fillId="7" borderId="7" xfId="0" applyFont="1" applyFill="1" applyBorder="1" applyAlignment="1">
      <alignment horizontal="right" wrapText="1"/>
    </xf>
    <xf numFmtId="0" fontId="2" fillId="7" borderId="6" xfId="0" applyFont="1" applyFill="1" applyBorder="1" applyAlignment="1">
      <alignment horizontal="right" wrapText="1"/>
    </xf>
    <xf numFmtId="0" fontId="2" fillId="8" borderId="6" xfId="0" applyFont="1" applyFill="1" applyBorder="1" applyAlignment="1">
      <alignment horizontal="right" wrapText="1"/>
    </xf>
    <xf numFmtId="0" fontId="2" fillId="0" borderId="6" xfId="0" applyFont="1" applyBorder="1" applyAlignment="1">
      <alignment horizontal="right" wrapText="1"/>
    </xf>
    <xf numFmtId="0" fontId="2" fillId="0" borderId="13" xfId="0" applyFont="1" applyBorder="1" applyAlignment="1">
      <alignment wrapText="1"/>
    </xf>
    <xf numFmtId="0" fontId="2" fillId="0" borderId="24" xfId="0" applyFont="1" applyBorder="1"/>
    <xf numFmtId="0" fontId="2" fillId="0" borderId="25" xfId="0" applyFont="1" applyBorder="1"/>
    <xf numFmtId="4" fontId="2" fillId="3" borderId="0" xfId="0" applyNumberFormat="1" applyFont="1" applyFill="1"/>
    <xf numFmtId="4" fontId="0" fillId="7" borderId="7" xfId="0" applyNumberFormat="1" applyFill="1" applyBorder="1"/>
    <xf numFmtId="4" fontId="0" fillId="7" borderId="6" xfId="0" applyNumberFormat="1" applyFill="1" applyBorder="1"/>
    <xf numFmtId="0" fontId="0" fillId="0" borderId="6" xfId="0" applyBorder="1" applyAlignment="1">
      <alignment horizontal="center"/>
    </xf>
    <xf numFmtId="4" fontId="0" fillId="8" borderId="12" xfId="0" applyNumberFormat="1" applyFill="1" applyBorder="1"/>
    <xf numFmtId="4" fontId="0" fillId="8" borderId="0" xfId="0" applyNumberFormat="1" applyFill="1"/>
    <xf numFmtId="0" fontId="2" fillId="0" borderId="9" xfId="0" applyFont="1" applyBorder="1" applyAlignment="1">
      <alignment wrapText="1"/>
    </xf>
    <xf numFmtId="0" fontId="2" fillId="0" borderId="17" xfId="0" applyFont="1" applyBorder="1" applyAlignment="1">
      <alignment wrapText="1"/>
    </xf>
    <xf numFmtId="0" fontId="2" fillId="0" borderId="17" xfId="0" applyFont="1" applyBorder="1" applyAlignment="1">
      <alignment horizontal="center" wrapText="1"/>
    </xf>
    <xf numFmtId="0" fontId="2" fillId="0" borderId="5" xfId="0" applyFont="1" applyBorder="1" applyAlignment="1">
      <alignment wrapText="1"/>
    </xf>
    <xf numFmtId="177" fontId="0" fillId="0" borderId="0" xfId="0" applyNumberFormat="1"/>
    <xf numFmtId="9" fontId="0" fillId="0" borderId="0" xfId="0" applyNumberFormat="1"/>
    <xf numFmtId="0" fontId="0" fillId="3" borderId="6" xfId="0" applyFill="1" applyBorder="1" applyAlignment="1">
      <alignment horizontal="center"/>
    </xf>
    <xf numFmtId="0" fontId="0" fillId="3" borderId="0" xfId="0" applyFill="1" applyAlignment="1">
      <alignment horizontal="center"/>
    </xf>
    <xf numFmtId="10" fontId="0" fillId="3" borderId="0" xfId="0" applyNumberFormat="1" applyFill="1"/>
    <xf numFmtId="0" fontId="0" fillId="3" borderId="0" xfId="0" quotePrefix="1" applyFill="1"/>
    <xf numFmtId="177" fontId="0" fillId="3" borderId="0" xfId="0" applyNumberFormat="1" applyFill="1"/>
    <xf numFmtId="0" fontId="3" fillId="3" borderId="0" xfId="0" applyFont="1" applyFill="1" applyAlignment="1">
      <alignment horizontal="left" vertical="center" indent="2"/>
    </xf>
    <xf numFmtId="1" fontId="3" fillId="0" borderId="0" xfId="0" applyNumberFormat="1" applyFont="1" applyAlignment="1">
      <alignment horizontal="left" vertical="center" indent="2"/>
    </xf>
    <xf numFmtId="0" fontId="11" fillId="0" borderId="0" xfId="0" applyFont="1" applyAlignment="1">
      <alignment vertical="center"/>
    </xf>
    <xf numFmtId="184" fontId="0" fillId="0" borderId="0" xfId="0" applyNumberFormat="1"/>
    <xf numFmtId="167" fontId="0" fillId="3" borderId="0" xfId="0" applyNumberFormat="1" applyFill="1"/>
    <xf numFmtId="177" fontId="2" fillId="0" borderId="0" xfId="0" applyNumberFormat="1" applyFont="1"/>
    <xf numFmtId="0" fontId="2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4"/>
    </xf>
    <xf numFmtId="0" fontId="2" fillId="0" borderId="0" xfId="0" applyFont="1" applyAlignment="1">
      <alignment horizontal="left" vertical="center"/>
    </xf>
    <xf numFmtId="178" fontId="0" fillId="3" borderId="23" xfId="0" applyNumberFormat="1" applyFill="1" applyBorder="1"/>
    <xf numFmtId="178" fontId="0" fillId="3" borderId="22" xfId="0" applyNumberFormat="1" applyFill="1" applyBorder="1"/>
    <xf numFmtId="178" fontId="0" fillId="3" borderId="21" xfId="0" applyNumberFormat="1" applyFill="1" applyBorder="1"/>
    <xf numFmtId="178" fontId="0" fillId="3" borderId="20" xfId="0" applyNumberFormat="1" applyFill="1" applyBorder="1"/>
    <xf numFmtId="178" fontId="0" fillId="3" borderId="19" xfId="0" applyNumberFormat="1" applyFill="1" applyBorder="1"/>
    <xf numFmtId="178" fontId="0" fillId="3" borderId="4" xfId="0" applyNumberFormat="1" applyFill="1" applyBorder="1"/>
    <xf numFmtId="176" fontId="0" fillId="0" borderId="0" xfId="0" quotePrefix="1" applyNumberFormat="1"/>
    <xf numFmtId="0" fontId="26" fillId="0" borderId="0" xfId="4" applyFont="1" applyAlignment="1">
      <alignment horizontal="center"/>
    </xf>
    <xf numFmtId="185" fontId="26" fillId="0" borderId="0" xfId="4" applyNumberFormat="1" applyFont="1"/>
    <xf numFmtId="0" fontId="26" fillId="0" borderId="0" xfId="4" applyFont="1"/>
    <xf numFmtId="186" fontId="0" fillId="0" borderId="0" xfId="0" applyNumberFormat="1"/>
    <xf numFmtId="185" fontId="0" fillId="0" borderId="0" xfId="0" applyNumberFormat="1"/>
    <xf numFmtId="10" fontId="0" fillId="0" borderId="8" xfId="14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10" fontId="0" fillId="0" borderId="8" xfId="0" applyNumberFormat="1" applyBorder="1" applyAlignment="1">
      <alignment horizontal="center"/>
    </xf>
    <xf numFmtId="176" fontId="0" fillId="0" borderId="8" xfId="15" applyNumberFormat="1" applyFont="1" applyBorder="1" applyAlignment="1">
      <alignment horizontal="center"/>
    </xf>
    <xf numFmtId="176" fontId="0" fillId="0" borderId="8" xfId="14" applyNumberFormat="1" applyFont="1" applyBorder="1" applyAlignment="1">
      <alignment horizontal="center"/>
    </xf>
    <xf numFmtId="176" fontId="0" fillId="0" borderId="8" xfId="0" applyNumberFormat="1" applyBorder="1" applyAlignment="1">
      <alignment horizontal="center"/>
    </xf>
    <xf numFmtId="1" fontId="0" fillId="0" borderId="0" xfId="0" applyNumberFormat="1" applyAlignment="1">
      <alignment horizontal="left" vertical="center" indent="2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31" fillId="8" borderId="24" xfId="0" applyFont="1" applyFill="1" applyBorder="1" applyAlignment="1">
      <alignment horizontal="center"/>
    </xf>
    <xf numFmtId="0" fontId="31" fillId="7" borderId="24" xfId="0" applyFont="1" applyFill="1" applyBorder="1" applyAlignment="1">
      <alignment horizontal="center"/>
    </xf>
    <xf numFmtId="0" fontId="31" fillId="7" borderId="10" xfId="0" applyFont="1" applyFill="1" applyBorder="1" applyAlignment="1">
      <alignment horizontal="center"/>
    </xf>
    <xf numFmtId="0" fontId="11" fillId="0" borderId="18" xfId="0" applyFont="1" applyBorder="1" applyAlignment="1">
      <alignment horizontal="center" vertical="center" wrapText="1"/>
    </xf>
    <xf numFmtId="0" fontId="0" fillId="0" borderId="3" xfId="0" applyBorder="1"/>
    <xf numFmtId="0" fontId="0" fillId="0" borderId="26" xfId="0" applyBorder="1" applyAlignment="1">
      <alignment wrapText="1"/>
    </xf>
    <xf numFmtId="0" fontId="0" fillId="0" borderId="3" xfId="0" applyBorder="1" applyAlignment="1">
      <alignment wrapText="1"/>
    </xf>
  </cellXfs>
  <cellStyles count="16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illiers 2 2" xfId="15" xr:uid="{777D22A0-1FBC-4721-9AB2-51E48538BA49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12068D20-8A3F-4A2F-8F29-90784B103823}"/>
    <cellStyle name="Pourcentage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r06262\OneDrive%20-%20Beneva\Documents\Passwords%20et%20perso\SOA\Fall%202024%20Exam\Questions%20received\Fall%202024\GH_VR_C%20Fall%202024%20Excel%20CBT%20Workbook.xlsx" TargetMode="External"/><Relationship Id="rId1" Type="http://schemas.openxmlformats.org/officeDocument/2006/relationships/externalLinkPath" Target="file:///C:\Users\asr06262\OneDrive%20-%20Beneva\Documents\Passwords%20et%20perso\SOA\Fall%202024%20Exam\Questions%20received\Fall%202024\GH_VR_C%20Fall%202024%20Excel%20CBT%20Workboo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CIA/RPEC/BackTest%20HMDv33C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planning/Budget%20Model/FY%202013/LTSP/Current%20Version/Medicare_Advantage_Allocations_Projections_2014-2016%2004091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FFF692/BOCChang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PRIVATE/EXCEL/DENAWORK/CBUDG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actuarial/Team%202_Work/2007Pricing%20Model/Data/HMO2005HYBRIDEXAMP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urner/AppData/Local/Temp/notesE1EF34/Harvard%20Pilgrim%20Business%20Plan%20v10%20-%20Milliman%20-%20with%20bid-actual%20toggle%20and%20Aug%20BPT%20dat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planning/APC%20fee%20schedule%20Conversion/2009%20Conversions/Milton/Milton%20OP%20Converion%202_12_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BROKER/Broker%20market%20segment%20consolidation/2015/JUN/Jun-15%20consolidated%20rating%20segment%20PEPM%20new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aura/MTFA/C_Budget/03_Forecasting/2014%20Budget/Rx%20Rebate/GL%20BAL_STAT_NO%20HVMA_PA%20BOOKS-DRUG%20M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abramso/LOCALS~1/Temp/notesD30550/Harvard%20Pilgrim%20Business%20Plan%20v0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yin/Desktop/URRT/URRT_HMO_withlink%20v0.xlsm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r06262\OneDrive%20-%20Beneva\Documents\Passwords%20et%20perso\SOA\Fall%202024%20Exam\Questions%20received\Spring%202025\GHVR-C%20Spring%202025%20Q5%20LO13%2011%20points%20MD.xlsx" TargetMode="External"/><Relationship Id="rId1" Type="http://schemas.openxmlformats.org/officeDocument/2006/relationships/externalLinkPath" Target="file:///C:\Users\asr06262\OneDrive%20-%20Beneva\Documents\Passwords%20et%20perso\SOA\Fall%202024%20Exam\Questions%20received\Spring%202025\GHVR-C%20Spring%202025%20Q5%20LO13%2011%20points%20MD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PRIVATE/EXCEL/DENAWORK/JDEBudg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horman/LOCALS~1/Temp/notesFFF692/Updated%20Tools/2009%20RF/Relativity%20Factors%20Hosp%20and%20MD%202009%2012_28_09%20Mt%20Auburn%20Hosp%20OOP%20Added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  <row r="126">
          <cell r="AA126" t="str">
            <v>Value of Annual Maximum</v>
          </cell>
          <cell r="AE126">
            <v>0</v>
          </cell>
          <cell r="AF126" t="str">
            <v>U = T * (1 - K) , or T</v>
          </cell>
        </row>
        <row r="128">
          <cell r="AA128" t="str">
            <v>Utilization Adjustment Value</v>
          </cell>
          <cell r="AE128">
            <v>-10.06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  <row r="59">
          <cell r="B59" t="str">
            <v xml:space="preserve">Outpatient Facility Fee Schedule </v>
          </cell>
        </row>
        <row r="60">
          <cell r="B60" t="str">
            <v>Outpatient Surgery</v>
          </cell>
        </row>
        <row r="61">
          <cell r="B61" t="str">
            <v>Oxygen and Respiratory Care Equipment</v>
          </cell>
        </row>
        <row r="62">
          <cell r="B62" t="str">
            <v>Pain Managementfor Non-Anesthesiologists</v>
          </cell>
        </row>
        <row r="63">
          <cell r="B63" t="str">
            <v>Physical, Occupational, and Speech Therapy</v>
          </cell>
        </row>
        <row r="64">
          <cell r="B64" t="str">
            <v>Podiatry</v>
          </cell>
        </row>
        <row r="65">
          <cell r="B65" t="str">
            <v>Positron Emission Tomography (PET) Scans</v>
          </cell>
        </row>
        <row r="66">
          <cell r="B66" t="str">
            <v>Prosthetic and Orthotic Devices</v>
          </cell>
        </row>
        <row r="67">
          <cell r="B67" t="str">
            <v>Pulmonary Rehabilitation</v>
          </cell>
        </row>
        <row r="68">
          <cell r="B68" t="str">
            <v>Radiation Oncology</v>
          </cell>
        </row>
        <row r="69">
          <cell r="B69" t="str">
            <v>Radiology</v>
          </cell>
        </row>
        <row r="70">
          <cell r="B70" t="str">
            <v>Rehabilitation Facilities/Long-Term Acute Care Hospitals</v>
          </cell>
        </row>
        <row r="71">
          <cell r="B71" t="str">
            <v>Rehabilitative and Assistive Technology Items</v>
          </cell>
        </row>
        <row r="72">
          <cell r="B72" t="str">
            <v>Serious Preventable Conditions &amp; Never Events</v>
          </cell>
        </row>
        <row r="73">
          <cell r="B73" t="str">
            <v>Services Incidental to Admission</v>
          </cell>
        </row>
        <row r="74">
          <cell r="B74" t="str">
            <v>Site of Service</v>
          </cell>
        </row>
        <row r="75">
          <cell r="B75" t="str">
            <v>Skilled Nursing Facility</v>
          </cell>
        </row>
        <row r="76">
          <cell r="B76" t="str">
            <v>Skin Replacement Surgery and Skin Substitutes</v>
          </cell>
        </row>
        <row r="77">
          <cell r="B77" t="str">
            <v>Sleep Studies</v>
          </cell>
        </row>
        <row r="78">
          <cell r="B78" t="str">
            <v>Surgery</v>
          </cell>
        </row>
        <row r="79">
          <cell r="B79" t="str">
            <v>Transplants</v>
          </cell>
        </row>
        <row r="80">
          <cell r="B80" t="str">
            <v>Treatment Room</v>
          </cell>
        </row>
        <row r="81">
          <cell r="B81" t="str">
            <v>Umbilical Cord Blood</v>
          </cell>
        </row>
        <row r="82">
          <cell r="B82" t="str">
            <v>Unlisted and Unspecified Procedure Codes</v>
          </cell>
        </row>
        <row r="83">
          <cell r="B83" t="str">
            <v>Vaccine and Immunization</v>
          </cell>
        </row>
        <row r="84">
          <cell r="B84" t="str">
            <v>Vision Services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1</v>
          </cell>
        </row>
        <row r="60">
          <cell r="AC60">
            <v>1</v>
          </cell>
        </row>
        <row r="61">
          <cell r="AC61">
            <v>1</v>
          </cell>
        </row>
        <row r="62">
          <cell r="AC62">
            <v>1</v>
          </cell>
        </row>
        <row r="63">
          <cell r="AC63">
            <v>1</v>
          </cell>
        </row>
        <row r="64">
          <cell r="AC64">
            <v>1</v>
          </cell>
        </row>
        <row r="65">
          <cell r="AC65">
            <v>0</v>
          </cell>
        </row>
        <row r="66">
          <cell r="AC66">
            <v>0</v>
          </cell>
        </row>
        <row r="67">
          <cell r="AC67">
            <v>0</v>
          </cell>
        </row>
        <row r="68">
          <cell r="AC68">
            <v>0</v>
          </cell>
        </row>
        <row r="69">
          <cell r="AC69">
            <v>0</v>
          </cell>
        </row>
        <row r="70">
          <cell r="AC70">
            <v>0</v>
          </cell>
        </row>
        <row r="71">
          <cell r="AC71">
            <v>0</v>
          </cell>
        </row>
        <row r="72">
          <cell r="AC72">
            <v>1</v>
          </cell>
        </row>
        <row r="73">
          <cell r="AC73">
            <v>1</v>
          </cell>
        </row>
        <row r="74">
          <cell r="AC74">
            <v>1</v>
          </cell>
        </row>
        <row r="75">
          <cell r="AC75">
            <v>1</v>
          </cell>
        </row>
        <row r="76">
          <cell r="AC76">
            <v>1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  <row r="59">
          <cell r="X59">
            <v>1</v>
          </cell>
          <cell r="AV59">
            <v>1</v>
          </cell>
        </row>
        <row r="60">
          <cell r="X60">
            <v>1</v>
          </cell>
          <cell r="Y60" t="str">
            <v>Other</v>
          </cell>
          <cell r="AV60">
            <v>1</v>
          </cell>
        </row>
        <row r="61">
          <cell r="X61">
            <v>0</v>
          </cell>
          <cell r="Y61" t="str">
            <v xml:space="preserve">    Prescription Drugs</v>
          </cell>
          <cell r="AF61">
            <v>0</v>
          </cell>
          <cell r="AG61" t="str">
            <v>Scripts</v>
          </cell>
          <cell r="AI61">
            <v>0</v>
          </cell>
          <cell r="AK61">
            <v>0</v>
          </cell>
          <cell r="AM61" t="str">
            <v xml:space="preserve"> </v>
          </cell>
          <cell r="AO61" t="str">
            <v xml:space="preserve"> </v>
          </cell>
          <cell r="AQ61" t="str">
            <v xml:space="preserve"> </v>
          </cell>
          <cell r="AS61">
            <v>0</v>
          </cell>
          <cell r="AV61">
            <v>1</v>
          </cell>
        </row>
        <row r="62">
          <cell r="X62">
            <v>1</v>
          </cell>
          <cell r="Y62" t="str">
            <v xml:space="preserve">    Private Duty Nursing/Home Health</v>
          </cell>
          <cell r="AF62">
            <v>125</v>
          </cell>
          <cell r="AG62" t="str">
            <v>Units</v>
          </cell>
          <cell r="AI62">
            <v>150.04</v>
          </cell>
          <cell r="AK62">
            <v>1.56</v>
          </cell>
          <cell r="AM62" t="str">
            <v xml:space="preserve"> </v>
          </cell>
          <cell r="AO62" t="str">
            <v xml:space="preserve"> </v>
          </cell>
          <cell r="AQ62" t="str">
            <v xml:space="preserve"> </v>
          </cell>
          <cell r="AS62">
            <v>1.56</v>
          </cell>
          <cell r="AV62">
            <v>1</v>
          </cell>
        </row>
        <row r="63">
          <cell r="X63">
            <v>1</v>
          </cell>
          <cell r="Y63" t="str">
            <v xml:space="preserve">    Ambulance</v>
          </cell>
          <cell r="AF63">
            <v>7</v>
          </cell>
          <cell r="AG63" t="str">
            <v>Runs</v>
          </cell>
          <cell r="AI63">
            <v>603.94000000000005</v>
          </cell>
          <cell r="AK63">
            <v>0.35</v>
          </cell>
          <cell r="AM63" t="str">
            <v xml:space="preserve"> </v>
          </cell>
          <cell r="AO63" t="str">
            <v xml:space="preserve"> </v>
          </cell>
          <cell r="AQ63" t="str">
            <v xml:space="preserve"> </v>
          </cell>
          <cell r="AS63">
            <v>0.35</v>
          </cell>
          <cell r="AV63">
            <v>1</v>
          </cell>
        </row>
        <row r="64">
          <cell r="X64">
            <v>1</v>
          </cell>
          <cell r="Y64" t="str">
            <v xml:space="preserve">    DME/Prosthetics</v>
          </cell>
          <cell r="AF64">
            <v>128</v>
          </cell>
          <cell r="AG64" t="str">
            <v>Units</v>
          </cell>
          <cell r="AI64">
            <v>305.04000000000002</v>
          </cell>
          <cell r="AK64">
            <v>3.25</v>
          </cell>
          <cell r="AM64" t="str">
            <v/>
          </cell>
          <cell r="AO64" t="str">
            <v/>
          </cell>
          <cell r="AQ64" t="str">
            <v/>
          </cell>
          <cell r="AS64">
            <v>3.25</v>
          </cell>
          <cell r="AV64">
            <v>1</v>
          </cell>
        </row>
        <row r="65">
          <cell r="X65">
            <v>1</v>
          </cell>
          <cell r="Y65" t="str">
            <v xml:space="preserve">    Glasses/Contacts</v>
          </cell>
          <cell r="AF65">
            <v>21</v>
          </cell>
          <cell r="AG65" t="str">
            <v>Services</v>
          </cell>
          <cell r="AI65">
            <v>2420.02</v>
          </cell>
          <cell r="AK65">
            <v>4.24</v>
          </cell>
          <cell r="AM65" t="str">
            <v xml:space="preserve"> </v>
          </cell>
          <cell r="AO65" t="str">
            <v xml:space="preserve"> </v>
          </cell>
          <cell r="AQ65" t="str">
            <v xml:space="preserve"> </v>
          </cell>
          <cell r="AS65">
            <v>4.24</v>
          </cell>
          <cell r="AV65">
            <v>0</v>
          </cell>
        </row>
        <row r="66">
          <cell r="X66">
            <v>0</v>
          </cell>
          <cell r="Y66" t="str">
            <v xml:space="preserve">    Other Benefit #1</v>
          </cell>
          <cell r="AI66">
            <v>0</v>
          </cell>
          <cell r="AK66">
            <v>0</v>
          </cell>
          <cell r="AM66" t="str">
            <v xml:space="preserve"> </v>
          </cell>
          <cell r="AO66" t="str">
            <v xml:space="preserve"> </v>
          </cell>
          <cell r="AQ66" t="str">
            <v xml:space="preserve"> </v>
          </cell>
          <cell r="AS66">
            <v>0</v>
          </cell>
          <cell r="AV66">
            <v>0</v>
          </cell>
        </row>
        <row r="67">
          <cell r="X67">
            <v>0</v>
          </cell>
          <cell r="Y67" t="str">
            <v xml:space="preserve">    Other Benefit #2</v>
          </cell>
          <cell r="AI67">
            <v>0</v>
          </cell>
          <cell r="AK67">
            <v>0</v>
          </cell>
          <cell r="AM67" t="str">
            <v xml:space="preserve"> </v>
          </cell>
          <cell r="AO67" t="str">
            <v xml:space="preserve"> </v>
          </cell>
          <cell r="AQ67" t="str">
            <v xml:space="preserve"> </v>
          </cell>
          <cell r="AS67">
            <v>0</v>
          </cell>
          <cell r="AV67">
            <v>0</v>
          </cell>
        </row>
        <row r="68">
          <cell r="X68">
            <v>1</v>
          </cell>
          <cell r="AV68">
            <v>0</v>
          </cell>
        </row>
        <row r="69">
          <cell r="X69">
            <v>1</v>
          </cell>
          <cell r="Y69" t="str">
            <v>Other - Total</v>
          </cell>
          <cell r="AK69">
            <v>9.4</v>
          </cell>
          <cell r="AQ69">
            <v>0</v>
          </cell>
          <cell r="AS69">
            <v>9.4</v>
          </cell>
          <cell r="AV69">
            <v>0</v>
          </cell>
        </row>
        <row r="70">
          <cell r="X70">
            <v>1</v>
          </cell>
          <cell r="AV70">
            <v>0</v>
          </cell>
        </row>
        <row r="71">
          <cell r="X71">
            <v>1</v>
          </cell>
          <cell r="AV71">
            <v>0</v>
          </cell>
        </row>
        <row r="72">
          <cell r="X72">
            <v>1</v>
          </cell>
          <cell r="Y72" t="str">
            <v>Total Medical Cost</v>
          </cell>
          <cell r="AK72">
            <v>374.87</v>
          </cell>
          <cell r="AQ72">
            <v>0</v>
          </cell>
          <cell r="AS72">
            <v>374.87</v>
          </cell>
          <cell r="AV72">
            <v>1</v>
          </cell>
        </row>
        <row r="73">
          <cell r="X73">
            <v>1</v>
          </cell>
          <cell r="AV73">
            <v>1</v>
          </cell>
        </row>
        <row r="74">
          <cell r="X74">
            <v>0</v>
          </cell>
          <cell r="Y74" t="str">
            <v>Utilization Adjustment Value</v>
          </cell>
          <cell r="AS74">
            <v>0</v>
          </cell>
          <cell r="AV74">
            <v>1</v>
          </cell>
        </row>
        <row r="75">
          <cell r="X75">
            <v>0</v>
          </cell>
          <cell r="Y75" t="str">
            <v>Value of $0 Deductible</v>
          </cell>
          <cell r="AS75">
            <v>0</v>
          </cell>
          <cell r="AV75">
            <v>1</v>
          </cell>
        </row>
        <row r="76">
          <cell r="X76">
            <v>0</v>
          </cell>
          <cell r="Y76" t="str">
            <v>Value of 0% Coinsurance</v>
          </cell>
          <cell r="AS76">
            <v>0</v>
          </cell>
          <cell r="AV76">
            <v>1</v>
          </cell>
        </row>
        <row r="77">
          <cell r="X77">
            <v>0</v>
          </cell>
          <cell r="Y77" t="str">
            <v>Value of $0 Out-of-Pocket Maximum</v>
          </cell>
          <cell r="AS77">
            <v>0</v>
          </cell>
        </row>
        <row r="78">
          <cell r="X78">
            <v>0</v>
          </cell>
          <cell r="Y78" t="str">
            <v>Value of Annual Maximum</v>
          </cell>
          <cell r="AS78">
            <v>0</v>
          </cell>
        </row>
        <row r="79">
          <cell r="X79">
            <v>0</v>
          </cell>
        </row>
        <row r="80">
          <cell r="X80">
            <v>0</v>
          </cell>
          <cell r="Y80" t="str">
            <v>Total Medical Cost After Deductible and Coinsurance</v>
          </cell>
          <cell r="AS80">
            <v>374.87</v>
          </cell>
        </row>
        <row r="81">
          <cell r="X81">
            <v>1</v>
          </cell>
        </row>
        <row r="82">
          <cell r="X82">
            <v>1</v>
          </cell>
          <cell r="Y82" t="str">
            <v>Retention (0% of Premium)</v>
          </cell>
          <cell r="AS82">
            <v>0</v>
          </cell>
        </row>
        <row r="83">
          <cell r="X83">
            <v>1</v>
          </cell>
          <cell r="Y83" t="str">
            <v>Retention - Fixed PMPM</v>
          </cell>
          <cell r="AS83">
            <v>6.92</v>
          </cell>
        </row>
        <row r="84">
          <cell r="X84">
            <v>1</v>
          </cell>
        </row>
        <row r="85">
          <cell r="X85">
            <v>1</v>
          </cell>
          <cell r="Y85" t="str">
            <v>Total Premium</v>
          </cell>
          <cell r="AS85">
            <v>381.79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  <row r="59">
          <cell r="B59" t="str">
            <v xml:space="preserve">        Surgeon Outpatient Facility</v>
          </cell>
          <cell r="I59">
            <v>148</v>
          </cell>
          <cell r="J59" t="str">
            <v>Proced.</v>
          </cell>
          <cell r="L59">
            <v>676.75</v>
          </cell>
          <cell r="N59">
            <v>8.35</v>
          </cell>
          <cell r="P59" t="str">
            <v xml:space="preserve"> </v>
          </cell>
          <cell r="R59" t="str">
            <v xml:space="preserve"> </v>
          </cell>
          <cell r="T59" t="str">
            <v xml:space="preserve"> </v>
          </cell>
          <cell r="V59">
            <v>8.35</v>
          </cell>
          <cell r="X59">
            <v>1</v>
          </cell>
          <cell r="Y59">
            <v>0</v>
          </cell>
          <cell r="Z59">
            <v>1</v>
          </cell>
          <cell r="AA59">
            <v>0</v>
          </cell>
          <cell r="AB59">
            <v>1</v>
          </cell>
          <cell r="AC59">
            <v>1</v>
          </cell>
          <cell r="AD59" t="str">
            <v xml:space="preserve">        Outpatient Facility</v>
          </cell>
          <cell r="AK59">
            <v>228</v>
          </cell>
          <cell r="AL59" t="str">
            <v>Proced.</v>
          </cell>
          <cell r="AN59">
            <v>1669.34</v>
          </cell>
          <cell r="AP59">
            <v>31.72</v>
          </cell>
          <cell r="AR59" t="str">
            <v xml:space="preserve"> </v>
          </cell>
          <cell r="AT59" t="str">
            <v xml:space="preserve"> </v>
          </cell>
          <cell r="AV59" t="str">
            <v xml:space="preserve"> </v>
          </cell>
          <cell r="AX59">
            <v>31.72</v>
          </cell>
          <cell r="BA59">
            <v>1</v>
          </cell>
        </row>
        <row r="60">
          <cell r="B60" t="str">
            <v xml:space="preserve">        Office Surgery</v>
          </cell>
          <cell r="I60">
            <v>295</v>
          </cell>
          <cell r="J60" t="str">
            <v>Proced.</v>
          </cell>
          <cell r="L60">
            <v>381.28</v>
          </cell>
          <cell r="N60">
            <v>9.3699999999999992</v>
          </cell>
          <cell r="P60" t="str">
            <v>$ Specialist</v>
          </cell>
          <cell r="T60" t="str">
            <v xml:space="preserve"> </v>
          </cell>
          <cell r="V60">
            <v>9.3699999999999992</v>
          </cell>
          <cell r="X60">
            <v>1</v>
          </cell>
          <cell r="Y60">
            <v>0</v>
          </cell>
          <cell r="Z60">
            <v>1</v>
          </cell>
          <cell r="AA60">
            <v>0</v>
          </cell>
          <cell r="AB60">
            <v>1</v>
          </cell>
          <cell r="AC60">
            <v>1</v>
          </cell>
          <cell r="AD60" t="str">
            <v xml:space="preserve">        Office</v>
          </cell>
          <cell r="AK60">
            <v>441</v>
          </cell>
          <cell r="AL60" t="str">
            <v>Proced.</v>
          </cell>
          <cell r="AN60">
            <v>356.58</v>
          </cell>
          <cell r="AP60">
            <v>13.1</v>
          </cell>
          <cell r="AR60" t="str">
            <v xml:space="preserve"> </v>
          </cell>
          <cell r="AT60" t="str">
            <v xml:space="preserve"> </v>
          </cell>
          <cell r="AV60" t="str">
            <v xml:space="preserve"> </v>
          </cell>
          <cell r="AX60">
            <v>13.1</v>
          </cell>
          <cell r="BA60">
            <v>1</v>
          </cell>
        </row>
        <row r="61">
          <cell r="B61" t="str">
            <v xml:space="preserve">        OP Anesthesia</v>
          </cell>
          <cell r="I61">
            <v>72</v>
          </cell>
          <cell r="J61" t="str">
            <v>Proced.</v>
          </cell>
          <cell r="L61">
            <v>669.43</v>
          </cell>
          <cell r="N61">
            <v>4.0199999999999996</v>
          </cell>
          <cell r="P61" t="str">
            <v xml:space="preserve"> </v>
          </cell>
          <cell r="T61" t="str">
            <v xml:space="preserve"> </v>
          </cell>
          <cell r="V61">
            <v>4.0199999999999996</v>
          </cell>
          <cell r="X61">
            <v>1</v>
          </cell>
          <cell r="Y61">
            <v>0</v>
          </cell>
          <cell r="Z61">
            <v>1</v>
          </cell>
          <cell r="AA61">
            <v>0</v>
          </cell>
          <cell r="AB61">
            <v>1</v>
          </cell>
          <cell r="AC61">
            <v>1</v>
          </cell>
          <cell r="AD61" t="str">
            <v xml:space="preserve">        OP Anesthesia</v>
          </cell>
          <cell r="AK61">
            <v>90</v>
          </cell>
          <cell r="AL61" t="str">
            <v>Proced.</v>
          </cell>
          <cell r="AN61">
            <v>982.95</v>
          </cell>
          <cell r="AP61">
            <v>7.37</v>
          </cell>
          <cell r="AR61" t="str">
            <v xml:space="preserve"> </v>
          </cell>
          <cell r="AT61" t="str">
            <v xml:space="preserve"> </v>
          </cell>
          <cell r="AV61" t="str">
            <v xml:space="preserve"> </v>
          </cell>
          <cell r="AX61">
            <v>7.37</v>
          </cell>
          <cell r="BA61">
            <v>1</v>
          </cell>
        </row>
        <row r="62">
          <cell r="B62" t="str">
            <v xml:space="preserve">   Physician –Inpatient Visit </v>
          </cell>
        </row>
        <row r="63">
          <cell r="B63" t="str">
            <v xml:space="preserve">    Inpatient Visits</v>
          </cell>
          <cell r="X63">
            <v>1</v>
          </cell>
          <cell r="AB63">
            <v>0</v>
          </cell>
          <cell r="AC63">
            <v>1</v>
          </cell>
          <cell r="AD63" t="str">
            <v xml:space="preserve">    Inpatient Visits</v>
          </cell>
        </row>
        <row r="64">
          <cell r="B64" t="str">
            <v xml:space="preserve">      Hospital - Medical</v>
          </cell>
          <cell r="I64">
            <v>217</v>
          </cell>
          <cell r="J64" t="str">
            <v>Visits</v>
          </cell>
          <cell r="L64">
            <v>265.89</v>
          </cell>
          <cell r="N64">
            <v>4.8099999999999996</v>
          </cell>
          <cell r="P64" t="str">
            <v xml:space="preserve"> </v>
          </cell>
          <cell r="T64" t="str">
            <v xml:space="preserve"> </v>
          </cell>
          <cell r="V64">
            <v>4.8099999999999996</v>
          </cell>
          <cell r="X64">
            <v>1</v>
          </cell>
          <cell r="Y64">
            <v>0</v>
          </cell>
          <cell r="Z64">
            <v>1</v>
          </cell>
          <cell r="AA64">
            <v>0</v>
          </cell>
          <cell r="AB64">
            <v>1</v>
          </cell>
          <cell r="AC64">
            <v>1</v>
          </cell>
          <cell r="AD64" t="str">
            <v xml:space="preserve">      Hospital - Medical</v>
          </cell>
          <cell r="AK64">
            <v>188</v>
          </cell>
          <cell r="AL64" t="str">
            <v>Visits</v>
          </cell>
          <cell r="AN64">
            <v>266.13</v>
          </cell>
          <cell r="AP64">
            <v>4.17</v>
          </cell>
          <cell r="AR64" t="str">
            <v xml:space="preserve"> </v>
          </cell>
          <cell r="AT64" t="str">
            <v xml:space="preserve"> </v>
          </cell>
          <cell r="AV64" t="str">
            <v xml:space="preserve"> </v>
          </cell>
          <cell r="AX64">
            <v>4.17</v>
          </cell>
          <cell r="BA64">
            <v>1</v>
          </cell>
        </row>
        <row r="65">
          <cell r="B65" t="str">
            <v xml:space="preserve">      Hospital - Psych</v>
          </cell>
          <cell r="I65">
            <v>51</v>
          </cell>
          <cell r="J65" t="str">
            <v>Visits</v>
          </cell>
          <cell r="L65">
            <v>107.92</v>
          </cell>
          <cell r="N65">
            <v>0.46</v>
          </cell>
          <cell r="P65" t="str">
            <v xml:space="preserve"> </v>
          </cell>
          <cell r="T65" t="str">
            <v xml:space="preserve"> </v>
          </cell>
          <cell r="V65">
            <v>0.46</v>
          </cell>
          <cell r="X65">
            <v>1</v>
          </cell>
          <cell r="Y65">
            <v>0</v>
          </cell>
          <cell r="Z65">
            <v>1</v>
          </cell>
          <cell r="AA65">
            <v>0</v>
          </cell>
          <cell r="AB65">
            <v>1</v>
          </cell>
          <cell r="AC65">
            <v>1</v>
          </cell>
          <cell r="AD65" t="str">
            <v xml:space="preserve">      Hospital - Psych</v>
          </cell>
          <cell r="AK65">
            <v>38</v>
          </cell>
          <cell r="AL65" t="str">
            <v>Visits</v>
          </cell>
          <cell r="AN65">
            <v>266.13</v>
          </cell>
          <cell r="AP65">
            <v>0.84</v>
          </cell>
          <cell r="AR65" t="str">
            <v xml:space="preserve"> </v>
          </cell>
          <cell r="AT65" t="str">
            <v xml:space="preserve"> </v>
          </cell>
          <cell r="AV65" t="str">
            <v xml:space="preserve"> </v>
          </cell>
          <cell r="AX65">
            <v>0.84</v>
          </cell>
          <cell r="BA65">
            <v>1</v>
          </cell>
        </row>
        <row r="66">
          <cell r="B66" t="str">
            <v xml:space="preserve">      Hospital - A &amp; D</v>
          </cell>
          <cell r="I66">
            <v>16</v>
          </cell>
          <cell r="J66" t="str">
            <v>Visits</v>
          </cell>
          <cell r="L66">
            <v>107.92</v>
          </cell>
          <cell r="N66">
            <v>0.14000000000000001</v>
          </cell>
          <cell r="P66" t="str">
            <v xml:space="preserve"> </v>
          </cell>
          <cell r="T66" t="str">
            <v xml:space="preserve"> </v>
          </cell>
          <cell r="V66">
            <v>0.14000000000000001</v>
          </cell>
          <cell r="X66">
            <v>1</v>
          </cell>
          <cell r="Y66">
            <v>0</v>
          </cell>
          <cell r="Z66">
            <v>1</v>
          </cell>
          <cell r="AA66">
            <v>0</v>
          </cell>
          <cell r="AB66">
            <v>1</v>
          </cell>
          <cell r="AC66">
            <v>1</v>
          </cell>
          <cell r="AD66" t="str">
            <v xml:space="preserve">      Hospital - A &amp; D</v>
          </cell>
          <cell r="AK66">
            <v>26</v>
          </cell>
          <cell r="AL66" t="str">
            <v>Visits</v>
          </cell>
          <cell r="AN66">
            <v>266.13</v>
          </cell>
          <cell r="AP66">
            <v>0.57999999999999996</v>
          </cell>
          <cell r="AR66" t="str">
            <v xml:space="preserve"> </v>
          </cell>
          <cell r="AT66" t="str">
            <v xml:space="preserve"> </v>
          </cell>
          <cell r="AV66" t="str">
            <v xml:space="preserve"> </v>
          </cell>
          <cell r="AX66">
            <v>0.57999999999999996</v>
          </cell>
          <cell r="BA66">
            <v>1</v>
          </cell>
        </row>
        <row r="67">
          <cell r="B67" t="str">
            <v xml:space="preserve">  Physician –Office Visit and Miscellaneous Services </v>
          </cell>
        </row>
        <row r="68">
          <cell r="B68" t="str">
            <v xml:space="preserve">    Office/Home Visits</v>
          </cell>
          <cell r="I68">
            <v>3474</v>
          </cell>
          <cell r="J68" t="str">
            <v>Visits</v>
          </cell>
          <cell r="L68">
            <v>145.62</v>
          </cell>
          <cell r="N68">
            <v>42.16</v>
          </cell>
          <cell r="P68" t="str">
            <v>Adj $ OV  Copay, $ Specialist</v>
          </cell>
          <cell r="T68" t="str">
            <v xml:space="preserve"> </v>
          </cell>
          <cell r="V68">
            <v>42.16</v>
          </cell>
          <cell r="X68">
            <v>1</v>
          </cell>
          <cell r="Y68">
            <v>0</v>
          </cell>
          <cell r="Z68">
            <v>1</v>
          </cell>
          <cell r="AA68">
            <v>0</v>
          </cell>
          <cell r="AB68">
            <v>1</v>
          </cell>
          <cell r="AC68">
            <v>1</v>
          </cell>
          <cell r="AD68" t="str">
            <v xml:space="preserve">    Office/Home Visits</v>
          </cell>
          <cell r="AK68">
            <v>3407</v>
          </cell>
          <cell r="AL68" t="str">
            <v>Visits</v>
          </cell>
          <cell r="AN68">
            <v>138.27000000000001</v>
          </cell>
          <cell r="AP68">
            <v>39.26</v>
          </cell>
          <cell r="AR68" t="str">
            <v xml:space="preserve"> </v>
          </cell>
          <cell r="AT68" t="str">
            <v xml:space="preserve"> </v>
          </cell>
          <cell r="AV68" t="str">
            <v xml:space="preserve"> </v>
          </cell>
          <cell r="AX68">
            <v>39.26</v>
          </cell>
          <cell r="BA68">
            <v>1</v>
          </cell>
        </row>
        <row r="69">
          <cell r="B69" t="str">
            <v xml:space="preserve">    Urgent Care Visits</v>
          </cell>
          <cell r="I69">
            <v>89</v>
          </cell>
          <cell r="J69" t="str">
            <v>Visits</v>
          </cell>
          <cell r="L69">
            <v>186.92</v>
          </cell>
          <cell r="N69">
            <v>1.39</v>
          </cell>
          <cell r="P69" t="str">
            <v>$ Urgent Care</v>
          </cell>
          <cell r="T69" t="str">
            <v xml:space="preserve"> </v>
          </cell>
          <cell r="V69">
            <v>1.39</v>
          </cell>
          <cell r="X69">
            <v>1</v>
          </cell>
          <cell r="Y69">
            <v>0</v>
          </cell>
          <cell r="Z69">
            <v>1</v>
          </cell>
          <cell r="AA69">
            <v>0</v>
          </cell>
          <cell r="AB69">
            <v>1</v>
          </cell>
          <cell r="AC69">
            <v>1</v>
          </cell>
          <cell r="AD69" t="str">
            <v xml:space="preserve">    Urgent Care Visits</v>
          </cell>
          <cell r="AK69">
            <v>103</v>
          </cell>
          <cell r="AL69" t="str">
            <v>Visits</v>
          </cell>
          <cell r="AN69">
            <v>177.49</v>
          </cell>
          <cell r="AP69">
            <v>1.52</v>
          </cell>
          <cell r="AR69" t="str">
            <v xml:space="preserve"> </v>
          </cell>
          <cell r="AT69" t="str">
            <v xml:space="preserve"> </v>
          </cell>
          <cell r="AV69" t="str">
            <v xml:space="preserve"> </v>
          </cell>
          <cell r="AX69">
            <v>1.52</v>
          </cell>
          <cell r="BA69">
            <v>1</v>
          </cell>
        </row>
        <row r="70">
          <cell r="B70" t="str">
            <v xml:space="preserve">    Therapeutic Injections</v>
          </cell>
          <cell r="I70">
            <v>24</v>
          </cell>
          <cell r="J70" t="str">
            <v>Services</v>
          </cell>
          <cell r="L70">
            <v>477.07</v>
          </cell>
          <cell r="N70">
            <v>0.95</v>
          </cell>
          <cell r="P70" t="str">
            <v>Adj $ OV  Copay, $ Specialist</v>
          </cell>
          <cell r="T70" t="str">
            <v xml:space="preserve"> </v>
          </cell>
          <cell r="V70">
            <v>0.95</v>
          </cell>
          <cell r="X70">
            <v>1</v>
          </cell>
          <cell r="Y70">
            <v>0</v>
          </cell>
          <cell r="Z70">
            <v>1</v>
          </cell>
          <cell r="AA70">
            <v>0</v>
          </cell>
          <cell r="AB70">
            <v>1</v>
          </cell>
          <cell r="AC70">
            <v>1</v>
          </cell>
          <cell r="AD70" t="str">
            <v xml:space="preserve">    Therapeutic Injections</v>
          </cell>
          <cell r="AK70">
            <v>637</v>
          </cell>
          <cell r="AL70" t="str">
            <v>Services</v>
          </cell>
          <cell r="AN70">
            <v>185.04</v>
          </cell>
          <cell r="AP70">
            <v>9.82</v>
          </cell>
          <cell r="AR70" t="str">
            <v xml:space="preserve"> </v>
          </cell>
          <cell r="AT70" t="str">
            <v xml:space="preserve"> </v>
          </cell>
          <cell r="AV70" t="str">
            <v xml:space="preserve"> </v>
          </cell>
          <cell r="AX70">
            <v>9.82</v>
          </cell>
          <cell r="BA70">
            <v>1</v>
          </cell>
        </row>
        <row r="71">
          <cell r="B71" t="str">
            <v xml:space="preserve">    Allergy Tests &amp; Injections</v>
          </cell>
          <cell r="X71">
            <v>1</v>
          </cell>
          <cell r="AB71">
            <v>0</v>
          </cell>
          <cell r="AC71">
            <v>1</v>
          </cell>
          <cell r="AD71" t="str">
            <v xml:space="preserve">    Allergy Tests &amp; Injections</v>
          </cell>
        </row>
        <row r="72">
          <cell r="B72" t="str">
            <v xml:space="preserve">        Allergy Testing</v>
          </cell>
          <cell r="I72">
            <v>65</v>
          </cell>
          <cell r="J72" t="str">
            <v>Tests</v>
          </cell>
          <cell r="L72">
            <v>69.760000000000005</v>
          </cell>
          <cell r="N72">
            <v>0.38</v>
          </cell>
          <cell r="P72" t="str">
            <v>$ Specialist</v>
          </cell>
          <cell r="T72" t="str">
            <v xml:space="preserve"> </v>
          </cell>
          <cell r="V72">
            <v>0.38</v>
          </cell>
          <cell r="X72">
            <v>1</v>
          </cell>
          <cell r="Y72">
            <v>0</v>
          </cell>
          <cell r="Z72">
            <v>1</v>
          </cell>
          <cell r="AA72">
            <v>0</v>
          </cell>
          <cell r="AB72">
            <v>1</v>
          </cell>
          <cell r="AC72">
            <v>1</v>
          </cell>
          <cell r="AD72" t="str">
            <v xml:space="preserve">        Allergy Testing</v>
          </cell>
          <cell r="AK72">
            <v>600</v>
          </cell>
          <cell r="AL72" t="str">
            <v>Tests</v>
          </cell>
          <cell r="AN72">
            <v>11.34</v>
          </cell>
          <cell r="AP72">
            <v>0.56999999999999995</v>
          </cell>
          <cell r="AR72" t="str">
            <v xml:space="preserve"> </v>
          </cell>
          <cell r="AT72" t="str">
            <v xml:space="preserve"> </v>
          </cell>
          <cell r="AV72" t="str">
            <v xml:space="preserve"> </v>
          </cell>
          <cell r="AX72">
            <v>0.56999999999999995</v>
          </cell>
          <cell r="BA72">
            <v>1</v>
          </cell>
        </row>
        <row r="73">
          <cell r="B73" t="str">
            <v xml:space="preserve">        Allergy Immunotherapy</v>
          </cell>
          <cell r="I73">
            <v>28</v>
          </cell>
          <cell r="J73" t="str">
            <v>Services</v>
          </cell>
          <cell r="L73">
            <v>69.75</v>
          </cell>
          <cell r="N73">
            <v>0.16</v>
          </cell>
          <cell r="P73" t="str">
            <v>$ Specialist</v>
          </cell>
          <cell r="T73" t="str">
            <v xml:space="preserve"> </v>
          </cell>
          <cell r="V73">
            <v>0.16</v>
          </cell>
          <cell r="X73">
            <v>1</v>
          </cell>
          <cell r="Y73">
            <v>0</v>
          </cell>
          <cell r="Z73">
            <v>1</v>
          </cell>
          <cell r="AA73">
            <v>0</v>
          </cell>
          <cell r="AB73">
            <v>1</v>
          </cell>
          <cell r="AC73">
            <v>1</v>
          </cell>
          <cell r="AD73" t="str">
            <v xml:space="preserve">        Allergy Immunotherapy</v>
          </cell>
          <cell r="AK73">
            <v>216</v>
          </cell>
          <cell r="AL73" t="str">
            <v>Services</v>
          </cell>
          <cell r="AN73">
            <v>70.61</v>
          </cell>
          <cell r="AP73">
            <v>1.27</v>
          </cell>
          <cell r="AR73" t="str">
            <v xml:space="preserve"> </v>
          </cell>
          <cell r="AT73" t="str">
            <v xml:space="preserve"> </v>
          </cell>
          <cell r="AV73" t="str">
            <v xml:space="preserve"> </v>
          </cell>
          <cell r="AX73">
            <v>1.27</v>
          </cell>
          <cell r="BA73">
            <v>1</v>
          </cell>
        </row>
        <row r="74">
          <cell r="B74" t="str">
            <v xml:space="preserve">    Misc. Medical</v>
          </cell>
          <cell r="I74">
            <v>206</v>
          </cell>
          <cell r="J74" t="str">
            <v>Proced.</v>
          </cell>
          <cell r="L74">
            <v>196.93</v>
          </cell>
          <cell r="N74">
            <v>3.38</v>
          </cell>
          <cell r="P74" t="str">
            <v>$ Specialist</v>
          </cell>
          <cell r="T74" t="str">
            <v xml:space="preserve"> </v>
          </cell>
          <cell r="V74">
            <v>3.38</v>
          </cell>
          <cell r="X74">
            <v>1</v>
          </cell>
          <cell r="Y74">
            <v>0</v>
          </cell>
          <cell r="Z74">
            <v>1</v>
          </cell>
          <cell r="AA74">
            <v>0</v>
          </cell>
          <cell r="AB74">
            <v>1</v>
          </cell>
          <cell r="AC74">
            <v>1</v>
          </cell>
          <cell r="AD74" t="str">
            <v xml:space="preserve">    Misc. Medical</v>
          </cell>
          <cell r="AK74">
            <v>1034</v>
          </cell>
          <cell r="AL74" t="str">
            <v>Proced.</v>
          </cell>
          <cell r="AN74">
            <v>150.38</v>
          </cell>
          <cell r="AP74">
            <v>12.96</v>
          </cell>
          <cell r="AR74" t="str">
            <v xml:space="preserve"> </v>
          </cell>
          <cell r="AT74" t="str">
            <v xml:space="preserve"> </v>
          </cell>
          <cell r="AV74" t="str">
            <v xml:space="preserve"> </v>
          </cell>
          <cell r="AX74">
            <v>12.96</v>
          </cell>
          <cell r="BA74">
            <v>1</v>
          </cell>
        </row>
        <row r="75">
          <cell r="B75" t="str">
            <v xml:space="preserve">  Physician –Preventive Services </v>
          </cell>
        </row>
        <row r="76">
          <cell r="B76" t="str">
            <v xml:space="preserve">    Immunizations</v>
          </cell>
          <cell r="I76">
            <v>137</v>
          </cell>
          <cell r="J76" t="str">
            <v>Services</v>
          </cell>
          <cell r="L76">
            <v>78.17</v>
          </cell>
          <cell r="N76">
            <v>0.89</v>
          </cell>
          <cell r="P76" t="str">
            <v xml:space="preserve"> </v>
          </cell>
          <cell r="T76" t="str">
            <v xml:space="preserve"> </v>
          </cell>
          <cell r="V76">
            <v>0.89</v>
          </cell>
          <cell r="X76">
            <v>1</v>
          </cell>
          <cell r="Y76">
            <v>0</v>
          </cell>
          <cell r="Z76">
            <v>1</v>
          </cell>
          <cell r="AA76">
            <v>0</v>
          </cell>
          <cell r="AB76">
            <v>1</v>
          </cell>
          <cell r="AC76">
            <v>1</v>
          </cell>
          <cell r="AD76" t="str">
            <v xml:space="preserve">    Immunizations</v>
          </cell>
          <cell r="AK76">
            <v>807</v>
          </cell>
          <cell r="AL76" t="str">
            <v>Services</v>
          </cell>
          <cell r="AN76">
            <v>48.27</v>
          </cell>
          <cell r="AP76">
            <v>3.25</v>
          </cell>
          <cell r="AR76" t="str">
            <v xml:space="preserve"> </v>
          </cell>
          <cell r="AT76" t="str">
            <v xml:space="preserve"> </v>
          </cell>
          <cell r="AV76" t="str">
            <v xml:space="preserve"> </v>
          </cell>
          <cell r="AX76">
            <v>3.25</v>
          </cell>
          <cell r="BA76">
            <v>1</v>
          </cell>
        </row>
        <row r="77">
          <cell r="B77" t="str">
            <v xml:space="preserve">    Well Baby Exams</v>
          </cell>
          <cell r="I77">
            <v>102</v>
          </cell>
          <cell r="J77" t="str">
            <v>Exams</v>
          </cell>
          <cell r="L77">
            <v>107.55</v>
          </cell>
          <cell r="N77">
            <v>0.91</v>
          </cell>
          <cell r="P77" t="str">
            <v>$ Preventitive Copay</v>
          </cell>
          <cell r="T77" t="str">
            <v xml:space="preserve"> </v>
          </cell>
          <cell r="V77">
            <v>0.91</v>
          </cell>
          <cell r="X77">
            <v>1</v>
          </cell>
          <cell r="Y77">
            <v>0</v>
          </cell>
          <cell r="Z77">
            <v>1</v>
          </cell>
          <cell r="AA77">
            <v>0</v>
          </cell>
          <cell r="AB77">
            <v>1</v>
          </cell>
          <cell r="AC77">
            <v>1</v>
          </cell>
          <cell r="AD77" t="str">
            <v xml:space="preserve">    Well Baby Exams</v>
          </cell>
          <cell r="AK77">
            <v>85</v>
          </cell>
          <cell r="AL77" t="str">
            <v>Exams</v>
          </cell>
          <cell r="AN77">
            <v>160.78</v>
          </cell>
          <cell r="AP77">
            <v>1.1399999999999999</v>
          </cell>
          <cell r="AR77" t="str">
            <v xml:space="preserve"> </v>
          </cell>
          <cell r="AT77" t="str">
            <v xml:space="preserve"> </v>
          </cell>
          <cell r="AV77" t="str">
            <v xml:space="preserve"> </v>
          </cell>
          <cell r="AX77">
            <v>1.1399999999999999</v>
          </cell>
          <cell r="BA77">
            <v>1</v>
          </cell>
        </row>
        <row r="78">
          <cell r="B78" t="str">
            <v xml:space="preserve">    Physical Exams</v>
          </cell>
          <cell r="X78">
            <v>1</v>
          </cell>
          <cell r="AB78">
            <v>0</v>
          </cell>
          <cell r="AC78">
            <v>1</v>
          </cell>
          <cell r="AD78" t="str">
            <v xml:space="preserve">    Physical Exams</v>
          </cell>
        </row>
        <row r="79">
          <cell r="B79" t="str">
            <v xml:space="preserve">        Physician</v>
          </cell>
          <cell r="I79">
            <v>567</v>
          </cell>
          <cell r="J79" t="str">
            <v>Exams</v>
          </cell>
          <cell r="L79">
            <v>159.19999999999999</v>
          </cell>
          <cell r="N79">
            <v>7.52</v>
          </cell>
          <cell r="P79" t="str">
            <v>$ Preventitive Copay</v>
          </cell>
          <cell r="T79" t="str">
            <v xml:space="preserve"> </v>
          </cell>
          <cell r="V79">
            <v>7.52</v>
          </cell>
          <cell r="X79">
            <v>1</v>
          </cell>
          <cell r="Y79">
            <v>0</v>
          </cell>
          <cell r="Z79">
            <v>1</v>
          </cell>
          <cell r="AA79">
            <v>0</v>
          </cell>
          <cell r="AB79">
            <v>1</v>
          </cell>
          <cell r="AD79" t="str">
            <v xml:space="preserve">        Physician</v>
          </cell>
          <cell r="AK79">
            <v>322</v>
          </cell>
          <cell r="AL79" t="str">
            <v>Exams</v>
          </cell>
          <cell r="AN79">
            <v>243.3</v>
          </cell>
          <cell r="AP79">
            <v>6.53</v>
          </cell>
          <cell r="AR79" t="str">
            <v xml:space="preserve"> </v>
          </cell>
          <cell r="AT79" t="str">
            <v xml:space="preserve"> </v>
          </cell>
          <cell r="AV79" t="str">
            <v xml:space="preserve"> </v>
          </cell>
          <cell r="AX79">
            <v>6.53</v>
          </cell>
          <cell r="BA79">
            <v>1</v>
          </cell>
        </row>
        <row r="80">
          <cell r="B80" t="str">
            <v xml:space="preserve">        X-Ray - Radiology</v>
          </cell>
          <cell r="I80">
            <v>10</v>
          </cell>
          <cell r="J80" t="str">
            <v>Proced.</v>
          </cell>
          <cell r="L80">
            <v>130.12</v>
          </cell>
          <cell r="N80">
            <v>0.11</v>
          </cell>
          <cell r="P80" t="str">
            <v xml:space="preserve"> </v>
          </cell>
          <cell r="T80" t="str">
            <v xml:space="preserve"> </v>
          </cell>
          <cell r="V80">
            <v>0.11</v>
          </cell>
          <cell r="X80">
            <v>1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D80" t="str">
            <v xml:space="preserve">        X-Ray</v>
          </cell>
          <cell r="AK80">
            <v>6</v>
          </cell>
          <cell r="AL80" t="str">
            <v>Proced.</v>
          </cell>
          <cell r="AN80">
            <v>173.27</v>
          </cell>
          <cell r="AP80">
            <v>0.09</v>
          </cell>
          <cell r="AR80" t="str">
            <v xml:space="preserve"> </v>
          </cell>
          <cell r="AT80" t="str">
            <v xml:space="preserve"> </v>
          </cell>
          <cell r="AV80" t="str">
            <v xml:space="preserve"> </v>
          </cell>
          <cell r="AX80">
            <v>0.09</v>
          </cell>
          <cell r="BA80">
            <v>1</v>
          </cell>
        </row>
        <row r="81">
          <cell r="B81" t="str">
            <v xml:space="preserve">        Lab - Pathology</v>
          </cell>
          <cell r="I81">
            <v>697</v>
          </cell>
          <cell r="J81" t="str">
            <v>Proced.</v>
          </cell>
          <cell r="L81">
            <v>48.68</v>
          </cell>
          <cell r="N81">
            <v>2.83</v>
          </cell>
          <cell r="P81" t="str">
            <v xml:space="preserve"> </v>
          </cell>
          <cell r="T81" t="str">
            <v xml:space="preserve"> </v>
          </cell>
          <cell r="V81">
            <v>2.83</v>
          </cell>
          <cell r="X81">
            <v>1</v>
          </cell>
          <cell r="Y81">
            <v>0</v>
          </cell>
          <cell r="Z81">
            <v>1</v>
          </cell>
          <cell r="AA81">
            <v>0</v>
          </cell>
          <cell r="AB81">
            <v>1</v>
          </cell>
          <cell r="AD81" t="str">
            <v xml:space="preserve">        Lab</v>
          </cell>
          <cell r="AK81">
            <v>393</v>
          </cell>
          <cell r="AL81" t="str">
            <v>Proced.</v>
          </cell>
          <cell r="AN81">
            <v>64.819999999999993</v>
          </cell>
          <cell r="AP81">
            <v>2.12</v>
          </cell>
          <cell r="AR81" t="str">
            <v xml:space="preserve"> </v>
          </cell>
          <cell r="AT81" t="str">
            <v xml:space="preserve"> </v>
          </cell>
          <cell r="AV81" t="str">
            <v xml:space="preserve"> </v>
          </cell>
          <cell r="AX81">
            <v>2.12</v>
          </cell>
          <cell r="BA81">
            <v>1</v>
          </cell>
        </row>
        <row r="82">
          <cell r="B82" t="str">
            <v xml:space="preserve">    Vision, Hearing, and Speech Exams</v>
          </cell>
          <cell r="X82">
            <v>1</v>
          </cell>
          <cell r="AB82">
            <v>0</v>
          </cell>
          <cell r="AC82">
            <v>1</v>
          </cell>
          <cell r="AD82" t="str">
            <v xml:space="preserve">    Vision, Hearing, and Speech Exams</v>
          </cell>
        </row>
        <row r="83">
          <cell r="B83" t="str">
            <v xml:space="preserve">        Vision Exams</v>
          </cell>
          <cell r="I83">
            <v>256</v>
          </cell>
          <cell r="J83" t="str">
            <v>Exams</v>
          </cell>
          <cell r="L83">
            <v>112.15</v>
          </cell>
          <cell r="N83">
            <v>2.39</v>
          </cell>
          <cell r="P83" t="str">
            <v>$ Preventitive Copay</v>
          </cell>
          <cell r="V83">
            <v>2.39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1</v>
          </cell>
          <cell r="AD83" t="str">
            <v xml:space="preserve">        Vision Exams</v>
          </cell>
          <cell r="AK83">
            <v>406</v>
          </cell>
          <cell r="AL83" t="str">
            <v>Exams</v>
          </cell>
          <cell r="AN83">
            <v>115.22</v>
          </cell>
          <cell r="AP83">
            <v>3.9</v>
          </cell>
          <cell r="AR83" t="str">
            <v xml:space="preserve"> </v>
          </cell>
          <cell r="AT83" t="str">
            <v xml:space="preserve"> </v>
          </cell>
          <cell r="AV83" t="str">
            <v xml:space="preserve"> </v>
          </cell>
          <cell r="AX83">
            <v>3.9</v>
          </cell>
          <cell r="BA83">
            <v>1</v>
          </cell>
        </row>
        <row r="84">
          <cell r="B84" t="str">
            <v xml:space="preserve">        Hearing/Speech Exams</v>
          </cell>
          <cell r="I84">
            <v>58</v>
          </cell>
          <cell r="J84" t="str">
            <v>Exams</v>
          </cell>
          <cell r="L84">
            <v>81.59</v>
          </cell>
          <cell r="N84">
            <v>0.39</v>
          </cell>
          <cell r="P84" t="str">
            <v>$ Preventitive Copay</v>
          </cell>
          <cell r="V84">
            <v>0.39</v>
          </cell>
          <cell r="X84">
            <v>1</v>
          </cell>
          <cell r="Y84">
            <v>0</v>
          </cell>
          <cell r="Z84">
            <v>1</v>
          </cell>
          <cell r="AA84">
            <v>0</v>
          </cell>
          <cell r="AB84">
            <v>1</v>
          </cell>
          <cell r="AC84">
            <v>1</v>
          </cell>
          <cell r="AD84" t="str">
            <v xml:space="preserve">        Hearing/Speech Exams</v>
          </cell>
          <cell r="AK84">
            <v>83</v>
          </cell>
          <cell r="AL84" t="str">
            <v>Exams</v>
          </cell>
          <cell r="AN84">
            <v>87.07</v>
          </cell>
          <cell r="AP84">
            <v>0.6</v>
          </cell>
          <cell r="AR84" t="str">
            <v xml:space="preserve"> </v>
          </cell>
          <cell r="AT84" t="str">
            <v xml:space="preserve"> </v>
          </cell>
          <cell r="AV84" t="str">
            <v xml:space="preserve"> </v>
          </cell>
          <cell r="AX84">
            <v>0.6</v>
          </cell>
          <cell r="BA84">
            <v>1</v>
          </cell>
        </row>
        <row r="85">
          <cell r="B85" t="str">
            <v xml:space="preserve">  Physician –Other Physician Services </v>
          </cell>
        </row>
        <row r="86">
          <cell r="B86" t="str">
            <v xml:space="preserve">    Emergency Room Visits</v>
          </cell>
          <cell r="I86">
            <v>349</v>
          </cell>
          <cell r="J86" t="str">
            <v>Visits</v>
          </cell>
          <cell r="L86">
            <v>232.84</v>
          </cell>
          <cell r="N86">
            <v>6.77</v>
          </cell>
          <cell r="P86" t="str">
            <v xml:space="preserve"> </v>
          </cell>
          <cell r="T86" t="str">
            <v xml:space="preserve"> </v>
          </cell>
          <cell r="V86">
            <v>6.77</v>
          </cell>
          <cell r="X86">
            <v>1</v>
          </cell>
          <cell r="Y86">
            <v>0</v>
          </cell>
          <cell r="Z86">
            <v>1</v>
          </cell>
          <cell r="AA86">
            <v>1</v>
          </cell>
          <cell r="AB86">
            <v>0</v>
          </cell>
          <cell r="AC86">
            <v>0</v>
          </cell>
          <cell r="AD86" t="str">
            <v xml:space="preserve">    Emergency Room Visits</v>
          </cell>
          <cell r="AK86">
            <v>0</v>
          </cell>
          <cell r="AL86" t="str">
            <v>Visits</v>
          </cell>
          <cell r="AN86">
            <v>320.02</v>
          </cell>
          <cell r="AP86">
            <v>0</v>
          </cell>
          <cell r="AR86" t="str">
            <v xml:space="preserve"> </v>
          </cell>
          <cell r="AT86" t="str">
            <v xml:space="preserve"> </v>
          </cell>
          <cell r="AV86" t="str">
            <v xml:space="preserve"> </v>
          </cell>
          <cell r="AX86">
            <v>0</v>
          </cell>
          <cell r="BA86">
            <v>0</v>
          </cell>
        </row>
        <row r="87">
          <cell r="B87" t="str">
            <v xml:space="preserve">    OP Phys Consults</v>
          </cell>
          <cell r="I87">
            <v>2</v>
          </cell>
          <cell r="J87" t="str">
            <v>Consults</v>
          </cell>
          <cell r="L87">
            <v>201.72</v>
          </cell>
          <cell r="N87">
            <v>0.03</v>
          </cell>
          <cell r="P87" t="str">
            <v xml:space="preserve"> </v>
          </cell>
          <cell r="T87" t="str">
            <v xml:space="preserve"> </v>
          </cell>
          <cell r="V87">
            <v>0.03</v>
          </cell>
          <cell r="X87">
            <v>1</v>
          </cell>
          <cell r="Y87">
            <v>0</v>
          </cell>
          <cell r="Z87">
            <v>1</v>
          </cell>
          <cell r="AA87">
            <v>0</v>
          </cell>
          <cell r="AB87">
            <v>1</v>
          </cell>
          <cell r="AC87">
            <v>1</v>
          </cell>
          <cell r="AD87" t="str">
            <v xml:space="preserve">    Consults</v>
          </cell>
          <cell r="AK87">
            <v>260</v>
          </cell>
          <cell r="AL87" t="str">
            <v>Consults</v>
          </cell>
          <cell r="AN87">
            <v>329.41</v>
          </cell>
          <cell r="AP87">
            <v>7.14</v>
          </cell>
          <cell r="AR87" t="str">
            <v xml:space="preserve"> </v>
          </cell>
          <cell r="AT87" t="str">
            <v xml:space="preserve"> </v>
          </cell>
          <cell r="AV87" t="str">
            <v xml:space="preserve"> </v>
          </cell>
          <cell r="AX87">
            <v>7.14</v>
          </cell>
          <cell r="BA87">
            <v>1</v>
          </cell>
        </row>
        <row r="88">
          <cell r="B88" t="str">
            <v xml:space="preserve">    Physical Therapy</v>
          </cell>
          <cell r="I88">
            <v>719</v>
          </cell>
          <cell r="J88" t="str">
            <v>Services</v>
          </cell>
          <cell r="L88">
            <v>86.01</v>
          </cell>
          <cell r="N88">
            <v>5.15</v>
          </cell>
          <cell r="P88" t="str">
            <v>$ PT/OT</v>
          </cell>
          <cell r="T88" t="str">
            <v xml:space="preserve"> </v>
          </cell>
          <cell r="V88">
            <v>5.15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1</v>
          </cell>
          <cell r="AC88">
            <v>1</v>
          </cell>
          <cell r="AD88" t="str">
            <v xml:space="preserve">    Physical Therapy</v>
          </cell>
          <cell r="AK88">
            <v>1169</v>
          </cell>
          <cell r="AL88" t="str">
            <v>Services</v>
          </cell>
          <cell r="AN88">
            <v>85.91</v>
          </cell>
          <cell r="AP88">
            <v>8.3699999999999992</v>
          </cell>
          <cell r="AR88" t="str">
            <v xml:space="preserve"> </v>
          </cell>
          <cell r="AT88" t="str">
            <v xml:space="preserve"> </v>
          </cell>
          <cell r="AV88" t="str">
            <v xml:space="preserve"> </v>
          </cell>
          <cell r="AX88">
            <v>8.3699999999999992</v>
          </cell>
          <cell r="BA88">
            <v>1</v>
          </cell>
        </row>
        <row r="89">
          <cell r="B89" t="str">
            <v xml:space="preserve">    Cardiovascular</v>
          </cell>
          <cell r="I89">
            <v>53</v>
          </cell>
          <cell r="J89" t="str">
            <v>Proced.</v>
          </cell>
          <cell r="L89">
            <v>211.23</v>
          </cell>
          <cell r="N89">
            <v>0.93</v>
          </cell>
          <cell r="P89" t="str">
            <v>$ Specialist</v>
          </cell>
          <cell r="T89" t="str">
            <v xml:space="preserve"> </v>
          </cell>
          <cell r="V89">
            <v>0.93</v>
          </cell>
          <cell r="X89">
            <v>1</v>
          </cell>
          <cell r="Y89">
            <v>0</v>
          </cell>
          <cell r="Z89">
            <v>1</v>
          </cell>
          <cell r="AA89">
            <v>0</v>
          </cell>
          <cell r="AB89">
            <v>1</v>
          </cell>
          <cell r="AC89">
            <v>1</v>
          </cell>
          <cell r="AD89" t="str">
            <v xml:space="preserve">    Cardiovascular</v>
          </cell>
          <cell r="AK89">
            <v>325</v>
          </cell>
          <cell r="AL89" t="str">
            <v>Proced.</v>
          </cell>
          <cell r="AN89">
            <v>231.32</v>
          </cell>
          <cell r="AP89">
            <v>6.26</v>
          </cell>
          <cell r="AR89" t="str">
            <v xml:space="preserve"> </v>
          </cell>
          <cell r="AT89" t="str">
            <v xml:space="preserve"> </v>
          </cell>
          <cell r="AV89" t="str">
            <v xml:space="preserve"> </v>
          </cell>
          <cell r="AX89">
            <v>6.26</v>
          </cell>
          <cell r="BA89">
            <v>1</v>
          </cell>
        </row>
        <row r="90">
          <cell r="B90" t="str">
            <v xml:space="preserve">    Radiology</v>
          </cell>
          <cell r="X90">
            <v>1</v>
          </cell>
          <cell r="AB90">
            <v>0</v>
          </cell>
          <cell r="AC90">
            <v>1</v>
          </cell>
          <cell r="AD90" t="str">
            <v xml:space="preserve">    Radiology</v>
          </cell>
        </row>
        <row r="91">
          <cell r="B91" t="str">
            <v xml:space="preserve">        IP (Professional)</v>
          </cell>
          <cell r="I91">
            <v>90</v>
          </cell>
          <cell r="J91" t="str">
            <v>Proced.</v>
          </cell>
          <cell r="L91">
            <v>115.86</v>
          </cell>
          <cell r="N91">
            <v>0.87</v>
          </cell>
          <cell r="P91" t="str">
            <v xml:space="preserve"> </v>
          </cell>
          <cell r="T91" t="str">
            <v xml:space="preserve"> </v>
          </cell>
          <cell r="V91">
            <v>0.87</v>
          </cell>
          <cell r="X91">
            <v>1</v>
          </cell>
          <cell r="Y91">
            <v>0</v>
          </cell>
          <cell r="Z91">
            <v>1</v>
          </cell>
          <cell r="AA91">
            <v>0</v>
          </cell>
          <cell r="AB91">
            <v>1</v>
          </cell>
          <cell r="AC91">
            <v>1</v>
          </cell>
          <cell r="AD91" t="str">
            <v xml:space="preserve">        IP (Professional)</v>
          </cell>
          <cell r="AK91">
            <v>120</v>
          </cell>
          <cell r="AL91" t="str">
            <v>Proced.</v>
          </cell>
          <cell r="AN91">
            <v>132.13</v>
          </cell>
          <cell r="AP91">
            <v>1.32</v>
          </cell>
          <cell r="AR91" t="str">
            <v xml:space="preserve"> </v>
          </cell>
          <cell r="AT91" t="str">
            <v xml:space="preserve"> </v>
          </cell>
          <cell r="AV91" t="str">
            <v xml:space="preserve"> </v>
          </cell>
          <cell r="AX91">
            <v>1.32</v>
          </cell>
          <cell r="BA91">
            <v>1</v>
          </cell>
        </row>
        <row r="92">
          <cell r="B92" t="str">
            <v xml:space="preserve">        OP (Professional)</v>
          </cell>
          <cell r="X92">
            <v>1</v>
          </cell>
          <cell r="AB92">
            <v>0</v>
          </cell>
          <cell r="AC92">
            <v>1</v>
          </cell>
          <cell r="AD92" t="str">
            <v xml:space="preserve">        OP (Professional)</v>
          </cell>
        </row>
        <row r="93">
          <cell r="B93" t="str">
            <v xml:space="preserve">           Outpatient - General</v>
          </cell>
          <cell r="I93">
            <v>431</v>
          </cell>
          <cell r="J93" t="str">
            <v>Proced.</v>
          </cell>
          <cell r="L93">
            <v>67.510000000000005</v>
          </cell>
          <cell r="N93">
            <v>2.42</v>
          </cell>
          <cell r="P93" t="str">
            <v xml:space="preserve"> </v>
          </cell>
          <cell r="T93" t="str">
            <v xml:space="preserve"> </v>
          </cell>
          <cell r="V93">
            <v>2.42</v>
          </cell>
          <cell r="X93">
            <v>1</v>
          </cell>
          <cell r="Y93">
            <v>0</v>
          </cell>
          <cell r="Z93">
            <v>1</v>
          </cell>
          <cell r="AA93">
            <v>0</v>
          </cell>
          <cell r="AB93">
            <v>1</v>
          </cell>
          <cell r="AC93">
            <v>1</v>
          </cell>
          <cell r="AD93" t="str">
            <v xml:space="preserve">           Outpatient - General</v>
          </cell>
          <cell r="AK93">
            <v>528</v>
          </cell>
          <cell r="AL93" t="str">
            <v>Proced.</v>
          </cell>
          <cell r="AN93">
            <v>98.45</v>
          </cell>
          <cell r="AP93">
            <v>4.33</v>
          </cell>
          <cell r="AR93" t="str">
            <v xml:space="preserve"> </v>
          </cell>
          <cell r="AT93" t="str">
            <v xml:space="preserve"> </v>
          </cell>
          <cell r="AV93" t="str">
            <v xml:space="preserve"> </v>
          </cell>
          <cell r="AX93">
            <v>4.33</v>
          </cell>
          <cell r="BA93">
            <v>1</v>
          </cell>
        </row>
        <row r="94">
          <cell r="B94" t="str">
            <v xml:space="preserve">           Outpatient - CT / MRI / PET</v>
          </cell>
          <cell r="I94">
            <v>121</v>
          </cell>
          <cell r="J94" t="str">
            <v>Proced.</v>
          </cell>
          <cell r="L94">
            <v>181.34</v>
          </cell>
          <cell r="N94">
            <v>1.83</v>
          </cell>
          <cell r="P94" t="str">
            <v xml:space="preserve"> </v>
          </cell>
          <cell r="T94" t="str">
            <v xml:space="preserve"> </v>
          </cell>
          <cell r="V94">
            <v>1.83</v>
          </cell>
          <cell r="X94">
            <v>1</v>
          </cell>
          <cell r="Y94">
            <v>0</v>
          </cell>
          <cell r="Z94">
            <v>1</v>
          </cell>
          <cell r="AA94">
            <v>0</v>
          </cell>
          <cell r="AB94">
            <v>1</v>
          </cell>
          <cell r="AC94">
            <v>1</v>
          </cell>
          <cell r="AD94" t="str">
            <v xml:space="preserve">           Outpatient - CT / MRI / PET</v>
          </cell>
          <cell r="AK94">
            <v>149</v>
          </cell>
          <cell r="AL94" t="str">
            <v>Proced.</v>
          </cell>
          <cell r="AN94">
            <v>279.75</v>
          </cell>
          <cell r="AP94">
            <v>3.47</v>
          </cell>
          <cell r="AR94" t="str">
            <v xml:space="preserve"> </v>
          </cell>
          <cell r="AT94" t="str">
            <v xml:space="preserve"> </v>
          </cell>
          <cell r="AV94" t="str">
            <v xml:space="preserve"> </v>
          </cell>
          <cell r="AX94">
            <v>3.47</v>
          </cell>
          <cell r="BA94">
            <v>1</v>
          </cell>
        </row>
        <row r="95">
          <cell r="B95" t="str">
            <v xml:space="preserve">        Office (Combined)</v>
          </cell>
          <cell r="X95">
            <v>1</v>
          </cell>
          <cell r="AB95">
            <v>0</v>
          </cell>
          <cell r="AC95">
            <v>1</v>
          </cell>
          <cell r="AD95" t="str">
            <v xml:space="preserve">        Office (Combined)</v>
          </cell>
        </row>
        <row r="96">
          <cell r="B96" t="str">
            <v xml:space="preserve">           Office - General</v>
          </cell>
          <cell r="I96">
            <v>439</v>
          </cell>
          <cell r="J96" t="str">
            <v>Proced.</v>
          </cell>
          <cell r="L96">
            <v>298.33</v>
          </cell>
          <cell r="N96">
            <v>10.91</v>
          </cell>
          <cell r="P96" t="str">
            <v xml:space="preserve"> </v>
          </cell>
          <cell r="T96" t="str">
            <v xml:space="preserve"> </v>
          </cell>
          <cell r="V96">
            <v>10.91</v>
          </cell>
          <cell r="X96">
            <v>1</v>
          </cell>
          <cell r="Y96">
            <v>0</v>
          </cell>
          <cell r="Z96">
            <v>1</v>
          </cell>
          <cell r="AA96">
            <v>0</v>
          </cell>
          <cell r="AB96">
            <v>1</v>
          </cell>
          <cell r="AC96">
            <v>1</v>
          </cell>
          <cell r="AD96" t="str">
            <v xml:space="preserve">           Office - General</v>
          </cell>
          <cell r="AK96">
            <v>725</v>
          </cell>
          <cell r="AL96" t="str">
            <v>Proced.</v>
          </cell>
          <cell r="AN96">
            <v>214.72</v>
          </cell>
          <cell r="AP96">
            <v>12.97</v>
          </cell>
          <cell r="AR96" t="str">
            <v xml:space="preserve"> </v>
          </cell>
          <cell r="AT96" t="str">
            <v xml:space="preserve"> </v>
          </cell>
          <cell r="AV96" t="str">
            <v xml:space="preserve"> </v>
          </cell>
          <cell r="AX96">
            <v>12.97</v>
          </cell>
          <cell r="BA96">
            <v>1</v>
          </cell>
        </row>
        <row r="97">
          <cell r="B97" t="str">
            <v xml:space="preserve">           Office - CT / MRI / PET</v>
          </cell>
          <cell r="I97">
            <v>50</v>
          </cell>
          <cell r="J97" t="str">
            <v>Proced.</v>
          </cell>
          <cell r="L97">
            <v>1999.33</v>
          </cell>
          <cell r="N97">
            <v>8.33</v>
          </cell>
          <cell r="P97" t="str">
            <v xml:space="preserve"> </v>
          </cell>
          <cell r="T97" t="str">
            <v xml:space="preserve"> </v>
          </cell>
          <cell r="V97">
            <v>8.33</v>
          </cell>
          <cell r="X97">
            <v>1</v>
          </cell>
          <cell r="Y97">
            <v>0</v>
          </cell>
          <cell r="Z97">
            <v>1</v>
          </cell>
          <cell r="AA97">
            <v>0</v>
          </cell>
          <cell r="AB97">
            <v>1</v>
          </cell>
          <cell r="AC97">
            <v>1</v>
          </cell>
          <cell r="AD97" t="str">
            <v xml:space="preserve">           Office - CT / MRI / PET</v>
          </cell>
          <cell r="AK97">
            <v>83</v>
          </cell>
          <cell r="AL97" t="str">
            <v>Proced.</v>
          </cell>
          <cell r="AN97">
            <v>1498.43</v>
          </cell>
          <cell r="AP97">
            <v>10.36</v>
          </cell>
          <cell r="AR97" t="str">
            <v xml:space="preserve"> </v>
          </cell>
          <cell r="AT97" t="str">
            <v xml:space="preserve"> </v>
          </cell>
          <cell r="AV97" t="str">
            <v xml:space="preserve"> </v>
          </cell>
          <cell r="AX97">
            <v>10.36</v>
          </cell>
          <cell r="BA97">
            <v>1</v>
          </cell>
        </row>
        <row r="98">
          <cell r="B98" t="str">
            <v xml:space="preserve">    Pathology</v>
          </cell>
          <cell r="X98">
            <v>1</v>
          </cell>
          <cell r="AB98">
            <v>0</v>
          </cell>
          <cell r="AC98">
            <v>1</v>
          </cell>
          <cell r="AD98" t="str">
            <v xml:space="preserve">    Pathology</v>
          </cell>
        </row>
        <row r="99">
          <cell r="B99" t="str">
            <v xml:space="preserve">        IP (Professional)</v>
          </cell>
          <cell r="I99">
            <v>70</v>
          </cell>
          <cell r="J99" t="str">
            <v>Proced.</v>
          </cell>
          <cell r="L99">
            <v>199.62</v>
          </cell>
          <cell r="N99">
            <v>1.1599999999999999</v>
          </cell>
          <cell r="P99" t="str">
            <v xml:space="preserve"> </v>
          </cell>
          <cell r="T99" t="str">
            <v xml:space="preserve"> </v>
          </cell>
          <cell r="V99">
            <v>1.1599999999999999</v>
          </cell>
          <cell r="X99">
            <v>1</v>
          </cell>
          <cell r="Y99">
            <v>0</v>
          </cell>
          <cell r="Z99">
            <v>1</v>
          </cell>
          <cell r="AA99">
            <v>0</v>
          </cell>
          <cell r="AB99">
            <v>1</v>
          </cell>
          <cell r="AC99">
            <v>1</v>
          </cell>
          <cell r="AD99" t="str">
            <v xml:space="preserve">        IP (Professional)</v>
          </cell>
          <cell r="AK99">
            <v>51</v>
          </cell>
          <cell r="AL99" t="str">
            <v>Proced.</v>
          </cell>
          <cell r="AN99">
            <v>176.77</v>
          </cell>
          <cell r="AP99">
            <v>0.75</v>
          </cell>
          <cell r="AR99" t="str">
            <v xml:space="preserve"> </v>
          </cell>
          <cell r="AT99" t="str">
            <v xml:space="preserve"> </v>
          </cell>
          <cell r="AV99" t="str">
            <v xml:space="preserve"> </v>
          </cell>
          <cell r="AX99">
            <v>0.75</v>
          </cell>
          <cell r="BA99">
            <v>1</v>
          </cell>
        </row>
        <row r="100">
          <cell r="B100" t="str">
            <v xml:space="preserve">        OP (Professional)</v>
          </cell>
          <cell r="I100">
            <v>105</v>
          </cell>
          <cell r="J100" t="str">
            <v>Proced.</v>
          </cell>
          <cell r="L100">
            <v>118.3</v>
          </cell>
          <cell r="N100">
            <v>1.04</v>
          </cell>
          <cell r="P100" t="str">
            <v xml:space="preserve"> </v>
          </cell>
          <cell r="T100" t="str">
            <v xml:space="preserve"> </v>
          </cell>
          <cell r="V100">
            <v>1.04</v>
          </cell>
          <cell r="X100">
            <v>1</v>
          </cell>
          <cell r="Y100">
            <v>0</v>
          </cell>
          <cell r="Z100">
            <v>1</v>
          </cell>
          <cell r="AA100">
            <v>0</v>
          </cell>
          <cell r="AB100">
            <v>1</v>
          </cell>
          <cell r="AC100">
            <v>1</v>
          </cell>
          <cell r="AD100" t="str">
            <v xml:space="preserve">        OP (Professional)</v>
          </cell>
          <cell r="AK100">
            <v>100</v>
          </cell>
          <cell r="AL100" t="str">
            <v>Proced.</v>
          </cell>
          <cell r="AN100">
            <v>176.84</v>
          </cell>
          <cell r="AP100">
            <v>1.47</v>
          </cell>
          <cell r="AR100" t="str">
            <v xml:space="preserve"> </v>
          </cell>
          <cell r="AT100" t="str">
            <v xml:space="preserve"> </v>
          </cell>
          <cell r="AV100" t="str">
            <v xml:space="preserve"> </v>
          </cell>
          <cell r="AX100">
            <v>1.47</v>
          </cell>
          <cell r="BA100">
            <v>1</v>
          </cell>
        </row>
        <row r="101">
          <cell r="B101" t="str">
            <v xml:space="preserve">        Office (Combined)</v>
          </cell>
          <cell r="I101">
            <v>2409</v>
          </cell>
          <cell r="J101" t="str">
            <v>Proced.</v>
          </cell>
          <cell r="L101">
            <v>143.68</v>
          </cell>
          <cell r="N101">
            <v>28.84</v>
          </cell>
          <cell r="P101" t="str">
            <v xml:space="preserve"> </v>
          </cell>
          <cell r="T101" t="str">
            <v xml:space="preserve"> </v>
          </cell>
          <cell r="V101">
            <v>28.84</v>
          </cell>
          <cell r="X101">
            <v>1</v>
          </cell>
          <cell r="Y101">
            <v>0</v>
          </cell>
          <cell r="Z101">
            <v>1</v>
          </cell>
          <cell r="AA101">
            <v>0</v>
          </cell>
          <cell r="AB101">
            <v>1</v>
          </cell>
          <cell r="AC101">
            <v>1</v>
          </cell>
          <cell r="AD101" t="str">
            <v xml:space="preserve">        Office (Combined)</v>
          </cell>
          <cell r="AK101">
            <v>3396</v>
          </cell>
          <cell r="AL101" t="str">
            <v>Proced.</v>
          </cell>
          <cell r="AN101">
            <v>67.72</v>
          </cell>
          <cell r="AP101">
            <v>19.16</v>
          </cell>
          <cell r="AR101" t="str">
            <v xml:space="preserve"> </v>
          </cell>
          <cell r="AT101" t="str">
            <v xml:space="preserve"> </v>
          </cell>
          <cell r="AV101" t="str">
            <v xml:space="preserve"> </v>
          </cell>
          <cell r="AX101">
            <v>19.16</v>
          </cell>
          <cell r="BA101">
            <v>1</v>
          </cell>
        </row>
        <row r="102">
          <cell r="B102" t="str">
            <v xml:space="preserve">    Chiropractor</v>
          </cell>
          <cell r="I102">
            <v>760</v>
          </cell>
          <cell r="J102" t="str">
            <v>Visits</v>
          </cell>
          <cell r="L102">
            <v>54.7</v>
          </cell>
          <cell r="N102">
            <v>3.46</v>
          </cell>
          <cell r="P102" t="str">
            <v xml:space="preserve">$ OV  Copay  </v>
          </cell>
          <cell r="T102" t="str">
            <v xml:space="preserve"> </v>
          </cell>
          <cell r="V102">
            <v>3.46</v>
          </cell>
          <cell r="X102">
            <v>1</v>
          </cell>
          <cell r="Y102">
            <v>0</v>
          </cell>
          <cell r="Z102">
            <v>1</v>
          </cell>
          <cell r="AA102">
            <v>0</v>
          </cell>
          <cell r="AB102">
            <v>1</v>
          </cell>
          <cell r="AC102">
            <v>1</v>
          </cell>
          <cell r="AD102" t="str">
            <v xml:space="preserve">    Chiropractor</v>
          </cell>
          <cell r="AK102">
            <v>1269</v>
          </cell>
          <cell r="AL102" t="str">
            <v>Visits</v>
          </cell>
          <cell r="AN102">
            <v>65.92</v>
          </cell>
          <cell r="AP102">
            <v>6.97</v>
          </cell>
          <cell r="AR102" t="str">
            <v xml:space="preserve"> </v>
          </cell>
          <cell r="AT102" t="str">
            <v xml:space="preserve"> </v>
          </cell>
          <cell r="AV102" t="str">
            <v xml:space="preserve"> </v>
          </cell>
          <cell r="AX102">
            <v>6.97</v>
          </cell>
          <cell r="BA102">
            <v>1</v>
          </cell>
        </row>
        <row r="103">
          <cell r="B103" t="str">
            <v xml:space="preserve">    Podiatrist</v>
          </cell>
          <cell r="I103">
            <v>106</v>
          </cell>
          <cell r="J103" t="str">
            <v>Visits</v>
          </cell>
          <cell r="L103">
            <v>149.46</v>
          </cell>
          <cell r="N103">
            <v>1.32</v>
          </cell>
          <cell r="P103" t="str">
            <v>$ Specialist</v>
          </cell>
          <cell r="T103" t="str">
            <v xml:space="preserve"> </v>
          </cell>
          <cell r="V103">
            <v>1.32</v>
          </cell>
          <cell r="X103">
            <v>1</v>
          </cell>
          <cell r="Y103">
            <v>0</v>
          </cell>
          <cell r="Z103">
            <v>1</v>
          </cell>
          <cell r="AA103">
            <v>0</v>
          </cell>
          <cell r="AB103">
            <v>1</v>
          </cell>
          <cell r="AC103">
            <v>1</v>
          </cell>
          <cell r="AD103" t="str">
            <v xml:space="preserve">    Podiatrist</v>
          </cell>
          <cell r="AK103">
            <v>169</v>
          </cell>
          <cell r="AL103" t="str">
            <v>Visits</v>
          </cell>
          <cell r="AN103">
            <v>205.21</v>
          </cell>
          <cell r="AP103">
            <v>2.89</v>
          </cell>
          <cell r="AR103" t="str">
            <v xml:space="preserve"> </v>
          </cell>
          <cell r="AT103" t="str">
            <v xml:space="preserve"> </v>
          </cell>
          <cell r="AV103" t="str">
            <v xml:space="preserve"> </v>
          </cell>
          <cell r="AX103">
            <v>2.89</v>
          </cell>
          <cell r="BA103">
            <v>1</v>
          </cell>
        </row>
        <row r="104">
          <cell r="B104" t="str">
            <v xml:space="preserve">    Outpatient Psychiatric</v>
          </cell>
          <cell r="I104">
            <v>1163</v>
          </cell>
          <cell r="J104" t="str">
            <v>Visits</v>
          </cell>
          <cell r="L104">
            <v>89.17</v>
          </cell>
          <cell r="N104">
            <v>8.64</v>
          </cell>
          <cell r="P104" t="str">
            <v xml:space="preserve">$ OV  Copay  </v>
          </cell>
          <cell r="T104" t="str">
            <v xml:space="preserve"> </v>
          </cell>
          <cell r="V104">
            <v>8.64</v>
          </cell>
          <cell r="X104">
            <v>1</v>
          </cell>
          <cell r="Y104">
            <v>0</v>
          </cell>
          <cell r="Z104">
            <v>1</v>
          </cell>
          <cell r="AA104">
            <v>1</v>
          </cell>
          <cell r="AB104">
            <v>0</v>
          </cell>
          <cell r="AC104">
            <v>0</v>
          </cell>
          <cell r="AD104" t="str">
            <v xml:space="preserve">    Outpatient Psychiatric</v>
          </cell>
          <cell r="AK104">
            <v>0</v>
          </cell>
          <cell r="AL104" t="str">
            <v>Visits</v>
          </cell>
          <cell r="AN104">
            <v>166.83</v>
          </cell>
          <cell r="AP104">
            <v>0</v>
          </cell>
          <cell r="AR104" t="str">
            <v xml:space="preserve"> </v>
          </cell>
          <cell r="AT104" t="str">
            <v xml:space="preserve"> </v>
          </cell>
          <cell r="AV104" t="str">
            <v xml:space="preserve"> </v>
          </cell>
          <cell r="AX104">
            <v>0</v>
          </cell>
          <cell r="BA104">
            <v>1</v>
          </cell>
        </row>
        <row r="105">
          <cell r="B105" t="str">
            <v xml:space="preserve">    Outpatient Alcohol &amp; Drug Abuse</v>
          </cell>
          <cell r="I105">
            <v>21</v>
          </cell>
          <cell r="J105" t="str">
            <v>Visits</v>
          </cell>
          <cell r="L105">
            <v>98.54</v>
          </cell>
          <cell r="N105">
            <v>0.17</v>
          </cell>
          <cell r="P105" t="str">
            <v xml:space="preserve">$ OV  Copay  </v>
          </cell>
          <cell r="T105" t="str">
            <v xml:space="preserve"> </v>
          </cell>
          <cell r="V105">
            <v>0.17</v>
          </cell>
          <cell r="X105">
            <v>1</v>
          </cell>
          <cell r="Y105">
            <v>0</v>
          </cell>
          <cell r="Z105">
            <v>1</v>
          </cell>
          <cell r="AA105">
            <v>1</v>
          </cell>
          <cell r="AB105">
            <v>0</v>
          </cell>
          <cell r="AC105">
            <v>0</v>
          </cell>
          <cell r="AD105" t="str">
            <v xml:space="preserve">    Outpatient Alcohol &amp; Drug Abuse</v>
          </cell>
          <cell r="AK105">
            <v>0</v>
          </cell>
          <cell r="AL105" t="str">
            <v>Visits</v>
          </cell>
          <cell r="AN105">
            <v>134.63999999999999</v>
          </cell>
          <cell r="AP105">
            <v>0</v>
          </cell>
          <cell r="AR105" t="str">
            <v xml:space="preserve"> </v>
          </cell>
          <cell r="AT105" t="str">
            <v xml:space="preserve"> </v>
          </cell>
          <cell r="AV105" t="str">
            <v xml:space="preserve"> </v>
          </cell>
          <cell r="AX105">
            <v>0</v>
          </cell>
          <cell r="BA105">
            <v>1</v>
          </cell>
        </row>
        <row r="106">
          <cell r="X106">
            <v>0</v>
          </cell>
          <cell r="AC106">
            <v>1</v>
          </cell>
        </row>
        <row r="107">
          <cell r="N107">
            <v>185.16</v>
          </cell>
          <cell r="T107">
            <v>0</v>
          </cell>
          <cell r="V107">
            <v>185.16</v>
          </cell>
          <cell r="X107">
            <v>0</v>
          </cell>
          <cell r="Y107">
            <v>0</v>
          </cell>
          <cell r="AA107">
            <v>15.58</v>
          </cell>
          <cell r="AC107">
            <v>1</v>
          </cell>
          <cell r="AP107">
            <v>256.74</v>
          </cell>
          <cell r="AV107">
            <v>0</v>
          </cell>
          <cell r="AX107">
            <v>256.74</v>
          </cell>
          <cell r="BA107">
            <v>256.74</v>
          </cell>
        </row>
        <row r="108">
          <cell r="X108">
            <v>0</v>
          </cell>
          <cell r="AC108">
            <v>1</v>
          </cell>
        </row>
        <row r="109">
          <cell r="B109" t="str">
            <v>Other</v>
          </cell>
          <cell r="X109">
            <v>0</v>
          </cell>
          <cell r="AC109">
            <v>1</v>
          </cell>
          <cell r="AD109" t="str">
            <v>Other</v>
          </cell>
        </row>
        <row r="110">
          <cell r="B110" t="str">
            <v xml:space="preserve">    Prescription Drugs</v>
          </cell>
          <cell r="I110">
            <v>0</v>
          </cell>
          <cell r="J110" t="str">
            <v>Scripts</v>
          </cell>
          <cell r="L110">
            <v>0</v>
          </cell>
          <cell r="N110">
            <v>0</v>
          </cell>
          <cell r="P110" t="str">
            <v xml:space="preserve"> </v>
          </cell>
          <cell r="T110" t="str">
            <v xml:space="preserve"> </v>
          </cell>
          <cell r="V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 t="str">
            <v xml:space="preserve">    Prescription Drugs</v>
          </cell>
          <cell r="AK110">
            <v>0</v>
          </cell>
          <cell r="AL110" t="str">
            <v>Scripts</v>
          </cell>
          <cell r="AN110">
            <v>93.7</v>
          </cell>
          <cell r="AP110">
            <v>0</v>
          </cell>
          <cell r="AR110" t="str">
            <v xml:space="preserve"> </v>
          </cell>
          <cell r="AT110" t="str">
            <v xml:space="preserve"> </v>
          </cell>
          <cell r="AV110" t="str">
            <v xml:space="preserve"> </v>
          </cell>
          <cell r="AX110">
            <v>0</v>
          </cell>
          <cell r="BA110">
            <v>0</v>
          </cell>
        </row>
        <row r="111">
          <cell r="B111" t="str">
            <v xml:space="preserve">    Private Duty Nursing/Home Health</v>
          </cell>
          <cell r="I111">
            <v>125</v>
          </cell>
          <cell r="J111" t="str">
            <v>Units</v>
          </cell>
          <cell r="L111">
            <v>150.04</v>
          </cell>
          <cell r="N111">
            <v>1.56</v>
          </cell>
          <cell r="P111" t="str">
            <v xml:space="preserve"> </v>
          </cell>
          <cell r="T111" t="str">
            <v xml:space="preserve"> </v>
          </cell>
          <cell r="V111">
            <v>1.56</v>
          </cell>
          <cell r="X111">
            <v>1</v>
          </cell>
          <cell r="Y111">
            <v>0</v>
          </cell>
          <cell r="Z111">
            <v>1</v>
          </cell>
          <cell r="AA111">
            <v>0</v>
          </cell>
          <cell r="AB111">
            <v>1</v>
          </cell>
          <cell r="AC111">
            <v>1</v>
          </cell>
          <cell r="AD111" t="str">
            <v xml:space="preserve">    Private Duty Nursing/Home Health</v>
          </cell>
          <cell r="AK111">
            <v>339</v>
          </cell>
          <cell r="AL111" t="str">
            <v>Units</v>
          </cell>
          <cell r="AN111">
            <v>341.3</v>
          </cell>
          <cell r="AP111">
            <v>9.64</v>
          </cell>
          <cell r="AR111" t="str">
            <v xml:space="preserve"> </v>
          </cell>
          <cell r="AT111" t="str">
            <v xml:space="preserve"> </v>
          </cell>
          <cell r="AV111" t="str">
            <v xml:space="preserve"> </v>
          </cell>
          <cell r="AX111">
            <v>9.64</v>
          </cell>
          <cell r="BA111">
            <v>1</v>
          </cell>
        </row>
        <row r="112">
          <cell r="B112" t="str">
            <v xml:space="preserve">    Ambulance</v>
          </cell>
          <cell r="I112">
            <v>7</v>
          </cell>
          <cell r="J112" t="str">
            <v>Runs</v>
          </cell>
          <cell r="L112">
            <v>603.94000000000005</v>
          </cell>
          <cell r="N112">
            <v>0.35</v>
          </cell>
          <cell r="P112" t="str">
            <v>$ Ambulane</v>
          </cell>
          <cell r="T112" t="str">
            <v xml:space="preserve"> </v>
          </cell>
          <cell r="V112">
            <v>0.35</v>
          </cell>
          <cell r="X112">
            <v>1</v>
          </cell>
          <cell r="Y112">
            <v>0</v>
          </cell>
          <cell r="Z112">
            <v>1</v>
          </cell>
          <cell r="AA112">
            <v>0</v>
          </cell>
          <cell r="AB112">
            <v>1</v>
          </cell>
          <cell r="AC112">
            <v>1</v>
          </cell>
          <cell r="AD112" t="str">
            <v xml:space="preserve">    Ambulance</v>
          </cell>
          <cell r="AK112">
            <v>68</v>
          </cell>
          <cell r="AL112" t="str">
            <v>Runs</v>
          </cell>
          <cell r="AN112">
            <v>519.79999999999995</v>
          </cell>
          <cell r="AP112">
            <v>2.95</v>
          </cell>
          <cell r="AR112" t="str">
            <v xml:space="preserve"> </v>
          </cell>
          <cell r="AT112" t="str">
            <v xml:space="preserve"> </v>
          </cell>
          <cell r="AV112" t="str">
            <v xml:space="preserve"> </v>
          </cell>
          <cell r="AX112">
            <v>2.95</v>
          </cell>
          <cell r="BA112">
            <v>1</v>
          </cell>
        </row>
        <row r="113">
          <cell r="B113" t="str">
            <v xml:space="preserve">    DME/Prosthetics</v>
          </cell>
          <cell r="X113">
            <v>1</v>
          </cell>
          <cell r="AB113">
            <v>0</v>
          </cell>
          <cell r="AC113">
            <v>1</v>
          </cell>
          <cell r="AD113" t="str">
            <v xml:space="preserve">    DME/Prosthetics</v>
          </cell>
        </row>
        <row r="114">
          <cell r="B114" t="str">
            <v xml:space="preserve">        Durable Medical Equipment</v>
          </cell>
          <cell r="I114">
            <v>126</v>
          </cell>
          <cell r="J114" t="str">
            <v>Units</v>
          </cell>
          <cell r="L114">
            <v>287.10000000000002</v>
          </cell>
          <cell r="N114">
            <v>3.01</v>
          </cell>
          <cell r="P114" t="str">
            <v xml:space="preserve"> </v>
          </cell>
          <cell r="T114" t="str">
            <v xml:space="preserve"> </v>
          </cell>
          <cell r="V114">
            <v>3.01</v>
          </cell>
          <cell r="X114">
            <v>1</v>
          </cell>
          <cell r="Y114">
            <v>0</v>
          </cell>
          <cell r="Z114">
            <v>1</v>
          </cell>
          <cell r="AA114">
            <v>0</v>
          </cell>
          <cell r="AB114">
            <v>1</v>
          </cell>
          <cell r="AC114">
            <v>1</v>
          </cell>
          <cell r="AD114" t="str">
            <v xml:space="preserve">        Durable Medical Equipment</v>
          </cell>
          <cell r="AK114">
            <v>193</v>
          </cell>
          <cell r="AL114" t="str">
            <v>Units</v>
          </cell>
          <cell r="AN114">
            <v>327.9</v>
          </cell>
          <cell r="AP114">
            <v>5.27</v>
          </cell>
          <cell r="AR114" t="str">
            <v xml:space="preserve"> </v>
          </cell>
          <cell r="AT114" t="str">
            <v xml:space="preserve"> </v>
          </cell>
          <cell r="AV114" t="str">
            <v xml:space="preserve"> </v>
          </cell>
          <cell r="AX114">
            <v>5.27</v>
          </cell>
          <cell r="BA114">
            <v>1</v>
          </cell>
        </row>
        <row r="115">
          <cell r="B115" t="str">
            <v xml:space="preserve">        Prosthetics</v>
          </cell>
          <cell r="I115">
            <v>2</v>
          </cell>
          <cell r="J115" t="str">
            <v>Units</v>
          </cell>
          <cell r="L115">
            <v>1435.18</v>
          </cell>
          <cell r="N115">
            <v>0.24</v>
          </cell>
          <cell r="P115" t="str">
            <v xml:space="preserve"> </v>
          </cell>
          <cell r="R115" t="str">
            <v xml:space="preserve"> </v>
          </cell>
          <cell r="T115" t="str">
            <v xml:space="preserve"> </v>
          </cell>
          <cell r="V115">
            <v>0.24</v>
          </cell>
          <cell r="X115">
            <v>1</v>
          </cell>
          <cell r="Y115">
            <v>0</v>
          </cell>
          <cell r="Z115">
            <v>1</v>
          </cell>
          <cell r="AA115">
            <v>0</v>
          </cell>
          <cell r="AB115">
            <v>1</v>
          </cell>
          <cell r="AC115">
            <v>1</v>
          </cell>
          <cell r="AD115" t="str">
            <v xml:space="preserve">        Prosthetics</v>
          </cell>
          <cell r="AK115">
            <v>7</v>
          </cell>
          <cell r="AL115" t="str">
            <v>Units</v>
          </cell>
          <cell r="AN115">
            <v>879.35</v>
          </cell>
          <cell r="AP115">
            <v>0.51</v>
          </cell>
          <cell r="AR115" t="str">
            <v xml:space="preserve"> </v>
          </cell>
          <cell r="AT115" t="str">
            <v xml:space="preserve"> </v>
          </cell>
          <cell r="AV115" t="str">
            <v xml:space="preserve"> </v>
          </cell>
          <cell r="AX115">
            <v>0.51</v>
          </cell>
          <cell r="BA115">
            <v>1</v>
          </cell>
        </row>
        <row r="116">
          <cell r="B116" t="str">
            <v>Additional Benefits</v>
          </cell>
        </row>
        <row r="117">
          <cell r="B117" t="str">
            <v xml:space="preserve">    Glasses/Contacts</v>
          </cell>
          <cell r="I117">
            <v>21</v>
          </cell>
          <cell r="J117" t="str">
            <v>Services</v>
          </cell>
          <cell r="L117">
            <v>2420.02</v>
          </cell>
          <cell r="N117">
            <v>4.24</v>
          </cell>
          <cell r="P117" t="str">
            <v xml:space="preserve"> </v>
          </cell>
          <cell r="R117" t="str">
            <v xml:space="preserve"> </v>
          </cell>
          <cell r="T117" t="str">
            <v xml:space="preserve"> </v>
          </cell>
          <cell r="V117">
            <v>4.24</v>
          </cell>
          <cell r="X117">
            <v>1</v>
          </cell>
          <cell r="Y117">
            <v>0</v>
          </cell>
          <cell r="Z117">
            <v>1</v>
          </cell>
          <cell r="AA117">
            <v>0</v>
          </cell>
          <cell r="AB117">
            <v>1</v>
          </cell>
          <cell r="AC117">
            <v>1</v>
          </cell>
          <cell r="AD117" t="str">
            <v xml:space="preserve">    Glasses/Contacts</v>
          </cell>
          <cell r="AK117">
            <v>218</v>
          </cell>
          <cell r="AL117" t="str">
            <v>Services</v>
          </cell>
          <cell r="AN117">
            <v>306.42</v>
          </cell>
          <cell r="AP117">
            <v>5.57</v>
          </cell>
          <cell r="AR117" t="str">
            <v xml:space="preserve"> </v>
          </cell>
          <cell r="AT117" t="str">
            <v xml:space="preserve"> </v>
          </cell>
          <cell r="AV117" t="str">
            <v xml:space="preserve"> </v>
          </cell>
          <cell r="AX117">
            <v>5.57</v>
          </cell>
          <cell r="BA117">
            <v>1</v>
          </cell>
        </row>
        <row r="118">
          <cell r="B118" t="str">
            <v xml:space="preserve">    Other Benefit #1</v>
          </cell>
          <cell r="N118">
            <v>0</v>
          </cell>
          <cell r="P118" t="str">
            <v xml:space="preserve"> </v>
          </cell>
          <cell r="R118" t="str">
            <v xml:space="preserve"> </v>
          </cell>
          <cell r="T118" t="str">
            <v xml:space="preserve"> </v>
          </cell>
          <cell r="V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 t="str">
            <v xml:space="preserve">    Other Benefit #1</v>
          </cell>
          <cell r="AP118">
            <v>0</v>
          </cell>
          <cell r="AR118" t="str">
            <v xml:space="preserve"> </v>
          </cell>
          <cell r="AT118" t="str">
            <v xml:space="preserve"> </v>
          </cell>
          <cell r="AV118" t="str">
            <v xml:space="preserve"> </v>
          </cell>
          <cell r="AX118">
            <v>0</v>
          </cell>
          <cell r="BA118">
            <v>1</v>
          </cell>
        </row>
        <row r="119">
          <cell r="B119" t="str">
            <v xml:space="preserve">    Other Benefit #2</v>
          </cell>
          <cell r="N119">
            <v>0</v>
          </cell>
          <cell r="P119" t="str">
            <v xml:space="preserve"> </v>
          </cell>
          <cell r="R119" t="str">
            <v xml:space="preserve"> </v>
          </cell>
          <cell r="T119" t="str">
            <v xml:space="preserve"> 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 t="str">
            <v xml:space="preserve">    Other Benefit #2</v>
          </cell>
          <cell r="AP119">
            <v>0</v>
          </cell>
          <cell r="AR119" t="str">
            <v xml:space="preserve"> </v>
          </cell>
          <cell r="AT119" t="str">
            <v xml:space="preserve"> </v>
          </cell>
          <cell r="AV119" t="str">
            <v xml:space="preserve"> </v>
          </cell>
          <cell r="AX119">
            <v>0</v>
          </cell>
          <cell r="BA119">
            <v>1</v>
          </cell>
        </row>
        <row r="120">
          <cell r="AC120">
            <v>1</v>
          </cell>
        </row>
        <row r="121">
          <cell r="N121">
            <v>9.4</v>
          </cell>
          <cell r="T121">
            <v>0</v>
          </cell>
          <cell r="V121">
            <v>9.4</v>
          </cell>
          <cell r="Y121">
            <v>0</v>
          </cell>
          <cell r="AA121">
            <v>0</v>
          </cell>
          <cell r="AC121">
            <v>1</v>
          </cell>
          <cell r="AP121">
            <v>23.94</v>
          </cell>
          <cell r="AV121">
            <v>0</v>
          </cell>
          <cell r="AX121">
            <v>23.94</v>
          </cell>
          <cell r="BA121">
            <v>23.94</v>
          </cell>
        </row>
        <row r="122">
          <cell r="AC122">
            <v>1</v>
          </cell>
        </row>
        <row r="123">
          <cell r="AC123">
            <v>1</v>
          </cell>
        </row>
        <row r="124">
          <cell r="B124" t="str">
            <v>Total Medical Cost</v>
          </cell>
          <cell r="N124">
            <v>374.87</v>
          </cell>
          <cell r="T124">
            <v>0</v>
          </cell>
          <cell r="V124">
            <v>374.87</v>
          </cell>
          <cell r="Y124">
            <v>0</v>
          </cell>
          <cell r="AA124">
            <v>39</v>
          </cell>
          <cell r="AC124">
            <v>1</v>
          </cell>
          <cell r="AD124" t="str">
            <v>Total Medical Cost</v>
          </cell>
          <cell r="AP124">
            <v>520.41</v>
          </cell>
          <cell r="AV124">
            <v>0</v>
          </cell>
          <cell r="AX124">
            <v>520.41</v>
          </cell>
          <cell r="BA124">
            <v>520.41</v>
          </cell>
        </row>
        <row r="125">
          <cell r="AC125">
            <v>1</v>
          </cell>
        </row>
        <row r="126">
          <cell r="B126" t="str">
            <v>Utilization Adjustment Value</v>
          </cell>
          <cell r="V126">
            <v>0</v>
          </cell>
          <cell r="AC126">
            <v>1</v>
          </cell>
          <cell r="AD126" t="str">
            <v>Utilization Adjustment Value</v>
          </cell>
          <cell r="AX126">
            <v>10.41</v>
          </cell>
        </row>
        <row r="127">
          <cell r="B127" t="str">
            <v>Value of $0 Deductible</v>
          </cell>
          <cell r="N127">
            <v>6.3755435217542084E-3</v>
          </cell>
          <cell r="V127">
            <v>0</v>
          </cell>
          <cell r="AC127">
            <v>1</v>
          </cell>
          <cell r="AD127" t="str">
            <v>Value of $0 Deductible</v>
          </cell>
          <cell r="AX127">
            <v>0</v>
          </cell>
        </row>
        <row r="128">
          <cell r="B128" t="str">
            <v>Value of 0% Coinsurance</v>
          </cell>
          <cell r="V128">
            <v>0</v>
          </cell>
          <cell r="AC128">
            <v>1</v>
          </cell>
          <cell r="AD128" t="str">
            <v>Value of 0% Coinsurance</v>
          </cell>
          <cell r="AX128">
            <v>0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3.22</v>
          </cell>
        </row>
        <row r="61">
          <cell r="B61" t="str">
            <v xml:space="preserve">        Well Baby Exams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1.36</v>
          </cell>
        </row>
        <row r="62">
          <cell r="B62" t="str">
            <v xml:space="preserve">        Physical Exams</v>
          </cell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9.25</v>
          </cell>
        </row>
        <row r="63">
          <cell r="B63" t="str">
            <v xml:space="preserve">        Vision Exams</v>
          </cell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1.29</v>
          </cell>
        </row>
        <row r="64">
          <cell r="B64" t="str">
            <v xml:space="preserve">        Hearing/Speech Exams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2.2000000000000002</v>
          </cell>
        </row>
        <row r="68">
          <cell r="B68" t="str">
            <v xml:space="preserve">        Consults</v>
          </cell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2.68</v>
          </cell>
        </row>
        <row r="69">
          <cell r="B69" t="str">
            <v xml:space="preserve">        Physical Therapy</v>
          </cell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2.2799999999999998</v>
          </cell>
        </row>
        <row r="70">
          <cell r="B70" t="str">
            <v xml:space="preserve">        Cardiovascular</v>
          </cell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1.53</v>
          </cell>
        </row>
        <row r="75">
          <cell r="B75" t="str">
            <v xml:space="preserve">                Outpatient - CT/MRI/PET</v>
          </cell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6.28</v>
          </cell>
        </row>
        <row r="78">
          <cell r="B78" t="str">
            <v xml:space="preserve">                Office - CT/MRI/PET</v>
          </cell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0.27</v>
          </cell>
        </row>
        <row r="81">
          <cell r="B81" t="str">
            <v xml:space="preserve">            OP (Professional)</v>
          </cell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0.74</v>
          </cell>
        </row>
        <row r="82">
          <cell r="B82" t="str">
            <v xml:space="preserve">            Office (Combined)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8.26</v>
          </cell>
        </row>
        <row r="83">
          <cell r="B83" t="str">
            <v xml:space="preserve">        Chiropractor</v>
          </cell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0.83</v>
          </cell>
        </row>
        <row r="84">
          <cell r="B84" t="str">
            <v xml:space="preserve">        Podiatrist</v>
          </cell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0.65</v>
          </cell>
        </row>
        <row r="85">
          <cell r="B85" t="str">
            <v xml:space="preserve">        Outpatient Psychiatric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2.54</v>
          </cell>
        </row>
        <row r="86">
          <cell r="B86" t="str">
            <v xml:space="preserve">        OP Alcohol &amp; Drug Abuse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42.59</v>
          </cell>
        </row>
        <row r="90">
          <cell r="B90" t="str">
            <v xml:space="preserve">        PDN/Home Health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8.48</v>
          </cell>
        </row>
        <row r="91">
          <cell r="B91" t="str">
            <v xml:space="preserve">        Ambulance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0.79</v>
          </cell>
        </row>
        <row r="92">
          <cell r="B92" t="str">
            <v xml:space="preserve">        Durable Medical Equipment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1.55</v>
          </cell>
        </row>
        <row r="93">
          <cell r="B93" t="str">
            <v xml:space="preserve">        Prosthetics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0</v>
          </cell>
          <cell r="F96">
            <v>0</v>
          </cell>
          <cell r="H96">
            <v>0</v>
          </cell>
          <cell r="J96">
            <v>0</v>
          </cell>
          <cell r="L96">
            <v>0</v>
          </cell>
          <cell r="N96">
            <v>0</v>
          </cell>
          <cell r="P96">
            <v>3.44</v>
          </cell>
        </row>
        <row r="98">
          <cell r="B98" t="str">
            <v>Plan Deductible (negative number)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</row>
        <row r="99">
          <cell r="B99" t="str">
            <v>Out-of-Pocket Maximum</v>
          </cell>
          <cell r="D99">
            <v>0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</row>
        <row r="100">
          <cell r="B100" t="str">
            <v>Subtotal</v>
          </cell>
          <cell r="D100">
            <v>0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343.1699999999999</v>
          </cell>
        </row>
        <row r="101">
          <cell r="B101" t="str">
            <v>Aggregate Utilization Adjustment</v>
          </cell>
          <cell r="D101">
            <v>1</v>
          </cell>
          <cell r="F101">
            <v>1</v>
          </cell>
          <cell r="H101">
            <v>1</v>
          </cell>
          <cell r="J101">
            <v>1</v>
          </cell>
          <cell r="L101">
            <v>1</v>
          </cell>
          <cell r="N101">
            <v>1</v>
          </cell>
          <cell r="P101">
            <v>1</v>
          </cell>
        </row>
        <row r="102">
          <cell r="B102" t="str">
            <v>Total</v>
          </cell>
          <cell r="D102">
            <v>0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343.17</v>
          </cell>
        </row>
        <row r="103">
          <cell r="B103" t="str">
            <v>Total Adjusted for Capitation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  <sheetName val="Data for Q2"/>
      <sheetName val="Q3"/>
      <sheetName val="Data for Q3"/>
      <sheetName val="Q4"/>
      <sheetName val="Data for Q4"/>
      <sheetName val="Q5"/>
      <sheetName val="Data for Q5"/>
      <sheetName val="Q6"/>
      <sheetName val="Data for Q6"/>
      <sheetName val="Q7"/>
      <sheetName val="Data for Q7 (c)"/>
      <sheetName val="Data (c) for Q7 (c) Tax Returns"/>
      <sheetName val="Data for Q7 (d)"/>
      <sheetName val="GH_VR_C Fall 2024 Excel CBT Wor"/>
    </sheetNames>
    <definedNames>
      <definedName name="Summary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C200-24D4-4D07-9E42-EEA1F04EB578}">
  <dimension ref="A1:L32"/>
  <sheetViews>
    <sheetView tabSelected="1" zoomScale="85" zoomScaleNormal="85" workbookViewId="0">
      <selection activeCell="C13" sqref="C13"/>
    </sheetView>
  </sheetViews>
  <sheetFormatPr baseColWidth="10" defaultColWidth="8.81640625" defaultRowHeight="14.5"/>
  <cols>
    <col min="2" max="2" width="20.1796875" customWidth="1"/>
    <col min="3" max="3" width="25.81640625" customWidth="1"/>
    <col min="4" max="4" width="26.54296875" customWidth="1"/>
    <col min="5" max="5" width="28" customWidth="1"/>
    <col min="6" max="6" width="16.1796875" customWidth="1"/>
  </cols>
  <sheetData>
    <row r="1" spans="1:12" ht="22.5">
      <c r="A1" s="1" t="s">
        <v>270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272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 t="s">
        <v>309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3" t="s">
        <v>273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5" t="s">
        <v>310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5">
      <c r="A10" s="3" t="s">
        <v>271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5">
      <c r="A11" s="121"/>
    </row>
    <row r="12" spans="1:12" ht="15.5">
      <c r="A12" s="121"/>
    </row>
    <row r="13" spans="1:12" ht="15.5">
      <c r="A13" s="121"/>
    </row>
    <row r="14" spans="1:12" ht="15.5">
      <c r="A14" s="121"/>
    </row>
    <row r="15" spans="1:12" ht="15.5">
      <c r="A15" s="121"/>
    </row>
    <row r="16" spans="1:12" ht="15.5">
      <c r="A16" s="121"/>
    </row>
    <row r="17" spans="1:12" ht="15.5">
      <c r="A17" s="121"/>
    </row>
    <row r="18" spans="1:12" ht="15.5">
      <c r="A18" s="121"/>
    </row>
    <row r="19" spans="1:12" ht="15.5">
      <c r="A19" s="121"/>
    </row>
    <row r="20" spans="1:12" ht="15.5">
      <c r="A20" s="121"/>
    </row>
    <row r="21" spans="1:12" ht="15.5">
      <c r="A21" s="5" t="s">
        <v>311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5">
      <c r="A22" s="3" t="s">
        <v>271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5">
      <c r="A23" s="121"/>
    </row>
    <row r="24" spans="1:12" ht="15.5">
      <c r="A24" s="121"/>
    </row>
    <row r="25" spans="1:12" ht="15.5">
      <c r="A25" s="121"/>
    </row>
    <row r="26" spans="1:12" ht="15.5">
      <c r="A26" s="121"/>
    </row>
    <row r="27" spans="1:12" ht="15.5">
      <c r="A27" s="121"/>
    </row>
    <row r="28" spans="1:12" ht="15.5">
      <c r="A28" s="121"/>
    </row>
    <row r="29" spans="1:12" ht="15.5">
      <c r="A29" s="121"/>
    </row>
    <row r="30" spans="1:12" ht="15.5">
      <c r="A30" s="121"/>
    </row>
    <row r="31" spans="1:12" ht="15.5">
      <c r="A31" s="121"/>
    </row>
    <row r="32" spans="1:12" ht="15.5">
      <c r="A32" s="12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0505-45B3-4C3E-9409-E4EEA6EF763E}">
  <dimension ref="A1:R78"/>
  <sheetViews>
    <sheetView showGridLines="0" zoomScale="85" zoomScaleNormal="85" workbookViewId="0">
      <selection activeCell="F13" sqref="F13"/>
    </sheetView>
  </sheetViews>
  <sheetFormatPr baseColWidth="10" defaultColWidth="11.453125" defaultRowHeight="14.5"/>
  <cols>
    <col min="1" max="1" width="19.1796875" customWidth="1"/>
    <col min="5" max="5" width="12.453125" customWidth="1"/>
    <col min="6" max="6" width="13.81640625" customWidth="1"/>
    <col min="8" max="9" width="12.54296875" customWidth="1"/>
    <col min="10" max="10" width="13.54296875" customWidth="1"/>
    <col min="15" max="16" width="12.453125" customWidth="1"/>
    <col min="19" max="19" width="44.453125" bestFit="1" customWidth="1"/>
    <col min="22" max="22" width="9.453125" bestFit="1" customWidth="1"/>
    <col min="23" max="23" width="12.54296875" customWidth="1"/>
  </cols>
  <sheetData>
    <row r="1" spans="1:12">
      <c r="A1" s="9" t="s">
        <v>536</v>
      </c>
    </row>
    <row r="3" spans="1:12" ht="15">
      <c r="A3" t="s">
        <v>525</v>
      </c>
      <c r="B3" s="307">
        <f>'Data for Q3'!C16*(1+'Data for Q3'!$C$28)</f>
        <v>1080</v>
      </c>
      <c r="C3" t="s">
        <v>535</v>
      </c>
      <c r="E3" s="310" t="s">
        <v>534</v>
      </c>
      <c r="K3" s="144"/>
      <c r="L3" s="144"/>
    </row>
    <row r="4" spans="1:12">
      <c r="A4" t="s">
        <v>533</v>
      </c>
      <c r="B4" s="302">
        <f>'Data for Q3'!C17</f>
        <v>0.1</v>
      </c>
      <c r="E4" s="315" t="s">
        <v>567</v>
      </c>
      <c r="H4" s="301">
        <f>'Solution for Q3 (d)'!G17</f>
        <v>16209.038271529707</v>
      </c>
      <c r="K4" s="144"/>
    </row>
    <row r="5" spans="1:12">
      <c r="A5" t="s">
        <v>524</v>
      </c>
      <c r="B5" s="301">
        <f>B3*(1+B4)</f>
        <v>1188</v>
      </c>
      <c r="E5" s="336" t="s">
        <v>566</v>
      </c>
      <c r="H5" s="301">
        <f>'Solution for Q3 (d)'!H17</f>
        <v>246.74281562158455</v>
      </c>
      <c r="K5" s="144"/>
    </row>
    <row r="6" spans="1:12">
      <c r="A6" t="s">
        <v>523</v>
      </c>
      <c r="B6">
        <v>65</v>
      </c>
      <c r="E6" s="315" t="s">
        <v>532</v>
      </c>
      <c r="H6" s="301">
        <f>I6*(H4+H5+H7/2)</f>
        <v>1113.4046761005905</v>
      </c>
      <c r="I6" s="302">
        <v>7.0000000000000007E-2</v>
      </c>
      <c r="K6" s="144"/>
    </row>
    <row r="7" spans="1:12">
      <c r="A7" t="s">
        <v>522</v>
      </c>
      <c r="B7">
        <v>90</v>
      </c>
      <c r="E7" s="315" t="s">
        <v>565</v>
      </c>
      <c r="H7" s="301">
        <f>-'Solution for Q3 (d)'!B21</f>
        <v>-1100</v>
      </c>
      <c r="K7" s="144"/>
    </row>
    <row r="8" spans="1:12">
      <c r="A8" t="s">
        <v>521</v>
      </c>
      <c r="B8" s="145">
        <f>'Data for Q3'!C15</f>
        <v>7.0000000000000007E-2</v>
      </c>
      <c r="D8" s="145"/>
      <c r="E8" s="315" t="s">
        <v>531</v>
      </c>
      <c r="H8" s="301">
        <f>SUM(H4:H7)</f>
        <v>16469.185763251884</v>
      </c>
      <c r="J8" s="301"/>
      <c r="K8" s="144"/>
    </row>
    <row r="9" spans="1:12">
      <c r="A9" t="s">
        <v>520</v>
      </c>
      <c r="B9" s="145" t="s">
        <v>517</v>
      </c>
      <c r="E9" s="315" t="s">
        <v>530</v>
      </c>
      <c r="H9" s="301">
        <f>G17</f>
        <v>18239.305078094891</v>
      </c>
      <c r="K9" s="144"/>
    </row>
    <row r="10" spans="1:12">
      <c r="A10" t="s">
        <v>519</v>
      </c>
      <c r="B10" s="145" t="s">
        <v>517</v>
      </c>
      <c r="K10" s="144"/>
    </row>
    <row r="11" spans="1:12" ht="15.5">
      <c r="B11" s="145" t="s">
        <v>517</v>
      </c>
      <c r="E11" s="308" t="s">
        <v>529</v>
      </c>
      <c r="F11" s="211"/>
      <c r="G11" s="211"/>
      <c r="H11" s="307">
        <f>H9-H8</f>
        <v>1770.1193148430066</v>
      </c>
      <c r="I11" s="306" t="s">
        <v>528</v>
      </c>
      <c r="J11" s="211"/>
      <c r="K11" s="305"/>
      <c r="L11" s="211"/>
    </row>
    <row r="12" spans="1:12">
      <c r="B12" s="145"/>
      <c r="K12" s="144"/>
    </row>
    <row r="13" spans="1:12" ht="87">
      <c r="A13" s="300" t="s">
        <v>40</v>
      </c>
      <c r="B13" s="299" t="s">
        <v>4</v>
      </c>
      <c r="C13" s="299" t="s">
        <v>516</v>
      </c>
      <c r="D13" s="299" t="s">
        <v>515</v>
      </c>
      <c r="E13" s="299" t="s">
        <v>514</v>
      </c>
      <c r="F13" s="298" t="s">
        <v>513</v>
      </c>
      <c r="G13" s="298" t="s">
        <v>512</v>
      </c>
      <c r="H13" s="297" t="s">
        <v>511</v>
      </c>
    </row>
    <row r="14" spans="1:12">
      <c r="A14" s="70" t="s">
        <v>43</v>
      </c>
      <c r="B14" s="304">
        <v>46</v>
      </c>
      <c r="C14" s="304">
        <v>6</v>
      </c>
      <c r="D14" s="304">
        <f>MAX($B$6-B14,0)</f>
        <v>19</v>
      </c>
      <c r="E14" s="10">
        <f>C14+D14</f>
        <v>25</v>
      </c>
      <c r="F14" s="296">
        <f>SUMPRODUCT(B40:B65,C40:C65,G40:G65,J40:J65)</f>
        <v>6953.7384444068084</v>
      </c>
      <c r="G14" s="296">
        <f>F14*C14/E14</f>
        <v>1668.8972266576341</v>
      </c>
      <c r="H14" s="295">
        <f>F14/E14</f>
        <v>278.14953777627233</v>
      </c>
    </row>
    <row r="15" spans="1:12">
      <c r="A15" s="241" t="s">
        <v>45</v>
      </c>
      <c r="B15" s="303">
        <v>68</v>
      </c>
      <c r="C15" s="294">
        <v>30</v>
      </c>
      <c r="D15" s="294">
        <f>MAX($B$6-B15,0)</f>
        <v>0</v>
      </c>
      <c r="E15" s="294">
        <f>C15+D15</f>
        <v>30</v>
      </c>
      <c r="F15" s="293">
        <f>SUMPRODUCT(B21:B43,C21:C43,N21:N43,Q21:Q43)</f>
        <v>16570.407851437256</v>
      </c>
      <c r="G15" s="293">
        <f>F15*C15/E15</f>
        <v>16570.407851437256</v>
      </c>
      <c r="H15" s="292">
        <v>0</v>
      </c>
    </row>
    <row r="16" spans="1:12">
      <c r="H16" t="s">
        <v>527</v>
      </c>
    </row>
    <row r="17" spans="1:18">
      <c r="E17" s="212" t="s">
        <v>379</v>
      </c>
      <c r="F17" s="291">
        <f>SUM(F14:F16)</f>
        <v>23524.146295844064</v>
      </c>
      <c r="G17" s="291">
        <f>SUM(G14:G16)</f>
        <v>18239.305078094891</v>
      </c>
      <c r="H17" s="291">
        <f>SUM(H14:H16)</f>
        <v>278.14953777627233</v>
      </c>
    </row>
    <row r="18" spans="1:18">
      <c r="K18" s="268"/>
      <c r="L18" s="268"/>
      <c r="M18" s="268"/>
      <c r="N18" s="268"/>
    </row>
    <row r="19" spans="1:18">
      <c r="A19" s="290"/>
      <c r="B19" s="289"/>
      <c r="C19" s="289"/>
      <c r="D19" s="345" t="s">
        <v>43</v>
      </c>
      <c r="E19" s="345"/>
      <c r="F19" s="345"/>
      <c r="G19" s="345"/>
      <c r="H19" s="345"/>
      <c r="I19" s="345"/>
      <c r="J19" s="345"/>
      <c r="K19" s="346" t="s">
        <v>45</v>
      </c>
      <c r="L19" s="346"/>
      <c r="M19" s="346"/>
      <c r="N19" s="346"/>
      <c r="O19" s="346"/>
      <c r="P19" s="346"/>
      <c r="Q19" s="347"/>
    </row>
    <row r="20" spans="1:18" ht="29">
      <c r="A20" s="288" t="s">
        <v>47</v>
      </c>
      <c r="B20" s="287" t="s">
        <v>510</v>
      </c>
      <c r="C20" s="287" t="s">
        <v>509</v>
      </c>
      <c r="D20" s="286" t="s">
        <v>4</v>
      </c>
      <c r="E20" s="286" t="s">
        <v>508</v>
      </c>
      <c r="F20" s="286" t="s">
        <v>507</v>
      </c>
      <c r="G20" s="286" t="s">
        <v>505</v>
      </c>
      <c r="H20" s="286" t="s">
        <v>420</v>
      </c>
      <c r="I20" s="286" t="s">
        <v>506</v>
      </c>
      <c r="J20" s="286" t="s">
        <v>505</v>
      </c>
      <c r="K20" s="285" t="s">
        <v>4</v>
      </c>
      <c r="L20" s="285" t="s">
        <v>508</v>
      </c>
      <c r="M20" s="285" t="s">
        <v>507</v>
      </c>
      <c r="N20" s="285" t="s">
        <v>505</v>
      </c>
      <c r="O20" s="285" t="s">
        <v>420</v>
      </c>
      <c r="P20" s="285" t="s">
        <v>506</v>
      </c>
      <c r="Q20" s="284" t="s">
        <v>505</v>
      </c>
      <c r="R20" s="287"/>
    </row>
    <row r="21" spans="1:18">
      <c r="A21" s="283">
        <v>2</v>
      </c>
      <c r="B21" s="282">
        <f>B5</f>
        <v>1188</v>
      </c>
      <c r="C21" s="278">
        <f t="shared" ref="C21:C65" si="0">1/(1+$B$8)^(A21-$A$21+0.5)</f>
        <v>0.96673648904566356</v>
      </c>
      <c r="D21" s="277">
        <v>46</v>
      </c>
      <c r="E21" s="275">
        <f>VLOOKUP(D21,'Data for Q3'!$B$42:$D$92,3,0)</f>
        <v>9.2000000000000003E-4</v>
      </c>
      <c r="F21" s="275">
        <f>(1-E21)</f>
        <v>0.99907999999999997</v>
      </c>
      <c r="G21" s="275">
        <f>(1-E21/2)</f>
        <v>0.99953999999999998</v>
      </c>
      <c r="H21" s="276">
        <f>'Solution for Q3 (d)'!H22</f>
        <v>0.05</v>
      </c>
      <c r="I21" s="275">
        <f>(1-H21)</f>
        <v>0.95</v>
      </c>
      <c r="J21" s="275">
        <f>(1-H21/2)</f>
        <v>0.97499999999999998</v>
      </c>
      <c r="K21" s="274">
        <v>68</v>
      </c>
      <c r="L21" s="272">
        <f>'Data for Q3'!C69</f>
        <v>9.8300000000000002E-3</v>
      </c>
      <c r="M21" s="272">
        <f>(1-L21)</f>
        <v>0.99016999999999999</v>
      </c>
      <c r="N21" s="272">
        <f>(1-L21/2)</f>
        <v>0.995085</v>
      </c>
      <c r="O21" s="281">
        <v>0</v>
      </c>
      <c r="P21" s="272">
        <f>(1-O21)</f>
        <v>1</v>
      </c>
      <c r="Q21" s="280">
        <f>(1-O21/2)</f>
        <v>1</v>
      </c>
      <c r="R21" s="282"/>
    </row>
    <row r="22" spans="1:18">
      <c r="A22" s="66">
        <f t="shared" ref="A22:A65" si="1">A21+1</f>
        <v>3</v>
      </c>
      <c r="B22" s="279">
        <f>B21*(1+'Data for Q3'!C29)</f>
        <v>1271.1600000000001</v>
      </c>
      <c r="C22" s="278">
        <f t="shared" si="0"/>
        <v>0.90349204583706866</v>
      </c>
      <c r="D22" s="277">
        <f t="shared" ref="D22:D65" si="2">D21+1</f>
        <v>47</v>
      </c>
      <c r="E22" s="275">
        <f>VLOOKUP(D22,'Data for Q3'!$B$42:$D$92,3,0)</f>
        <v>1.01E-3</v>
      </c>
      <c r="F22" s="275">
        <f t="shared" ref="F22:F65" si="3">(1-E22)*F21</f>
        <v>0.99807092920000007</v>
      </c>
      <c r="G22" s="275">
        <f t="shared" ref="G22:G65" si="4">(1-E22/2)*F21</f>
        <v>0.99857546460000002</v>
      </c>
      <c r="H22" s="276">
        <f>'Solution for Q3 (d)'!H23</f>
        <v>0.05</v>
      </c>
      <c r="I22" s="275">
        <f t="shared" ref="I22:I65" si="5">(1-H22)*I21</f>
        <v>0.90249999999999997</v>
      </c>
      <c r="J22" s="275">
        <f t="shared" ref="J22:J65" si="6">(1-H22/2)*I21</f>
        <v>0.92624999999999991</v>
      </c>
      <c r="K22" s="274">
        <f t="shared" ref="K22:K43" si="7">K21+1</f>
        <v>69</v>
      </c>
      <c r="L22" s="272">
        <f>'Data for Q3'!C70</f>
        <v>1.0710000000000001E-2</v>
      </c>
      <c r="M22" s="272">
        <f t="shared" ref="M22:M43" si="8">(1-L22)*M21</f>
        <v>0.97956527930000004</v>
      </c>
      <c r="N22" s="272">
        <f t="shared" ref="N22:N43" si="9">(1-L22/2)*M21</f>
        <v>0.98486763965000002</v>
      </c>
      <c r="O22" s="281">
        <v>0</v>
      </c>
      <c r="P22" s="272">
        <f t="shared" ref="P22:P43" si="10">(1-O22)*P21</f>
        <v>1</v>
      </c>
      <c r="Q22" s="280">
        <f t="shared" ref="Q22:Q43" si="11">(1-O22/2)*P21</f>
        <v>1</v>
      </c>
      <c r="R22" s="279"/>
    </row>
    <row r="23" spans="1:18">
      <c r="A23" s="66">
        <f t="shared" si="1"/>
        <v>4</v>
      </c>
      <c r="B23" s="279">
        <f>B22*(1+'Data for Q3'!C30)</f>
        <v>1347.4296000000002</v>
      </c>
      <c r="C23" s="278">
        <f t="shared" si="0"/>
        <v>0.84438508956735392</v>
      </c>
      <c r="D23" s="277">
        <f t="shared" si="2"/>
        <v>48</v>
      </c>
      <c r="E23" s="275">
        <f>VLOOKUP(D23,'Data for Q3'!$B$42:$D$92,3,0)</f>
        <v>1.09E-3</v>
      </c>
      <c r="F23" s="275">
        <f t="shared" si="3"/>
        <v>0.99698303188717208</v>
      </c>
      <c r="G23" s="275">
        <f t="shared" si="4"/>
        <v>0.99752698054358602</v>
      </c>
      <c r="H23" s="276">
        <f>'Solution for Q3 (d)'!H24</f>
        <v>0.05</v>
      </c>
      <c r="I23" s="275">
        <f t="shared" si="5"/>
        <v>0.85737499999999989</v>
      </c>
      <c r="J23" s="275">
        <f t="shared" si="6"/>
        <v>0.87993749999999993</v>
      </c>
      <c r="K23" s="274">
        <f t="shared" si="7"/>
        <v>70</v>
      </c>
      <c r="L23" s="272">
        <f>'Data for Q3'!C71</f>
        <v>1.175E-2</v>
      </c>
      <c r="M23" s="272">
        <f t="shared" si="8"/>
        <v>0.96805538726822504</v>
      </c>
      <c r="N23" s="272">
        <f t="shared" si="9"/>
        <v>0.97381033328411259</v>
      </c>
      <c r="O23" s="281">
        <v>0</v>
      </c>
      <c r="P23" s="272">
        <f t="shared" si="10"/>
        <v>1</v>
      </c>
      <c r="Q23" s="280">
        <f t="shared" si="11"/>
        <v>1</v>
      </c>
      <c r="R23" s="279"/>
    </row>
    <row r="24" spans="1:18">
      <c r="A24" s="66">
        <f t="shared" si="1"/>
        <v>5</v>
      </c>
      <c r="B24" s="279">
        <f>B23*(1+'Data for Q3'!C31)</f>
        <v>1414.8010800000002</v>
      </c>
      <c r="C24" s="278">
        <f t="shared" si="0"/>
        <v>0.78914494352089137</v>
      </c>
      <c r="D24" s="277">
        <f t="shared" si="2"/>
        <v>49</v>
      </c>
      <c r="E24" s="275">
        <f>VLOOKUP(D24,'Data for Q3'!$B$42:$D$92,3,0)</f>
        <v>1.1900000000000001E-3</v>
      </c>
      <c r="F24" s="275">
        <f t="shared" si="3"/>
        <v>0.99579662207922637</v>
      </c>
      <c r="G24" s="275">
        <f t="shared" si="4"/>
        <v>0.99638982698319922</v>
      </c>
      <c r="H24" s="276">
        <f>'Solution for Q3 (d)'!H25</f>
        <v>2.5000000000000001E-2</v>
      </c>
      <c r="I24" s="275">
        <f t="shared" si="5"/>
        <v>0.83594062499999988</v>
      </c>
      <c r="J24" s="275">
        <f t="shared" si="6"/>
        <v>0.84665781249999994</v>
      </c>
      <c r="K24" s="274">
        <f t="shared" si="7"/>
        <v>71</v>
      </c>
      <c r="L24" s="272">
        <f>'Data for Q3'!C72</f>
        <v>1.2959999999999999E-2</v>
      </c>
      <c r="M24" s="272">
        <f t="shared" si="8"/>
        <v>0.95550938944922892</v>
      </c>
      <c r="N24" s="272">
        <f t="shared" si="9"/>
        <v>0.96178238835872687</v>
      </c>
      <c r="O24" s="281">
        <v>0</v>
      </c>
      <c r="P24" s="272">
        <f t="shared" si="10"/>
        <v>1</v>
      </c>
      <c r="Q24" s="280">
        <f t="shared" si="11"/>
        <v>1</v>
      </c>
      <c r="R24" s="279"/>
    </row>
    <row r="25" spans="1:18">
      <c r="A25" s="66">
        <f t="shared" si="1"/>
        <v>6</v>
      </c>
      <c r="B25" s="279">
        <f>B24*(1+'Data for Q3'!$C$32)</f>
        <v>1471.3931232000002</v>
      </c>
      <c r="C25" s="278">
        <f t="shared" si="0"/>
        <v>0.73751863880457136</v>
      </c>
      <c r="D25" s="277">
        <f t="shared" si="2"/>
        <v>50</v>
      </c>
      <c r="E25" s="275">
        <f>VLOOKUP(D25,'Data for Q3'!$B$42:$D$92,3,0)</f>
        <v>1.2899999999999999E-3</v>
      </c>
      <c r="F25" s="275">
        <f t="shared" si="3"/>
        <v>0.99451204443674412</v>
      </c>
      <c r="G25" s="275">
        <f t="shared" si="4"/>
        <v>0.9951543332579853</v>
      </c>
      <c r="H25" s="276">
        <f>'Solution for Q3 (d)'!H26</f>
        <v>2.5000000000000001E-2</v>
      </c>
      <c r="I25" s="275">
        <f t="shared" si="5"/>
        <v>0.81504210937499988</v>
      </c>
      <c r="J25" s="275">
        <f t="shared" si="6"/>
        <v>0.82549136718749994</v>
      </c>
      <c r="K25" s="274">
        <f t="shared" si="7"/>
        <v>72</v>
      </c>
      <c r="L25" s="272">
        <f>'Data for Q3'!C73</f>
        <v>1.4330000000000001E-2</v>
      </c>
      <c r="M25" s="272">
        <f t="shared" si="8"/>
        <v>0.94181693989842152</v>
      </c>
      <c r="N25" s="272">
        <f t="shared" si="9"/>
        <v>0.94866316467382517</v>
      </c>
      <c r="O25" s="281">
        <v>0</v>
      </c>
      <c r="P25" s="272">
        <f t="shared" si="10"/>
        <v>1</v>
      </c>
      <c r="Q25" s="280">
        <f t="shared" si="11"/>
        <v>1</v>
      </c>
      <c r="R25" s="279"/>
    </row>
    <row r="26" spans="1:18">
      <c r="A26" s="66">
        <f t="shared" si="1"/>
        <v>7</v>
      </c>
      <c r="B26" s="279">
        <f>B25*(1+'Data for Q3'!$C$32)</f>
        <v>1530.2488481280002</v>
      </c>
      <c r="C26" s="278">
        <f t="shared" si="0"/>
        <v>0.68926975589212269</v>
      </c>
      <c r="D26" s="277">
        <f t="shared" si="2"/>
        <v>51</v>
      </c>
      <c r="E26" s="275">
        <f>VLOOKUP(D26,'Data for Q3'!$B$42:$D$92,3,0)</f>
        <v>1.41E-3</v>
      </c>
      <c r="F26" s="275">
        <f t="shared" si="3"/>
        <v>0.99310978245408832</v>
      </c>
      <c r="G26" s="275">
        <f t="shared" si="4"/>
        <v>0.99381091344541628</v>
      </c>
      <c r="H26" s="276">
        <f>'Solution for Q3 (d)'!H27</f>
        <v>2.5000000000000001E-2</v>
      </c>
      <c r="I26" s="275">
        <f t="shared" si="5"/>
        <v>0.79466605664062484</v>
      </c>
      <c r="J26" s="275">
        <f t="shared" si="6"/>
        <v>0.80485408300781247</v>
      </c>
      <c r="K26" s="274">
        <f t="shared" si="7"/>
        <v>73</v>
      </c>
      <c r="L26" s="272">
        <f>'Data for Q3'!C74</f>
        <v>1.5900000000000001E-2</v>
      </c>
      <c r="M26" s="272">
        <f t="shared" si="8"/>
        <v>0.92684205055403657</v>
      </c>
      <c r="N26" s="272">
        <f t="shared" si="9"/>
        <v>0.9343294952262291</v>
      </c>
      <c r="O26" s="281">
        <v>0</v>
      </c>
      <c r="P26" s="272">
        <f t="shared" si="10"/>
        <v>1</v>
      </c>
      <c r="Q26" s="280">
        <f t="shared" si="11"/>
        <v>1</v>
      </c>
      <c r="R26" s="279"/>
    </row>
    <row r="27" spans="1:18">
      <c r="A27" s="66">
        <f t="shared" si="1"/>
        <v>8</v>
      </c>
      <c r="B27" s="279">
        <f>B26*(1+'Data for Q3'!$C$32)</f>
        <v>1591.4588020531203</v>
      </c>
      <c r="C27" s="278">
        <f t="shared" si="0"/>
        <v>0.64417734195525478</v>
      </c>
      <c r="D27" s="277">
        <f t="shared" si="2"/>
        <v>52</v>
      </c>
      <c r="E27" s="275">
        <f>VLOOKUP(D27,'Data for Q3'!$B$42:$D$92,3,0)</f>
        <v>1.5299999999999999E-3</v>
      </c>
      <c r="F27" s="275">
        <f t="shared" si="3"/>
        <v>0.99159032448693352</v>
      </c>
      <c r="G27" s="275">
        <f t="shared" si="4"/>
        <v>0.99235005347051097</v>
      </c>
      <c r="H27" s="276">
        <f>'Solution for Q3 (d)'!H28</f>
        <v>2.5000000000000001E-2</v>
      </c>
      <c r="I27" s="275">
        <f t="shared" si="5"/>
        <v>0.77479940522460922</v>
      </c>
      <c r="J27" s="275">
        <f t="shared" si="6"/>
        <v>0.78473273093261708</v>
      </c>
      <c r="K27" s="274">
        <f t="shared" si="7"/>
        <v>74</v>
      </c>
      <c r="L27" s="272">
        <f>'Data for Q3'!C75</f>
        <v>1.7670000000000002E-2</v>
      </c>
      <c r="M27" s="272">
        <f t="shared" si="8"/>
        <v>0.9104647515207468</v>
      </c>
      <c r="N27" s="272">
        <f t="shared" si="9"/>
        <v>0.91865340103739157</v>
      </c>
      <c r="O27" s="281">
        <v>0</v>
      </c>
      <c r="P27" s="272">
        <f t="shared" si="10"/>
        <v>1</v>
      </c>
      <c r="Q27" s="280">
        <f t="shared" si="11"/>
        <v>1</v>
      </c>
      <c r="R27" s="279"/>
    </row>
    <row r="28" spans="1:18">
      <c r="A28" s="66">
        <f t="shared" si="1"/>
        <v>9</v>
      </c>
      <c r="B28" s="279">
        <f>B27*(1+'Data for Q3'!$C$32)</f>
        <v>1655.1171541352451</v>
      </c>
      <c r="C28" s="278">
        <f t="shared" si="0"/>
        <v>0.60203489902360263</v>
      </c>
      <c r="D28" s="277">
        <f t="shared" si="2"/>
        <v>53</v>
      </c>
      <c r="E28" s="275">
        <f>VLOOKUP(D28,'Data for Q3'!$B$42:$D$92,3,0)</f>
        <v>1.6800000000000001E-3</v>
      </c>
      <c r="F28" s="275">
        <f t="shared" si="3"/>
        <v>0.98992445274179541</v>
      </c>
      <c r="G28" s="275">
        <f t="shared" si="4"/>
        <v>0.99075738861436458</v>
      </c>
      <c r="H28" s="276">
        <f>'Solution for Q3 (d)'!H29</f>
        <v>2.5000000000000001E-2</v>
      </c>
      <c r="I28" s="275">
        <f t="shared" si="5"/>
        <v>0.75542942009399394</v>
      </c>
      <c r="J28" s="275">
        <f t="shared" si="6"/>
        <v>0.76511441265930169</v>
      </c>
      <c r="K28" s="274">
        <f t="shared" si="7"/>
        <v>75</v>
      </c>
      <c r="L28" s="272">
        <f>'Data for Q3'!C76</f>
        <v>1.9640000000000001E-2</v>
      </c>
      <c r="M28" s="272">
        <f t="shared" si="8"/>
        <v>0.89258322380087929</v>
      </c>
      <c r="N28" s="272">
        <f t="shared" si="9"/>
        <v>0.90152398766081299</v>
      </c>
      <c r="O28" s="281">
        <v>0</v>
      </c>
      <c r="P28" s="272">
        <f t="shared" si="10"/>
        <v>1</v>
      </c>
      <c r="Q28" s="280">
        <f t="shared" si="11"/>
        <v>1</v>
      </c>
      <c r="R28" s="279"/>
    </row>
    <row r="29" spans="1:18">
      <c r="A29" s="66">
        <f t="shared" si="1"/>
        <v>10</v>
      </c>
      <c r="B29" s="279">
        <f>B28*(1+'Data for Q3'!$C$32)</f>
        <v>1721.3218403006549</v>
      </c>
      <c r="C29" s="278">
        <f t="shared" si="0"/>
        <v>0.56264943833981551</v>
      </c>
      <c r="D29" s="277">
        <f t="shared" si="2"/>
        <v>54</v>
      </c>
      <c r="E29" s="275">
        <f>VLOOKUP(D29,'Data for Q3'!$B$42:$D$92,3,0)</f>
        <v>1.8600000000000001E-3</v>
      </c>
      <c r="F29" s="275">
        <f t="shared" si="3"/>
        <v>0.98808319325969574</v>
      </c>
      <c r="G29" s="275">
        <f t="shared" si="4"/>
        <v>0.98900382300074552</v>
      </c>
      <c r="H29" s="276">
        <f>'Solution for Q3 (d)'!H30</f>
        <v>2.5000000000000001E-2</v>
      </c>
      <c r="I29" s="275">
        <f t="shared" si="5"/>
        <v>0.7365436845916441</v>
      </c>
      <c r="J29" s="275">
        <f t="shared" si="6"/>
        <v>0.74598655234281908</v>
      </c>
      <c r="K29" s="274">
        <f t="shared" si="7"/>
        <v>76</v>
      </c>
      <c r="L29" s="272">
        <f>'Data for Q3'!C77</f>
        <v>2.1819999999999999E-2</v>
      </c>
      <c r="M29" s="272">
        <f t="shared" si="8"/>
        <v>0.87310705785754417</v>
      </c>
      <c r="N29" s="272">
        <f t="shared" si="9"/>
        <v>0.88284514082921173</v>
      </c>
      <c r="O29" s="281">
        <v>0</v>
      </c>
      <c r="P29" s="272">
        <f t="shared" si="10"/>
        <v>1</v>
      </c>
      <c r="Q29" s="280">
        <f t="shared" si="11"/>
        <v>1</v>
      </c>
      <c r="R29" s="279"/>
    </row>
    <row r="30" spans="1:18">
      <c r="A30" s="66">
        <f t="shared" si="1"/>
        <v>11</v>
      </c>
      <c r="B30" s="279">
        <f>B29*(1+'Data for Q3'!$C$32)</f>
        <v>1790.1747139126812</v>
      </c>
      <c r="C30" s="278">
        <f t="shared" si="0"/>
        <v>0.52584059657926685</v>
      </c>
      <c r="D30" s="277">
        <f t="shared" si="2"/>
        <v>55</v>
      </c>
      <c r="E30" s="275">
        <f>VLOOKUP(D30,'Data for Q3'!$B$42:$D$92,3,0)</f>
        <v>2.0699999999999998E-3</v>
      </c>
      <c r="F30" s="275">
        <f t="shared" si="3"/>
        <v>0.98603786104964819</v>
      </c>
      <c r="G30" s="275">
        <f t="shared" si="4"/>
        <v>0.98706052715467196</v>
      </c>
      <c r="H30" s="276">
        <f>'Solution for Q3 (d)'!H31</f>
        <v>2.5000000000000001E-2</v>
      </c>
      <c r="I30" s="275">
        <f t="shared" si="5"/>
        <v>0.718130092476853</v>
      </c>
      <c r="J30" s="275">
        <f t="shared" si="6"/>
        <v>0.7273368885342486</v>
      </c>
      <c r="K30" s="274">
        <f t="shared" si="7"/>
        <v>77</v>
      </c>
      <c r="L30" s="272">
        <f>'Data for Q3'!C78</f>
        <v>2.4299999999999999E-2</v>
      </c>
      <c r="M30" s="272">
        <f t="shared" si="8"/>
        <v>0.85189055635160582</v>
      </c>
      <c r="N30" s="272">
        <f t="shared" si="9"/>
        <v>0.86249880710457505</v>
      </c>
      <c r="O30" s="281">
        <v>0</v>
      </c>
      <c r="P30" s="272">
        <f t="shared" si="10"/>
        <v>1</v>
      </c>
      <c r="Q30" s="280">
        <f t="shared" si="11"/>
        <v>1</v>
      </c>
      <c r="R30" s="279"/>
    </row>
    <row r="31" spans="1:18">
      <c r="A31" s="66">
        <f t="shared" si="1"/>
        <v>12</v>
      </c>
      <c r="B31" s="279">
        <f>B30*(1+'Data for Q3'!$C$32)</f>
        <v>1861.7817024691885</v>
      </c>
      <c r="C31" s="278">
        <f t="shared" si="0"/>
        <v>0.49143980988716524</v>
      </c>
      <c r="D31" s="277">
        <f t="shared" si="2"/>
        <v>56</v>
      </c>
      <c r="E31" s="275">
        <f>VLOOKUP(D31,'Data for Q3'!$B$42:$D$92,3,0)</f>
        <v>2.31E-3</v>
      </c>
      <c r="F31" s="275">
        <f t="shared" si="3"/>
        <v>0.98376011359062343</v>
      </c>
      <c r="G31" s="275">
        <f t="shared" si="4"/>
        <v>0.98489898732013581</v>
      </c>
      <c r="H31" s="276">
        <f>'Solution for Q3 (d)'!H32</f>
        <v>2.5000000000000001E-2</v>
      </c>
      <c r="I31" s="275">
        <f t="shared" si="5"/>
        <v>0.70017684016493165</v>
      </c>
      <c r="J31" s="275">
        <f t="shared" si="6"/>
        <v>0.70915346632089238</v>
      </c>
      <c r="K31" s="274">
        <f t="shared" si="7"/>
        <v>78</v>
      </c>
      <c r="L31" s="272">
        <f>'Data for Q3'!C79</f>
        <v>2.7150000000000001E-2</v>
      </c>
      <c r="M31" s="272">
        <f t="shared" si="8"/>
        <v>0.82876172774665968</v>
      </c>
      <c r="N31" s="272">
        <f t="shared" si="9"/>
        <v>0.84032614204913281</v>
      </c>
      <c r="O31" s="281">
        <v>0</v>
      </c>
      <c r="P31" s="272">
        <f t="shared" si="10"/>
        <v>1</v>
      </c>
      <c r="Q31" s="280">
        <f t="shared" si="11"/>
        <v>1</v>
      </c>
      <c r="R31" s="279"/>
    </row>
    <row r="32" spans="1:18">
      <c r="A32" s="66">
        <f t="shared" si="1"/>
        <v>13</v>
      </c>
      <c r="B32" s="279">
        <f>B31*(1+'Data for Q3'!$C$32)</f>
        <v>1936.252970567956</v>
      </c>
      <c r="C32" s="278">
        <f t="shared" si="0"/>
        <v>0.45928954195062172</v>
      </c>
      <c r="D32" s="277">
        <f t="shared" si="2"/>
        <v>57</v>
      </c>
      <c r="E32" s="275">
        <f>VLOOKUP(D32,'Data for Q3'!$B$42:$D$92,3,0)</f>
        <v>2.5799999999999998E-3</v>
      </c>
      <c r="F32" s="275">
        <f t="shared" si="3"/>
        <v>0.98122201249755958</v>
      </c>
      <c r="G32" s="275">
        <f t="shared" si="4"/>
        <v>0.98249106304409151</v>
      </c>
      <c r="H32" s="276">
        <f>'Solution for Q3 (d)'!H33</f>
        <v>2.5000000000000001E-2</v>
      </c>
      <c r="I32" s="275">
        <f t="shared" si="5"/>
        <v>0.68267241916080834</v>
      </c>
      <c r="J32" s="275">
        <f t="shared" si="6"/>
        <v>0.69142462966286999</v>
      </c>
      <c r="K32" s="274">
        <f t="shared" si="7"/>
        <v>79</v>
      </c>
      <c r="L32" s="272">
        <f>'Data for Q3'!C80</f>
        <v>3.0470000000000001E-2</v>
      </c>
      <c r="M32" s="272">
        <f t="shared" si="8"/>
        <v>0.803509357902219</v>
      </c>
      <c r="N32" s="272">
        <f t="shared" si="9"/>
        <v>0.81613554282443934</v>
      </c>
      <c r="O32" s="281">
        <v>0</v>
      </c>
      <c r="P32" s="272">
        <f t="shared" si="10"/>
        <v>1</v>
      </c>
      <c r="Q32" s="280">
        <f t="shared" si="11"/>
        <v>1</v>
      </c>
      <c r="R32" s="279"/>
    </row>
    <row r="33" spans="1:18">
      <c r="A33" s="66">
        <f t="shared" si="1"/>
        <v>14</v>
      </c>
      <c r="B33" s="279">
        <f>B32*(1+'Data for Q3'!$C$32)</f>
        <v>2013.7030893906744</v>
      </c>
      <c r="C33" s="278">
        <f t="shared" si="0"/>
        <v>0.42924256257067445</v>
      </c>
      <c r="D33" s="277">
        <f t="shared" si="2"/>
        <v>58</v>
      </c>
      <c r="E33" s="275">
        <f>VLOOKUP(D33,'Data for Q3'!$B$42:$D$92,3,0)</f>
        <v>2.8700000000000002E-3</v>
      </c>
      <c r="F33" s="275">
        <f t="shared" si="3"/>
        <v>0.97840590532169158</v>
      </c>
      <c r="G33" s="275">
        <f t="shared" si="4"/>
        <v>0.97981395890962564</v>
      </c>
      <c r="H33" s="276">
        <f>'Solution for Q3 (d)'!H34</f>
        <v>2.5000000000000001E-2</v>
      </c>
      <c r="I33" s="275">
        <f t="shared" si="5"/>
        <v>0.66560560868178809</v>
      </c>
      <c r="J33" s="275">
        <f t="shared" si="6"/>
        <v>0.67413901392129827</v>
      </c>
      <c r="K33" s="274">
        <f t="shared" si="7"/>
        <v>80</v>
      </c>
      <c r="L33" s="272">
        <f>'Data for Q3'!C81</f>
        <v>3.4349999999999999E-2</v>
      </c>
      <c r="M33" s="272">
        <f t="shared" si="8"/>
        <v>0.77590881145827784</v>
      </c>
      <c r="N33" s="272">
        <f t="shared" si="9"/>
        <v>0.78970908468024836</v>
      </c>
      <c r="O33" s="281">
        <v>0</v>
      </c>
      <c r="P33" s="272">
        <f t="shared" si="10"/>
        <v>1</v>
      </c>
      <c r="Q33" s="280">
        <f t="shared" si="11"/>
        <v>1</v>
      </c>
      <c r="R33" s="279"/>
    </row>
    <row r="34" spans="1:18">
      <c r="A34" s="66">
        <f t="shared" si="1"/>
        <v>15</v>
      </c>
      <c r="B34" s="279">
        <f>B33*(1+'Data for Q3'!$C$32)</f>
        <v>2094.2512129663014</v>
      </c>
      <c r="C34" s="278">
        <f t="shared" si="0"/>
        <v>0.40116127343053681</v>
      </c>
      <c r="D34" s="277">
        <f t="shared" si="2"/>
        <v>59</v>
      </c>
      <c r="E34" s="275">
        <f>VLOOKUP(D34,'Data for Q3'!$B$42:$D$92,3,0)</f>
        <v>3.1800000000000001E-3</v>
      </c>
      <c r="F34" s="275">
        <f t="shared" si="3"/>
        <v>0.97529457454276869</v>
      </c>
      <c r="G34" s="275">
        <f t="shared" si="4"/>
        <v>0.97685023993223008</v>
      </c>
      <c r="H34" s="276">
        <f>'Solution for Q3 (d)'!H35</f>
        <v>2.5000000000000001E-2</v>
      </c>
      <c r="I34" s="275">
        <f t="shared" si="5"/>
        <v>0.64896546846474334</v>
      </c>
      <c r="J34" s="275">
        <f t="shared" si="6"/>
        <v>0.65728553857326577</v>
      </c>
      <c r="K34" s="274">
        <f t="shared" si="7"/>
        <v>81</v>
      </c>
      <c r="L34" s="272">
        <f>'Data for Q3'!C82</f>
        <v>3.8899999999999997E-2</v>
      </c>
      <c r="M34" s="272">
        <f t="shared" si="8"/>
        <v>0.74572595869255076</v>
      </c>
      <c r="N34" s="272">
        <f t="shared" si="9"/>
        <v>0.76081738507541441</v>
      </c>
      <c r="O34" s="281">
        <v>0</v>
      </c>
      <c r="P34" s="272">
        <f t="shared" si="10"/>
        <v>1</v>
      </c>
      <c r="Q34" s="280">
        <f t="shared" si="11"/>
        <v>1</v>
      </c>
      <c r="R34" s="279"/>
    </row>
    <row r="35" spans="1:18">
      <c r="A35" s="66">
        <f t="shared" si="1"/>
        <v>16</v>
      </c>
      <c r="B35" s="279">
        <f>B34*(1+'Data for Q3'!$C$32)</f>
        <v>2178.0212614849534</v>
      </c>
      <c r="C35" s="278">
        <f t="shared" si="0"/>
        <v>0.37491707797246426</v>
      </c>
      <c r="D35" s="277">
        <f t="shared" si="2"/>
        <v>60</v>
      </c>
      <c r="E35" s="275">
        <f>VLOOKUP(D35,'Data for Q3'!$B$42:$D$92,3,0)</f>
        <v>3.5000000000000001E-3</v>
      </c>
      <c r="F35" s="275">
        <f t="shared" si="3"/>
        <v>0.9718810435318691</v>
      </c>
      <c r="G35" s="275">
        <f t="shared" si="4"/>
        <v>0.97358780903731879</v>
      </c>
      <c r="H35" s="276">
        <f>'Solution for Q3 (d)'!H36</f>
        <v>0</v>
      </c>
      <c r="I35" s="275">
        <f t="shared" si="5"/>
        <v>0.64896546846474334</v>
      </c>
      <c r="J35" s="275">
        <f t="shared" si="6"/>
        <v>0.64896546846474334</v>
      </c>
      <c r="K35" s="274">
        <f t="shared" si="7"/>
        <v>82</v>
      </c>
      <c r="L35" s="272">
        <f>'Data for Q3'!C83</f>
        <v>4.4220000000000002E-2</v>
      </c>
      <c r="M35" s="272">
        <f t="shared" si="8"/>
        <v>0.71274995679916608</v>
      </c>
      <c r="N35" s="272">
        <f t="shared" si="9"/>
        <v>0.72923795774585853</v>
      </c>
      <c r="O35" s="281">
        <v>0</v>
      </c>
      <c r="P35" s="272">
        <f t="shared" si="10"/>
        <v>1</v>
      </c>
      <c r="Q35" s="280">
        <f t="shared" si="11"/>
        <v>1</v>
      </c>
      <c r="R35" s="279"/>
    </row>
    <row r="36" spans="1:18">
      <c r="A36" s="66">
        <f t="shared" si="1"/>
        <v>17</v>
      </c>
      <c r="B36" s="279">
        <f>B35*(1+'Data for Q3'!$C$32)</f>
        <v>2265.1421119443517</v>
      </c>
      <c r="C36" s="278">
        <f t="shared" si="0"/>
        <v>0.35038979249763014</v>
      </c>
      <c r="D36" s="277">
        <f t="shared" si="2"/>
        <v>61</v>
      </c>
      <c r="E36" s="275">
        <f>VLOOKUP(D36,'Data for Q3'!$B$42:$D$92,3,0)</f>
        <v>3.8400000000000001E-3</v>
      </c>
      <c r="F36" s="275">
        <f t="shared" si="3"/>
        <v>0.96814902032470673</v>
      </c>
      <c r="G36" s="275">
        <f t="shared" si="4"/>
        <v>0.97001503192828786</v>
      </c>
      <c r="H36" s="276">
        <f>'Solution for Q3 (d)'!H37</f>
        <v>0</v>
      </c>
      <c r="I36" s="275">
        <f t="shared" si="5"/>
        <v>0.64896546846474334</v>
      </c>
      <c r="J36" s="275">
        <f t="shared" si="6"/>
        <v>0.64896546846474334</v>
      </c>
      <c r="K36" s="274">
        <f t="shared" si="7"/>
        <v>83</v>
      </c>
      <c r="L36" s="272">
        <f>'Data for Q3'!C84</f>
        <v>5.0389999999999997E-2</v>
      </c>
      <c r="M36" s="272">
        <f t="shared" si="8"/>
        <v>0.67683448647605604</v>
      </c>
      <c r="N36" s="272">
        <f t="shared" si="9"/>
        <v>0.69479222163761112</v>
      </c>
      <c r="O36" s="281">
        <v>0</v>
      </c>
      <c r="P36" s="272">
        <f t="shared" si="10"/>
        <v>1</v>
      </c>
      <c r="Q36" s="280">
        <f t="shared" si="11"/>
        <v>1</v>
      </c>
      <c r="R36" s="279"/>
    </row>
    <row r="37" spans="1:18">
      <c r="A37" s="66">
        <f t="shared" si="1"/>
        <v>18</v>
      </c>
      <c r="B37" s="279">
        <f>B36*(1+'Data for Q3'!$C$32)</f>
        <v>2355.7477964221257</v>
      </c>
      <c r="C37" s="278">
        <f t="shared" si="0"/>
        <v>0.3274670957921777</v>
      </c>
      <c r="D37" s="277">
        <f t="shared" si="2"/>
        <v>62</v>
      </c>
      <c r="E37" s="275">
        <f>VLOOKUP(D37,'Data for Q3'!$B$42:$D$92,3,0)</f>
        <v>4.2100000000000002E-3</v>
      </c>
      <c r="F37" s="275">
        <f t="shared" si="3"/>
        <v>0.96407311294913967</v>
      </c>
      <c r="G37" s="275">
        <f t="shared" si="4"/>
        <v>0.96611106663692325</v>
      </c>
      <c r="H37" s="276">
        <f>'Solution for Q3 (d)'!H38</f>
        <v>0</v>
      </c>
      <c r="I37" s="275">
        <f t="shared" si="5"/>
        <v>0.64896546846474334</v>
      </c>
      <c r="J37" s="275">
        <f t="shared" si="6"/>
        <v>0.64896546846474334</v>
      </c>
      <c r="K37" s="274">
        <f t="shared" si="7"/>
        <v>84</v>
      </c>
      <c r="L37" s="272">
        <f>'Data for Q3'!C85</f>
        <v>5.7489999999999999E-2</v>
      </c>
      <c r="M37" s="272">
        <f t="shared" si="8"/>
        <v>0.63792327184854758</v>
      </c>
      <c r="N37" s="272">
        <f t="shared" si="9"/>
        <v>0.65737887916230175</v>
      </c>
      <c r="O37" s="281">
        <v>0</v>
      </c>
      <c r="P37" s="272">
        <f t="shared" si="10"/>
        <v>1</v>
      </c>
      <c r="Q37" s="280">
        <f t="shared" si="11"/>
        <v>1</v>
      </c>
      <c r="R37" s="279"/>
    </row>
    <row r="38" spans="1:18">
      <c r="A38" s="66">
        <f t="shared" si="1"/>
        <v>19</v>
      </c>
      <c r="B38" s="279">
        <f>B37*(1+'Data for Q3'!$C$32)</f>
        <v>2449.977708279011</v>
      </c>
      <c r="C38" s="278">
        <f t="shared" si="0"/>
        <v>0.30604401475904458</v>
      </c>
      <c r="D38" s="277">
        <f t="shared" si="2"/>
        <v>63</v>
      </c>
      <c r="E38" s="275">
        <f>VLOOKUP(D38,'Data for Q3'!$B$42:$D$92,3,0)</f>
        <v>4.64E-3</v>
      </c>
      <c r="F38" s="275">
        <f t="shared" si="3"/>
        <v>0.95959981370505565</v>
      </c>
      <c r="G38" s="275">
        <f t="shared" si="4"/>
        <v>0.96183646332709771</v>
      </c>
      <c r="H38" s="276">
        <f>'Solution for Q3 (d)'!H39</f>
        <v>0</v>
      </c>
      <c r="I38" s="275">
        <f t="shared" si="5"/>
        <v>0.64896546846474334</v>
      </c>
      <c r="J38" s="275">
        <f t="shared" si="6"/>
        <v>0.64896546846474334</v>
      </c>
      <c r="K38" s="274">
        <f t="shared" si="7"/>
        <v>85</v>
      </c>
      <c r="L38" s="272">
        <f>'Data for Q3'!C86</f>
        <v>6.5570000000000003E-2</v>
      </c>
      <c r="M38" s="272">
        <f t="shared" si="8"/>
        <v>0.59609464291343828</v>
      </c>
      <c r="N38" s="272">
        <f t="shared" si="9"/>
        <v>0.61700895738099293</v>
      </c>
      <c r="O38" s="281">
        <v>0</v>
      </c>
      <c r="P38" s="272">
        <f t="shared" si="10"/>
        <v>1</v>
      </c>
      <c r="Q38" s="280">
        <f t="shared" si="11"/>
        <v>1</v>
      </c>
      <c r="R38" s="279"/>
    </row>
    <row r="39" spans="1:18">
      <c r="A39" s="66">
        <f t="shared" si="1"/>
        <v>20</v>
      </c>
      <c r="B39" s="279">
        <f>B38*(1+'Data for Q3'!$C$32)</f>
        <v>2547.9768166101717</v>
      </c>
      <c r="C39" s="278">
        <f t="shared" si="0"/>
        <v>0.28602244370004165</v>
      </c>
      <c r="D39" s="277">
        <f t="shared" si="2"/>
        <v>64</v>
      </c>
      <c r="E39" s="275">
        <f>VLOOKUP(D39,'Data for Q3'!$B$42:$D$92,3,0)</f>
        <v>5.11E-3</v>
      </c>
      <c r="F39" s="275">
        <f t="shared" si="3"/>
        <v>0.9546962586570229</v>
      </c>
      <c r="G39" s="275">
        <f t="shared" si="4"/>
        <v>0.95714803618103927</v>
      </c>
      <c r="H39" s="276">
        <f>'Solution for Q3 (d)'!H40</f>
        <v>0</v>
      </c>
      <c r="I39" s="275">
        <f t="shared" si="5"/>
        <v>0.64896546846474334</v>
      </c>
      <c r="J39" s="275">
        <f t="shared" si="6"/>
        <v>0.64896546846474334</v>
      </c>
      <c r="K39" s="274">
        <f t="shared" si="7"/>
        <v>86</v>
      </c>
      <c r="L39" s="272">
        <f>'Data for Q3'!C87</f>
        <v>7.4700000000000003E-2</v>
      </c>
      <c r="M39" s="272">
        <f t="shared" si="8"/>
        <v>0.55156637308780443</v>
      </c>
      <c r="N39" s="272">
        <f t="shared" si="9"/>
        <v>0.57383050800062141</v>
      </c>
      <c r="O39" s="281">
        <v>0</v>
      </c>
      <c r="P39" s="272">
        <f t="shared" si="10"/>
        <v>1</v>
      </c>
      <c r="Q39" s="280">
        <f t="shared" si="11"/>
        <v>1</v>
      </c>
      <c r="R39" s="279"/>
    </row>
    <row r="40" spans="1:18">
      <c r="A40" s="66">
        <f t="shared" si="1"/>
        <v>21</v>
      </c>
      <c r="B40" s="279">
        <f>B39*(1+'Data for Q3'!$C$32)</f>
        <v>2649.8958892745786</v>
      </c>
      <c r="C40" s="278">
        <f t="shared" si="0"/>
        <v>0.26731069504676785</v>
      </c>
      <c r="D40" s="277">
        <f t="shared" si="2"/>
        <v>65</v>
      </c>
      <c r="E40" s="275">
        <f>VLOOKUP(D40,'Data for Q3'!$B$42:$D$92,3,0)</f>
        <v>5.62E-3</v>
      </c>
      <c r="F40" s="275">
        <f t="shared" si="3"/>
        <v>0.94933086568337044</v>
      </c>
      <c r="G40" s="275">
        <f t="shared" si="4"/>
        <v>0.95201356217019673</v>
      </c>
      <c r="H40" s="276">
        <f>'Solution for Q3 (d)'!H41</f>
        <v>0</v>
      </c>
      <c r="I40" s="275">
        <f t="shared" si="5"/>
        <v>0.64896546846474334</v>
      </c>
      <c r="J40" s="275">
        <f t="shared" si="6"/>
        <v>0.64896546846474334</v>
      </c>
      <c r="K40" s="274">
        <f t="shared" si="7"/>
        <v>87</v>
      </c>
      <c r="L40" s="272">
        <f>'Data for Q3'!C88</f>
        <v>8.4949999999999998E-2</v>
      </c>
      <c r="M40" s="272">
        <f t="shared" si="8"/>
        <v>0.50471080969399551</v>
      </c>
      <c r="N40" s="272">
        <f t="shared" si="9"/>
        <v>0.52813859139089991</v>
      </c>
      <c r="O40" s="281">
        <v>0</v>
      </c>
      <c r="P40" s="272">
        <f t="shared" si="10"/>
        <v>1</v>
      </c>
      <c r="Q40" s="280">
        <f t="shared" si="11"/>
        <v>1</v>
      </c>
      <c r="R40" s="279"/>
    </row>
    <row r="41" spans="1:18">
      <c r="A41" s="66">
        <f t="shared" si="1"/>
        <v>22</v>
      </c>
      <c r="B41" s="279">
        <f>B40*(1+'Data for Q3'!$C$32)</f>
        <v>2755.8917248455618</v>
      </c>
      <c r="C41" s="278">
        <f t="shared" si="0"/>
        <v>0.24982307948296065</v>
      </c>
      <c r="D41" s="277">
        <f t="shared" si="2"/>
        <v>66</v>
      </c>
      <c r="E41" s="275">
        <f>VLOOKUP(D41,'Data for Q3'!$B$42:$D$92,3,0)</f>
        <v>6.1999999999999998E-3</v>
      </c>
      <c r="F41" s="275">
        <f t="shared" si="3"/>
        <v>0.94344501431613359</v>
      </c>
      <c r="G41" s="275">
        <f t="shared" si="4"/>
        <v>0.94638793999975201</v>
      </c>
      <c r="H41" s="276">
        <f>'Solution for Q3 (d)'!H42</f>
        <v>0</v>
      </c>
      <c r="I41" s="275">
        <f t="shared" si="5"/>
        <v>0.64896546846474334</v>
      </c>
      <c r="J41" s="275">
        <f t="shared" si="6"/>
        <v>0.64896546846474334</v>
      </c>
      <c r="K41" s="274">
        <f t="shared" si="7"/>
        <v>88</v>
      </c>
      <c r="L41" s="272">
        <f>'Data for Q3'!C89</f>
        <v>9.6379999999999993E-2</v>
      </c>
      <c r="M41" s="272">
        <f t="shared" si="8"/>
        <v>0.45606678185568822</v>
      </c>
      <c r="N41" s="272">
        <f t="shared" si="9"/>
        <v>0.48038879577484189</v>
      </c>
      <c r="O41" s="281">
        <v>0</v>
      </c>
      <c r="P41" s="272">
        <f t="shared" si="10"/>
        <v>1</v>
      </c>
      <c r="Q41" s="280">
        <f t="shared" si="11"/>
        <v>1</v>
      </c>
      <c r="R41" s="279"/>
    </row>
    <row r="42" spans="1:18">
      <c r="A42" s="66">
        <f t="shared" si="1"/>
        <v>23</v>
      </c>
      <c r="B42" s="279">
        <f>B41*(1+'Data for Q3'!$C$32)</f>
        <v>2866.1273938393842</v>
      </c>
      <c r="C42" s="278">
        <f t="shared" si="0"/>
        <v>0.23347951353547722</v>
      </c>
      <c r="D42" s="277">
        <f t="shared" si="2"/>
        <v>67</v>
      </c>
      <c r="E42" s="275">
        <f>VLOOKUP(D42,'Data for Q3'!$B$42:$D$92,3,0)</f>
        <v>6.8599999999999998E-3</v>
      </c>
      <c r="F42" s="275">
        <f t="shared" si="3"/>
        <v>0.93697298151792496</v>
      </c>
      <c r="G42" s="275">
        <f t="shared" si="4"/>
        <v>0.94020899791702917</v>
      </c>
      <c r="H42" s="276">
        <f>'Solution for Q3 (d)'!H43</f>
        <v>0</v>
      </c>
      <c r="I42" s="275">
        <f t="shared" si="5"/>
        <v>0.64896546846474334</v>
      </c>
      <c r="J42" s="275">
        <f t="shared" si="6"/>
        <v>0.64896546846474334</v>
      </c>
      <c r="K42" s="274">
        <f t="shared" si="7"/>
        <v>89</v>
      </c>
      <c r="L42" s="272">
        <f>'Data for Q3'!C90</f>
        <v>0.1091</v>
      </c>
      <c r="M42" s="272">
        <f t="shared" si="8"/>
        <v>0.40630989595523265</v>
      </c>
      <c r="N42" s="272">
        <f t="shared" si="9"/>
        <v>0.43118833890546043</v>
      </c>
      <c r="O42" s="281">
        <v>0</v>
      </c>
      <c r="P42" s="272">
        <f t="shared" si="10"/>
        <v>1</v>
      </c>
      <c r="Q42" s="280">
        <f t="shared" si="11"/>
        <v>1</v>
      </c>
      <c r="R42" s="279"/>
    </row>
    <row r="43" spans="1:18">
      <c r="A43" s="66">
        <f t="shared" si="1"/>
        <v>24</v>
      </c>
      <c r="B43" s="279">
        <f>B42*(1+'Data for Q3'!$C$32)</f>
        <v>2980.7724895929596</v>
      </c>
      <c r="C43" s="278">
        <f t="shared" si="0"/>
        <v>0.21820515283689457</v>
      </c>
      <c r="D43" s="277">
        <f t="shared" si="2"/>
        <v>68</v>
      </c>
      <c r="E43" s="275">
        <f>VLOOKUP(D43,'Data for Q3'!$B$42:$D$92,3,0)</f>
        <v>7.6099999999999996E-3</v>
      </c>
      <c r="F43" s="275">
        <f t="shared" si="3"/>
        <v>0.92984261712857352</v>
      </c>
      <c r="G43" s="275">
        <f t="shared" si="4"/>
        <v>0.93340779932324935</v>
      </c>
      <c r="H43" s="276">
        <f>'Solution for Q3 (d)'!H44</f>
        <v>0</v>
      </c>
      <c r="I43" s="275">
        <f t="shared" si="5"/>
        <v>0.64896546846474334</v>
      </c>
      <c r="J43" s="275">
        <f t="shared" si="6"/>
        <v>0.64896546846474334</v>
      </c>
      <c r="K43" s="274">
        <f t="shared" si="7"/>
        <v>90</v>
      </c>
      <c r="L43" s="272">
        <f>'Data for Q3'!C91</f>
        <v>0.12317</v>
      </c>
      <c r="M43" s="272">
        <f t="shared" si="8"/>
        <v>0.35626470607042665</v>
      </c>
      <c r="N43" s="272">
        <f t="shared" si="9"/>
        <v>0.38128730101282965</v>
      </c>
      <c r="O43" s="281">
        <v>0</v>
      </c>
      <c r="P43" s="272">
        <f t="shared" si="10"/>
        <v>1</v>
      </c>
      <c r="Q43" s="280">
        <f t="shared" si="11"/>
        <v>1</v>
      </c>
      <c r="R43" s="279"/>
    </row>
    <row r="44" spans="1:18">
      <c r="A44" s="66">
        <f t="shared" si="1"/>
        <v>25</v>
      </c>
      <c r="B44" s="279">
        <f>B43*(1+'Data for Q3'!$C$32)</f>
        <v>3100.003389176678</v>
      </c>
      <c r="C44" s="278">
        <f t="shared" si="0"/>
        <v>0.20393004938027526</v>
      </c>
      <c r="D44" s="277">
        <f t="shared" si="2"/>
        <v>69</v>
      </c>
      <c r="E44" s="275">
        <f>VLOOKUP(D44,'Data for Q3'!$B$42:$D$92,3,0)</f>
        <v>8.4399999999999996E-3</v>
      </c>
      <c r="F44" s="275">
        <f t="shared" si="3"/>
        <v>0.92199474544000837</v>
      </c>
      <c r="G44" s="275">
        <f t="shared" si="4"/>
        <v>0.92591868128429089</v>
      </c>
      <c r="H44" s="276">
        <f>'Solution for Q3 (d)'!H45</f>
        <v>0</v>
      </c>
      <c r="I44" s="275">
        <f t="shared" si="5"/>
        <v>0.64896546846474334</v>
      </c>
      <c r="J44" s="275">
        <f t="shared" si="6"/>
        <v>0.64896546846474334</v>
      </c>
      <c r="K44" s="274"/>
      <c r="L44" s="272"/>
      <c r="M44" s="272"/>
      <c r="N44" s="272"/>
      <c r="O44" s="281"/>
      <c r="P44" s="272"/>
      <c r="Q44" s="280"/>
      <c r="R44" s="279"/>
    </row>
    <row r="45" spans="1:18">
      <c r="A45" s="66">
        <f t="shared" si="1"/>
        <v>26</v>
      </c>
      <c r="B45" s="279">
        <f>B44*(1+'Data for Q3'!$C$32)</f>
        <v>3224.0035247437454</v>
      </c>
      <c r="C45" s="278">
        <f t="shared" si="0"/>
        <v>0.19058883119651895</v>
      </c>
      <c r="D45" s="277">
        <f t="shared" si="2"/>
        <v>70</v>
      </c>
      <c r="E45" s="275">
        <f>VLOOKUP(D45,'Data for Q3'!$B$42:$D$92,3,0)</f>
        <v>9.3399999999999993E-3</v>
      </c>
      <c r="F45" s="275">
        <f t="shared" si="3"/>
        <v>0.91338331451759869</v>
      </c>
      <c r="G45" s="275">
        <f t="shared" si="4"/>
        <v>0.91768902997880353</v>
      </c>
      <c r="H45" s="276">
        <f>'Solution for Q3 (d)'!H46</f>
        <v>0</v>
      </c>
      <c r="I45" s="275">
        <f t="shared" si="5"/>
        <v>0.64896546846474334</v>
      </c>
      <c r="J45" s="275">
        <f t="shared" si="6"/>
        <v>0.64896546846474334</v>
      </c>
      <c r="K45" s="274"/>
      <c r="L45" s="272"/>
      <c r="M45" s="272"/>
      <c r="N45" s="272"/>
      <c r="O45" s="273"/>
      <c r="P45" s="272"/>
      <c r="Q45" s="280"/>
      <c r="R45" s="279"/>
    </row>
    <row r="46" spans="1:18">
      <c r="A46" s="8">
        <f t="shared" si="1"/>
        <v>27</v>
      </c>
      <c r="B46" s="279">
        <f>B45*(1+'Data for Q3'!$C$32)</f>
        <v>3352.9636657334954</v>
      </c>
      <c r="C46" s="278">
        <f t="shared" si="0"/>
        <v>0.17812040298740087</v>
      </c>
      <c r="D46" s="277">
        <f t="shared" si="2"/>
        <v>71</v>
      </c>
      <c r="E46" s="275">
        <f>VLOOKUP(D46,'Data for Q3'!$B$42:$D$92,3,0)</f>
        <v>1.031E-2</v>
      </c>
      <c r="F46" s="275">
        <f t="shared" si="3"/>
        <v>0.9039663325449222</v>
      </c>
      <c r="G46" s="275">
        <f t="shared" si="4"/>
        <v>0.9086748235312605</v>
      </c>
      <c r="H46" s="276">
        <f>'Solution for Q3 (d)'!H47</f>
        <v>0</v>
      </c>
      <c r="I46" s="275">
        <f t="shared" si="5"/>
        <v>0.64896546846474334</v>
      </c>
      <c r="J46" s="275">
        <f t="shared" si="6"/>
        <v>0.64896546846474334</v>
      </c>
      <c r="K46" s="274"/>
      <c r="L46" s="272"/>
      <c r="M46" s="272"/>
      <c r="N46" s="272"/>
      <c r="O46" s="273"/>
      <c r="P46" s="272"/>
      <c r="Q46" s="272"/>
      <c r="R46" s="279"/>
    </row>
    <row r="47" spans="1:18">
      <c r="A47" s="8">
        <f t="shared" si="1"/>
        <v>28</v>
      </c>
      <c r="B47" s="279">
        <f>B46*(1+'Data for Q3'!$C$32)</f>
        <v>3487.0822123628354</v>
      </c>
      <c r="C47" s="278">
        <f t="shared" si="0"/>
        <v>0.16646766634336529</v>
      </c>
      <c r="D47" s="277">
        <f t="shared" si="2"/>
        <v>72</v>
      </c>
      <c r="E47" s="275">
        <f>VLOOKUP(D47,'Data for Q3'!$B$42:$D$92,3,0)</f>
        <v>1.1339999999999999E-2</v>
      </c>
      <c r="F47" s="275">
        <f t="shared" si="3"/>
        <v>0.89371535433386273</v>
      </c>
      <c r="G47" s="275">
        <f t="shared" si="4"/>
        <v>0.89884084343939252</v>
      </c>
      <c r="H47" s="276">
        <f>'Solution for Q3 (d)'!H48</f>
        <v>0</v>
      </c>
      <c r="I47" s="275">
        <f t="shared" si="5"/>
        <v>0.64896546846474334</v>
      </c>
      <c r="J47" s="275">
        <f t="shared" si="6"/>
        <v>0.64896546846474334</v>
      </c>
      <c r="K47" s="274"/>
      <c r="L47" s="272"/>
      <c r="M47" s="272"/>
      <c r="N47" s="272"/>
      <c r="O47" s="273"/>
      <c r="P47" s="272"/>
      <c r="Q47" s="272"/>
      <c r="R47" s="279"/>
    </row>
    <row r="48" spans="1:18">
      <c r="A48" s="8">
        <f t="shared" si="1"/>
        <v>29</v>
      </c>
      <c r="B48" s="279">
        <f>B47*(1+'Data for Q3'!$C$32)</f>
        <v>3626.565500857349</v>
      </c>
      <c r="C48" s="278">
        <f t="shared" si="0"/>
        <v>0.15557725826482735</v>
      </c>
      <c r="D48" s="277">
        <f t="shared" si="2"/>
        <v>73</v>
      </c>
      <c r="E48" s="275">
        <f>VLOOKUP(D48,'Data for Q3'!$B$42:$D$92,3,0)</f>
        <v>1.244E-2</v>
      </c>
      <c r="F48" s="275">
        <f t="shared" si="3"/>
        <v>0.88259753532594942</v>
      </c>
      <c r="G48" s="275">
        <f t="shared" si="4"/>
        <v>0.88815644482990608</v>
      </c>
      <c r="H48" s="276">
        <f>'Solution for Q3 (d)'!H49</f>
        <v>0</v>
      </c>
      <c r="I48" s="275">
        <f t="shared" si="5"/>
        <v>0.64896546846474334</v>
      </c>
      <c r="J48" s="275">
        <f t="shared" si="6"/>
        <v>0.64896546846474334</v>
      </c>
      <c r="K48" s="274"/>
      <c r="L48" s="272"/>
      <c r="M48" s="272"/>
      <c r="N48" s="272"/>
      <c r="O48" s="273"/>
      <c r="P48" s="272"/>
      <c r="Q48" s="272"/>
      <c r="R48" s="279"/>
    </row>
    <row r="49" spans="1:18">
      <c r="A49" s="8">
        <f t="shared" si="1"/>
        <v>30</v>
      </c>
      <c r="B49" s="279">
        <f>B48*(1+'Data for Q3'!$C$32)</f>
        <v>3771.628120891643</v>
      </c>
      <c r="C49" s="278">
        <f t="shared" si="0"/>
        <v>0.14539930678955829</v>
      </c>
      <c r="D49" s="277">
        <f t="shared" si="2"/>
        <v>74</v>
      </c>
      <c r="E49" s="275">
        <f>VLOOKUP(D49,'Data for Q3'!$B$42:$D$92,3,0)</f>
        <v>1.366E-2</v>
      </c>
      <c r="F49" s="275">
        <f t="shared" si="3"/>
        <v>0.87054125299339691</v>
      </c>
      <c r="G49" s="275">
        <f t="shared" si="4"/>
        <v>0.87656939415967317</v>
      </c>
      <c r="H49" s="276">
        <f>'Solution for Q3 (d)'!H50</f>
        <v>0</v>
      </c>
      <c r="I49" s="275">
        <f t="shared" si="5"/>
        <v>0.64896546846474334</v>
      </c>
      <c r="J49" s="275">
        <f t="shared" si="6"/>
        <v>0.64896546846474334</v>
      </c>
      <c r="K49" s="274"/>
      <c r="L49" s="272"/>
      <c r="M49" s="272"/>
      <c r="N49" s="272"/>
      <c r="O49" s="273"/>
      <c r="P49" s="272"/>
      <c r="Q49" s="272"/>
      <c r="R49" s="279"/>
    </row>
    <row r="50" spans="1:18">
      <c r="A50" s="8">
        <f t="shared" si="1"/>
        <v>31</v>
      </c>
      <c r="B50" s="279">
        <f>B49*(1+'Data for Q3'!$C$32)</f>
        <v>3922.4932457273089</v>
      </c>
      <c r="C50" s="278">
        <f t="shared" si="0"/>
        <v>0.1358872026070638</v>
      </c>
      <c r="D50" s="277">
        <f t="shared" si="2"/>
        <v>75</v>
      </c>
      <c r="E50" s="275">
        <f>VLOOKUP(D50,'Data for Q3'!$B$42:$D$92,3,0)</f>
        <v>1.502E-2</v>
      </c>
      <c r="F50" s="275">
        <f t="shared" si="3"/>
        <v>0.85746572337343607</v>
      </c>
      <c r="G50" s="275">
        <f t="shared" si="4"/>
        <v>0.86400348818341643</v>
      </c>
      <c r="H50" s="276">
        <f>'Solution for Q3 (d)'!H51</f>
        <v>0</v>
      </c>
      <c r="I50" s="275">
        <f t="shared" si="5"/>
        <v>0.64896546846474334</v>
      </c>
      <c r="J50" s="275">
        <f t="shared" si="6"/>
        <v>0.64896546846474334</v>
      </c>
      <c r="K50" s="274"/>
      <c r="L50" s="272"/>
      <c r="M50" s="272"/>
      <c r="N50" s="272"/>
      <c r="O50" s="273"/>
      <c r="P50" s="272"/>
      <c r="Q50" s="272"/>
      <c r="R50" s="279"/>
    </row>
    <row r="51" spans="1:18">
      <c r="A51" s="8">
        <f t="shared" si="1"/>
        <v>32</v>
      </c>
      <c r="B51" s="279">
        <f>B50*(1+'Data for Q3'!$C$32)</f>
        <v>4079.3929755564013</v>
      </c>
      <c r="C51" s="278">
        <f t="shared" si="0"/>
        <v>0.12699738561407831</v>
      </c>
      <c r="D51" s="277">
        <f t="shared" si="2"/>
        <v>76</v>
      </c>
      <c r="E51" s="275">
        <f>VLOOKUP(D51,'Data for Q3'!$B$42:$D$92,3,0)</f>
        <v>1.6559999999999998E-2</v>
      </c>
      <c r="F51" s="275">
        <f t="shared" si="3"/>
        <v>0.843266090994372</v>
      </c>
      <c r="G51" s="275">
        <f t="shared" si="4"/>
        <v>0.85036590718390404</v>
      </c>
      <c r="H51" s="276">
        <f>'Solution for Q3 (d)'!H52</f>
        <v>0</v>
      </c>
      <c r="I51" s="275">
        <f t="shared" si="5"/>
        <v>0.64896546846474334</v>
      </c>
      <c r="J51" s="275">
        <f t="shared" si="6"/>
        <v>0.64896546846474334</v>
      </c>
      <c r="K51" s="274"/>
      <c r="L51" s="272"/>
      <c r="M51" s="272"/>
      <c r="N51" s="272"/>
      <c r="O51" s="273"/>
      <c r="P51" s="272"/>
      <c r="Q51" s="272"/>
      <c r="R51" s="279"/>
    </row>
    <row r="52" spans="1:18">
      <c r="A52" s="8">
        <f t="shared" si="1"/>
        <v>33</v>
      </c>
      <c r="B52" s="279">
        <f>B51*(1+'Data for Q3'!$C$32)</f>
        <v>4242.5686945786574</v>
      </c>
      <c r="C52" s="278">
        <f t="shared" si="0"/>
        <v>0.11868914543371804</v>
      </c>
      <c r="D52" s="277">
        <f t="shared" si="2"/>
        <v>77</v>
      </c>
      <c r="E52" s="275">
        <f>VLOOKUP(D52,'Data for Q3'!$B$42:$D$92,3,0)</f>
        <v>1.8339999999999999E-2</v>
      </c>
      <c r="F52" s="275">
        <f t="shared" si="3"/>
        <v>0.82780059088553515</v>
      </c>
      <c r="G52" s="275">
        <f t="shared" si="4"/>
        <v>0.83553334093995357</v>
      </c>
      <c r="H52" s="276">
        <f>'Solution for Q3 (d)'!H53</f>
        <v>0</v>
      </c>
      <c r="I52" s="275">
        <f t="shared" si="5"/>
        <v>0.64896546846474334</v>
      </c>
      <c r="J52" s="275">
        <f t="shared" si="6"/>
        <v>0.64896546846474334</v>
      </c>
      <c r="K52" s="274"/>
      <c r="L52" s="272"/>
      <c r="M52" s="272"/>
      <c r="N52" s="272"/>
      <c r="O52" s="273"/>
      <c r="P52" s="272"/>
      <c r="Q52" s="272"/>
      <c r="R52" s="279"/>
    </row>
    <row r="53" spans="1:18">
      <c r="A53" s="8">
        <f t="shared" si="1"/>
        <v>34</v>
      </c>
      <c r="B53" s="279">
        <f>B52*(1+'Data for Q3'!$C$32)</f>
        <v>4412.2714423618036</v>
      </c>
      <c r="C53" s="278">
        <f t="shared" si="0"/>
        <v>0.1109244349847832</v>
      </c>
      <c r="D53" s="277">
        <f t="shared" si="2"/>
        <v>78</v>
      </c>
      <c r="E53" s="275">
        <f>VLOOKUP(D53,'Data for Q3'!$B$42:$D$92,3,0)</f>
        <v>2.0410000000000001E-2</v>
      </c>
      <c r="F53" s="275">
        <f t="shared" si="3"/>
        <v>0.81090518082556129</v>
      </c>
      <c r="G53" s="275">
        <f t="shared" si="4"/>
        <v>0.81935288585554822</v>
      </c>
      <c r="H53" s="276">
        <f>'Solution for Q3 (d)'!H54</f>
        <v>0</v>
      </c>
      <c r="I53" s="275">
        <f t="shared" si="5"/>
        <v>0.64896546846474334</v>
      </c>
      <c r="J53" s="275">
        <f t="shared" si="6"/>
        <v>0.64896546846474334</v>
      </c>
      <c r="K53" s="274"/>
      <c r="L53" s="272"/>
      <c r="M53" s="272"/>
      <c r="N53" s="272"/>
      <c r="O53" s="273"/>
      <c r="P53" s="272"/>
      <c r="Q53" s="272"/>
      <c r="R53" s="279"/>
    </row>
    <row r="54" spans="1:18">
      <c r="A54" s="8">
        <f t="shared" si="1"/>
        <v>35</v>
      </c>
      <c r="B54" s="279">
        <f>B53*(1+'Data for Q3'!$C$32)</f>
        <v>4588.7623000562762</v>
      </c>
      <c r="C54" s="278">
        <f t="shared" si="0"/>
        <v>0.10366769624746093</v>
      </c>
      <c r="D54" s="277">
        <f t="shared" si="2"/>
        <v>79</v>
      </c>
      <c r="E54" s="275">
        <f>VLOOKUP(D54,'Data for Q3'!$B$42:$D$92,3,0)</f>
        <v>2.2839999999999999E-2</v>
      </c>
      <c r="F54" s="275">
        <f t="shared" si="3"/>
        <v>0.7923841064955055</v>
      </c>
      <c r="G54" s="275">
        <f t="shared" si="4"/>
        <v>0.80164464366053334</v>
      </c>
      <c r="H54" s="276">
        <f>'Solution for Q3 (d)'!H55</f>
        <v>0</v>
      </c>
      <c r="I54" s="275">
        <f t="shared" si="5"/>
        <v>0.64896546846474334</v>
      </c>
      <c r="J54" s="275">
        <f t="shared" si="6"/>
        <v>0.64896546846474334</v>
      </c>
      <c r="K54" s="274"/>
      <c r="L54" s="272"/>
      <c r="M54" s="272"/>
      <c r="N54" s="272"/>
      <c r="O54" s="273"/>
      <c r="P54" s="272"/>
      <c r="Q54" s="272"/>
      <c r="R54" s="279"/>
    </row>
    <row r="55" spans="1:18">
      <c r="A55" s="8">
        <f t="shared" si="1"/>
        <v>36</v>
      </c>
      <c r="B55" s="279">
        <f>B54*(1+'Data for Q3'!$C$32)</f>
        <v>4772.3127920585275</v>
      </c>
      <c r="C55" s="278">
        <f t="shared" si="0"/>
        <v>9.6885697427533585E-2</v>
      </c>
      <c r="D55" s="277">
        <f t="shared" si="2"/>
        <v>80</v>
      </c>
      <c r="E55" s="275">
        <f>VLOOKUP(D55,'Data for Q3'!$B$42:$D$92,3,0)</f>
        <v>2.571E-2</v>
      </c>
      <c r="F55" s="275">
        <f t="shared" si="3"/>
        <v>0.772011911117506</v>
      </c>
      <c r="G55" s="275">
        <f t="shared" si="4"/>
        <v>0.78219800880650581</v>
      </c>
      <c r="H55" s="276">
        <f>'Solution for Q3 (d)'!H56</f>
        <v>0</v>
      </c>
      <c r="I55" s="275">
        <f t="shared" si="5"/>
        <v>0.64896546846474334</v>
      </c>
      <c r="J55" s="275">
        <f t="shared" si="6"/>
        <v>0.64896546846474334</v>
      </c>
      <c r="K55" s="274"/>
      <c r="L55" s="272"/>
      <c r="M55" s="272"/>
      <c r="N55" s="272"/>
      <c r="O55" s="273"/>
      <c r="P55" s="272"/>
      <c r="Q55" s="272"/>
      <c r="R55" s="279"/>
    </row>
    <row r="56" spans="1:18">
      <c r="A56" s="8">
        <f t="shared" si="1"/>
        <v>37</v>
      </c>
      <c r="B56" s="279">
        <f>B55*(1+'Data for Q3'!$C$32)</f>
        <v>4963.2053037408687</v>
      </c>
      <c r="C56" s="278">
        <f t="shared" si="0"/>
        <v>9.0547380773395858E-2</v>
      </c>
      <c r="D56" s="277">
        <f t="shared" si="2"/>
        <v>81</v>
      </c>
      <c r="E56" s="275">
        <f>VLOOKUP(D56,'Data for Q3'!$B$42:$D$92,3,0)</f>
        <v>2.913E-2</v>
      </c>
      <c r="F56" s="275">
        <f t="shared" si="3"/>
        <v>0.74952320414665308</v>
      </c>
      <c r="G56" s="275">
        <f t="shared" si="4"/>
        <v>0.76076755763207948</v>
      </c>
      <c r="H56" s="276">
        <f>'Solution for Q3 (d)'!H57</f>
        <v>0</v>
      </c>
      <c r="I56" s="275">
        <f t="shared" si="5"/>
        <v>0.64896546846474334</v>
      </c>
      <c r="J56" s="275">
        <f t="shared" si="6"/>
        <v>0.64896546846474334</v>
      </c>
      <c r="K56" s="274"/>
      <c r="L56" s="272"/>
      <c r="M56" s="272"/>
      <c r="N56" s="272"/>
      <c r="O56" s="273"/>
      <c r="P56" s="272"/>
      <c r="Q56" s="272"/>
      <c r="R56" s="279"/>
    </row>
    <row r="57" spans="1:18">
      <c r="A57" s="8">
        <f t="shared" si="1"/>
        <v>38</v>
      </c>
      <c r="B57" s="279">
        <f>B56*(1+'Data for Q3'!$C$32)</f>
        <v>5161.7335158905034</v>
      </c>
      <c r="C57" s="278">
        <f t="shared" si="0"/>
        <v>8.462372034896809E-2</v>
      </c>
      <c r="D57" s="277">
        <f t="shared" si="2"/>
        <v>82</v>
      </c>
      <c r="E57" s="275">
        <f>VLOOKUP(D57,'Data for Q3'!$B$42:$D$92,3,0)</f>
        <v>3.32E-2</v>
      </c>
      <c r="F57" s="275">
        <f t="shared" si="3"/>
        <v>0.7246390337689842</v>
      </c>
      <c r="G57" s="275">
        <f t="shared" si="4"/>
        <v>0.73708111895781869</v>
      </c>
      <c r="H57" s="276">
        <f>'Solution for Q3 (d)'!H58</f>
        <v>0</v>
      </c>
      <c r="I57" s="275">
        <f t="shared" si="5"/>
        <v>0.64896546846474334</v>
      </c>
      <c r="J57" s="275">
        <f t="shared" si="6"/>
        <v>0.64896546846474334</v>
      </c>
      <c r="K57" s="274"/>
      <c r="L57" s="272"/>
      <c r="M57" s="272"/>
      <c r="N57" s="272"/>
      <c r="O57" s="273"/>
      <c r="P57" s="272"/>
      <c r="Q57" s="272"/>
      <c r="R57" s="279"/>
    </row>
    <row r="58" spans="1:18">
      <c r="A58" s="8">
        <f t="shared" si="1"/>
        <v>39</v>
      </c>
      <c r="B58" s="279">
        <f>B57*(1+'Data for Q3'!$C$32)</f>
        <v>5368.2028565261235</v>
      </c>
      <c r="C58" s="278">
        <f t="shared" si="0"/>
        <v>7.9087589111185116E-2</v>
      </c>
      <c r="D58" s="277">
        <f t="shared" si="2"/>
        <v>83</v>
      </c>
      <c r="E58" s="275">
        <f>VLOOKUP(D58,'Data for Q3'!$B$42:$D$92,3,0)</f>
        <v>3.805E-2</v>
      </c>
      <c r="F58" s="275">
        <f t="shared" si="3"/>
        <v>0.69706651853407431</v>
      </c>
      <c r="G58" s="275">
        <f t="shared" si="4"/>
        <v>0.71085277615152931</v>
      </c>
      <c r="H58" s="276">
        <f>'Solution for Q3 (d)'!H59</f>
        <v>0</v>
      </c>
      <c r="I58" s="275">
        <f t="shared" si="5"/>
        <v>0.64896546846474334</v>
      </c>
      <c r="J58" s="275">
        <f t="shared" si="6"/>
        <v>0.64896546846474334</v>
      </c>
      <c r="K58" s="274"/>
      <c r="L58" s="272"/>
      <c r="M58" s="272"/>
      <c r="N58" s="272"/>
      <c r="O58" s="273"/>
      <c r="P58" s="272"/>
      <c r="Q58" s="272"/>
      <c r="R58" s="279"/>
    </row>
    <row r="59" spans="1:18">
      <c r="A59" s="8">
        <f t="shared" si="1"/>
        <v>40</v>
      </c>
      <c r="B59" s="279">
        <f>B58*(1+'Data for Q3'!$C$32)</f>
        <v>5582.9309707871689</v>
      </c>
      <c r="C59" s="278">
        <f t="shared" si="0"/>
        <v>7.3913634683350576E-2</v>
      </c>
      <c r="D59" s="277">
        <f t="shared" si="2"/>
        <v>84</v>
      </c>
      <c r="E59" s="275">
        <f>VLOOKUP(D59,'Data for Q3'!$B$42:$D$92,3,0)</f>
        <v>4.3770000000000003E-2</v>
      </c>
      <c r="F59" s="275">
        <f t="shared" si="3"/>
        <v>0.6665559170178379</v>
      </c>
      <c r="G59" s="275">
        <f t="shared" si="4"/>
        <v>0.6818112177759561</v>
      </c>
      <c r="H59" s="276">
        <f>'Solution for Q3 (d)'!H60</f>
        <v>0</v>
      </c>
      <c r="I59" s="275">
        <f t="shared" si="5"/>
        <v>0.64896546846474334</v>
      </c>
      <c r="J59" s="275">
        <f t="shared" si="6"/>
        <v>0.64896546846474334</v>
      </c>
      <c r="K59" s="274"/>
      <c r="L59" s="272"/>
      <c r="M59" s="272"/>
      <c r="N59" s="272"/>
      <c r="O59" s="273"/>
      <c r="P59" s="272"/>
      <c r="Q59" s="272"/>
      <c r="R59" s="279"/>
    </row>
    <row r="60" spans="1:18">
      <c r="A60" s="8">
        <f t="shared" si="1"/>
        <v>41</v>
      </c>
      <c r="B60" s="279">
        <f>B59*(1+'Data for Q3'!$C$32)</f>
        <v>5806.2482096186559</v>
      </c>
      <c r="C60" s="278">
        <f t="shared" si="0"/>
        <v>6.9078163255467825E-2</v>
      </c>
      <c r="D60" s="277">
        <f t="shared" si="2"/>
        <v>85</v>
      </c>
      <c r="E60" s="275">
        <f>VLOOKUP(D60,'Data for Q3'!$B$42:$D$92,3,0)</f>
        <v>5.0500000000000003E-2</v>
      </c>
      <c r="F60" s="275">
        <f t="shared" si="3"/>
        <v>0.63289484320843714</v>
      </c>
      <c r="G60" s="275">
        <f t="shared" si="4"/>
        <v>0.64972538011313752</v>
      </c>
      <c r="H60" s="276">
        <f>'Solution for Q3 (d)'!H61</f>
        <v>0</v>
      </c>
      <c r="I60" s="275">
        <f t="shared" si="5"/>
        <v>0.64896546846474334</v>
      </c>
      <c r="J60" s="275">
        <f t="shared" si="6"/>
        <v>0.64896546846474334</v>
      </c>
      <c r="K60" s="274"/>
      <c r="L60" s="272"/>
      <c r="M60" s="272"/>
      <c r="N60" s="272"/>
      <c r="O60" s="273"/>
      <c r="P60" s="272"/>
      <c r="Q60" s="272"/>
      <c r="R60" s="279"/>
    </row>
    <row r="61" spans="1:18">
      <c r="A61" s="8">
        <f t="shared" si="1"/>
        <v>42</v>
      </c>
      <c r="B61" s="279">
        <f>B60*(1+'Data for Q3'!$C$32)</f>
        <v>6038.4981380034023</v>
      </c>
      <c r="C61" s="278">
        <f t="shared" si="0"/>
        <v>6.4559031079876469E-2</v>
      </c>
      <c r="D61" s="277">
        <f t="shared" si="2"/>
        <v>86</v>
      </c>
      <c r="E61" s="275">
        <f>VLOOKUP(D61,'Data for Q3'!$B$42:$D$92,3,0)</f>
        <v>5.8319999999999997E-2</v>
      </c>
      <c r="F61" s="275">
        <f t="shared" si="3"/>
        <v>0.59598441595252105</v>
      </c>
      <c r="G61" s="275">
        <f t="shared" si="4"/>
        <v>0.61443962958047915</v>
      </c>
      <c r="H61" s="276">
        <f>'Solution for Q3 (d)'!H62</f>
        <v>0</v>
      </c>
      <c r="I61" s="275">
        <f t="shared" si="5"/>
        <v>0.64896546846474334</v>
      </c>
      <c r="J61" s="275">
        <f t="shared" si="6"/>
        <v>0.64896546846474334</v>
      </c>
      <c r="K61" s="274"/>
      <c r="L61" s="272"/>
      <c r="M61" s="272"/>
      <c r="N61" s="272"/>
      <c r="O61" s="273"/>
      <c r="P61" s="272"/>
      <c r="Q61" s="272"/>
      <c r="R61" s="279"/>
    </row>
    <row r="62" spans="1:18">
      <c r="A62" s="8">
        <f t="shared" si="1"/>
        <v>43</v>
      </c>
      <c r="B62" s="279">
        <f>B61*(1+'Data for Q3'!$C$32)</f>
        <v>6280.0380635235388</v>
      </c>
      <c r="C62" s="278">
        <f t="shared" si="0"/>
        <v>6.0335543065305107E-2</v>
      </c>
      <c r="D62" s="277">
        <f t="shared" si="2"/>
        <v>87</v>
      </c>
      <c r="E62" s="275">
        <f>VLOOKUP(D62,'Data for Q3'!$B$42:$D$92,3,0)</f>
        <v>6.7339999999999997E-2</v>
      </c>
      <c r="F62" s="275">
        <f t="shared" si="3"/>
        <v>0.55585082538227826</v>
      </c>
      <c r="G62" s="275">
        <f t="shared" si="4"/>
        <v>0.57591762066739971</v>
      </c>
      <c r="H62" s="276">
        <f>'Solution for Q3 (d)'!H63</f>
        <v>0</v>
      </c>
      <c r="I62" s="275">
        <f t="shared" si="5"/>
        <v>0.64896546846474334</v>
      </c>
      <c r="J62" s="275">
        <f t="shared" si="6"/>
        <v>0.64896546846474334</v>
      </c>
      <c r="K62" s="274"/>
      <c r="L62" s="272"/>
      <c r="M62" s="272"/>
      <c r="N62" s="272"/>
      <c r="O62" s="273"/>
      <c r="P62" s="272"/>
      <c r="Q62" s="272"/>
      <c r="R62" s="279"/>
    </row>
    <row r="63" spans="1:18">
      <c r="A63" s="8">
        <f t="shared" si="1"/>
        <v>44</v>
      </c>
      <c r="B63" s="279">
        <f>B62*(1+'Data for Q3'!$C$32)</f>
        <v>6531.2395860644801</v>
      </c>
      <c r="C63" s="278">
        <f t="shared" si="0"/>
        <v>5.6388358004958047E-2</v>
      </c>
      <c r="D63" s="277">
        <f t="shared" si="2"/>
        <v>88</v>
      </c>
      <c r="E63" s="275">
        <f>VLOOKUP(D63,'Data for Q3'!$B$42:$D$92,3,0)</f>
        <v>7.7649999999999997E-2</v>
      </c>
      <c r="F63" s="275">
        <f t="shared" si="3"/>
        <v>0.51268900879134438</v>
      </c>
      <c r="G63" s="275">
        <f t="shared" si="4"/>
        <v>0.53426991708681126</v>
      </c>
      <c r="H63" s="276">
        <f>'Solution for Q3 (d)'!H64</f>
        <v>0</v>
      </c>
      <c r="I63" s="275">
        <f t="shared" si="5"/>
        <v>0.64896546846474334</v>
      </c>
      <c r="J63" s="275">
        <f t="shared" si="6"/>
        <v>0.64896546846474334</v>
      </c>
      <c r="K63" s="274"/>
      <c r="L63" s="272"/>
      <c r="M63" s="272"/>
      <c r="N63" s="272"/>
      <c r="O63" s="273"/>
      <c r="P63" s="272"/>
      <c r="Q63" s="272"/>
      <c r="R63" s="279"/>
    </row>
    <row r="64" spans="1:18">
      <c r="A64" s="8">
        <f t="shared" si="1"/>
        <v>45</v>
      </c>
      <c r="B64" s="279">
        <f>B63*(1+'Data for Q3'!$C$32)</f>
        <v>6792.4891695070592</v>
      </c>
      <c r="C64" s="278">
        <f t="shared" si="0"/>
        <v>5.2699400004633683E-2</v>
      </c>
      <c r="D64" s="277">
        <f t="shared" si="2"/>
        <v>89</v>
      </c>
      <c r="E64" s="275">
        <f>VLOOKUP(D64,'Data for Q3'!$B$42:$D$92,3,0)</f>
        <v>8.9319999999999997E-2</v>
      </c>
      <c r="F64" s="275">
        <f t="shared" si="3"/>
        <v>0.4668956265261015</v>
      </c>
      <c r="G64" s="275">
        <f t="shared" si="4"/>
        <v>0.48979231765872294</v>
      </c>
      <c r="H64" s="276">
        <f>'Solution for Q3 (d)'!H65</f>
        <v>0</v>
      </c>
      <c r="I64" s="275">
        <f t="shared" si="5"/>
        <v>0.64896546846474334</v>
      </c>
      <c r="J64" s="275">
        <f t="shared" si="6"/>
        <v>0.64896546846474334</v>
      </c>
      <c r="K64" s="274"/>
      <c r="L64" s="272"/>
      <c r="M64" s="272"/>
      <c r="N64" s="272"/>
      <c r="O64" s="273"/>
      <c r="P64" s="272"/>
      <c r="Q64" s="272"/>
      <c r="R64" s="279"/>
    </row>
    <row r="65" spans="1:18">
      <c r="A65" s="8">
        <f t="shared" si="1"/>
        <v>46</v>
      </c>
      <c r="B65" s="279">
        <f>B64*(1+'Data for Q3'!$C$32)</f>
        <v>7064.1887362873422</v>
      </c>
      <c r="C65" s="278">
        <f t="shared" si="0"/>
        <v>4.9251775705265122E-2</v>
      </c>
      <c r="D65" s="277">
        <f t="shared" si="2"/>
        <v>90</v>
      </c>
      <c r="E65" s="275">
        <f>VLOOKUP(D65,'Data for Q3'!$B$42:$D$92,3,0)</f>
        <v>0.10238</v>
      </c>
      <c r="F65" s="275">
        <f t="shared" si="3"/>
        <v>0.41909485228235921</v>
      </c>
      <c r="G65" s="275">
        <f t="shared" si="4"/>
        <v>0.44299523940423041</v>
      </c>
      <c r="H65" s="276">
        <f>'Solution for Q3 (d)'!H66</f>
        <v>0</v>
      </c>
      <c r="I65" s="275">
        <f t="shared" si="5"/>
        <v>0.64896546846474334</v>
      </c>
      <c r="J65" s="275">
        <f t="shared" si="6"/>
        <v>0.64896546846474334</v>
      </c>
      <c r="K65" s="274"/>
      <c r="L65" s="272"/>
      <c r="M65" s="272"/>
      <c r="N65" s="272"/>
      <c r="O65" s="273"/>
      <c r="P65" s="272"/>
      <c r="Q65" s="272"/>
      <c r="R65" s="279"/>
    </row>
    <row r="66" spans="1:18">
      <c r="A66" s="8"/>
      <c r="B66" s="279"/>
      <c r="C66" s="278"/>
      <c r="D66" s="196"/>
      <c r="E66" s="278"/>
      <c r="G66" s="196"/>
      <c r="H66" s="278"/>
      <c r="I66" s="278"/>
      <c r="J66" s="278"/>
      <c r="L66" s="196"/>
      <c r="M66" s="196"/>
      <c r="N66" s="196"/>
      <c r="O66" s="278"/>
      <c r="P66" s="278"/>
      <c r="Q66" s="278"/>
    </row>
    <row r="76" spans="1:18" ht="15.5">
      <c r="A76" s="269"/>
      <c r="C76" s="268"/>
    </row>
    <row r="78" spans="1:18">
      <c r="A78" s="9"/>
      <c r="C78" s="268"/>
    </row>
  </sheetData>
  <mergeCells count="2">
    <mergeCell ref="D19:J19"/>
    <mergeCell ref="K19:Q19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08B37-D3D5-45C6-B1B7-4CF30ACC97E1}">
  <dimension ref="A1:R78"/>
  <sheetViews>
    <sheetView showGridLines="0" topLeftCell="B1" zoomScale="85" zoomScaleNormal="85" workbookViewId="0">
      <selection activeCell="H13" sqref="H13"/>
    </sheetView>
  </sheetViews>
  <sheetFormatPr baseColWidth="10" defaultColWidth="11.453125" defaultRowHeight="14.5"/>
  <cols>
    <col min="1" max="1" width="19.1796875" customWidth="1"/>
    <col min="5" max="5" width="12.453125" customWidth="1"/>
    <col min="6" max="6" width="13.81640625" customWidth="1"/>
    <col min="8" max="9" width="12.54296875" customWidth="1"/>
    <col min="10" max="10" width="13.54296875" customWidth="1"/>
    <col min="15" max="16" width="12.453125" customWidth="1"/>
    <col min="19" max="19" width="44.453125" bestFit="1" customWidth="1"/>
    <col min="22" max="22" width="9.453125" bestFit="1" customWidth="1"/>
    <col min="23" max="23" width="12.54296875" customWidth="1"/>
  </cols>
  <sheetData>
    <row r="1" spans="1:12">
      <c r="A1" s="9" t="s">
        <v>536</v>
      </c>
    </row>
    <row r="3" spans="1:12" ht="15">
      <c r="A3" t="s">
        <v>525</v>
      </c>
      <c r="B3" s="307">
        <v>1000</v>
      </c>
      <c r="E3" s="310"/>
      <c r="K3" s="144"/>
      <c r="L3" s="144"/>
    </row>
    <row r="4" spans="1:12" ht="15.5">
      <c r="A4" t="s">
        <v>533</v>
      </c>
      <c r="B4" s="302">
        <v>0.1</v>
      </c>
      <c r="E4" s="271"/>
      <c r="H4" s="301"/>
      <c r="K4" s="144"/>
    </row>
    <row r="5" spans="1:12" ht="15.5">
      <c r="A5" t="s">
        <v>524</v>
      </c>
      <c r="B5" s="301">
        <f>B3*(1+B4)</f>
        <v>1100</v>
      </c>
      <c r="C5" s="311"/>
      <c r="E5" s="309"/>
      <c r="H5" s="301"/>
      <c r="K5" s="144"/>
    </row>
    <row r="6" spans="1:12" ht="15.5">
      <c r="A6" t="s">
        <v>523</v>
      </c>
      <c r="B6">
        <v>65</v>
      </c>
      <c r="E6" s="271"/>
      <c r="H6" s="301"/>
      <c r="I6" s="302"/>
      <c r="K6" s="144"/>
    </row>
    <row r="7" spans="1:12" ht="15.5">
      <c r="A7" t="s">
        <v>522</v>
      </c>
      <c r="B7">
        <v>90</v>
      </c>
      <c r="E7" s="271"/>
      <c r="H7" s="301"/>
      <c r="K7" s="144"/>
    </row>
    <row r="8" spans="1:12" ht="15.5">
      <c r="A8" t="s">
        <v>521</v>
      </c>
      <c r="B8" s="145">
        <v>7.0000000000000007E-2</v>
      </c>
      <c r="D8" s="145"/>
      <c r="E8" s="271"/>
      <c r="H8" s="301"/>
      <c r="K8" s="144"/>
    </row>
    <row r="9" spans="1:12">
      <c r="A9" t="s">
        <v>520</v>
      </c>
      <c r="B9" s="145" t="s">
        <v>517</v>
      </c>
      <c r="E9" s="315" t="s">
        <v>530</v>
      </c>
      <c r="H9" s="301">
        <f>G17</f>
        <v>16888.245442680458</v>
      </c>
      <c r="K9" s="144"/>
    </row>
    <row r="10" spans="1:12">
      <c r="A10" t="s">
        <v>519</v>
      </c>
      <c r="B10" s="145" t="s">
        <v>517</v>
      </c>
      <c r="K10" s="144"/>
    </row>
    <row r="11" spans="1:12" ht="15.5">
      <c r="B11" s="145"/>
      <c r="E11" s="308" t="s">
        <v>529</v>
      </c>
      <c r="F11" s="211"/>
      <c r="G11" s="211"/>
      <c r="H11" s="307">
        <f>H9-'Sol Q3 (e) - Experience'!H9</f>
        <v>-1351.0596354144327</v>
      </c>
      <c r="I11" s="306" t="s">
        <v>538</v>
      </c>
      <c r="J11" s="211"/>
      <c r="K11" s="305"/>
      <c r="L11" s="211"/>
    </row>
    <row r="12" spans="1:12">
      <c r="B12" s="145"/>
      <c r="H12" s="311"/>
      <c r="I12" s="306" t="s">
        <v>537</v>
      </c>
      <c r="J12" s="211"/>
      <c r="K12" s="305"/>
      <c r="L12" s="211"/>
    </row>
    <row r="13" spans="1:12" ht="87">
      <c r="A13" s="300" t="s">
        <v>40</v>
      </c>
      <c r="B13" s="299" t="s">
        <v>4</v>
      </c>
      <c r="C13" s="299" t="s">
        <v>516</v>
      </c>
      <c r="D13" s="299" t="s">
        <v>515</v>
      </c>
      <c r="E13" s="299" t="s">
        <v>514</v>
      </c>
      <c r="F13" s="298" t="s">
        <v>513</v>
      </c>
      <c r="G13" s="298" t="s">
        <v>512</v>
      </c>
      <c r="H13" s="297" t="s">
        <v>511</v>
      </c>
      <c r="J13" s="307">
        <f>'Sol Q3 (e) - Experience'!$G$17*B5/'Sol Q3 (e) - Experience'!B5</f>
        <v>16888.245442680454</v>
      </c>
    </row>
    <row r="14" spans="1:12">
      <c r="A14" s="70" t="s">
        <v>43</v>
      </c>
      <c r="B14" s="10">
        <v>46</v>
      </c>
      <c r="C14" s="10">
        <v>6</v>
      </c>
      <c r="D14" s="10">
        <f>MAX($B$6-B14,0)</f>
        <v>19</v>
      </c>
      <c r="E14" s="10">
        <f>C14+D14</f>
        <v>25</v>
      </c>
      <c r="F14" s="296">
        <f>SUMPRODUCT(B40:B65,C40:C65,G40:G65,J40:J65)</f>
        <v>6438.6467077840834</v>
      </c>
      <c r="G14" s="296">
        <f>F14*C14/E14</f>
        <v>1545.2752098681801</v>
      </c>
      <c r="H14" s="295">
        <f>F14/E14</f>
        <v>257.54586831136334</v>
      </c>
    </row>
    <row r="15" spans="1:12">
      <c r="A15" s="241" t="s">
        <v>45</v>
      </c>
      <c r="B15" s="294">
        <v>68</v>
      </c>
      <c r="C15" s="294">
        <v>30</v>
      </c>
      <c r="D15" s="294">
        <f>MAX($B$6-B15,0)</f>
        <v>0</v>
      </c>
      <c r="E15" s="294">
        <f>C15+D15</f>
        <v>30</v>
      </c>
      <c r="F15" s="293">
        <f>SUMPRODUCT(B21:B43,C21:C43,N21:N43,Q21:Q43)</f>
        <v>15342.970232812277</v>
      </c>
      <c r="G15" s="293">
        <f>F15*C15/E15</f>
        <v>15342.970232812277</v>
      </c>
      <c r="H15" s="292">
        <v>0</v>
      </c>
    </row>
    <row r="16" spans="1:12">
      <c r="H16" t="s">
        <v>527</v>
      </c>
    </row>
    <row r="17" spans="1:18">
      <c r="E17" s="212" t="s">
        <v>379</v>
      </c>
      <c r="F17" s="291">
        <f>SUM(F14:F16)</f>
        <v>21781.616940596359</v>
      </c>
      <c r="G17" s="291">
        <f>SUM(G14:G16)</f>
        <v>16888.245442680458</v>
      </c>
      <c r="H17" s="291">
        <f>SUM(H14:H16)</f>
        <v>257.54586831136334</v>
      </c>
    </row>
    <row r="18" spans="1:18">
      <c r="K18" s="268"/>
      <c r="L18" s="268"/>
      <c r="M18" s="268"/>
      <c r="N18" s="268"/>
    </row>
    <row r="19" spans="1:18">
      <c r="A19" s="290"/>
      <c r="B19" s="289"/>
      <c r="C19" s="289"/>
      <c r="D19" s="345" t="s">
        <v>43</v>
      </c>
      <c r="E19" s="345"/>
      <c r="F19" s="345"/>
      <c r="G19" s="345"/>
      <c r="H19" s="345"/>
      <c r="I19" s="345"/>
      <c r="J19" s="345"/>
      <c r="K19" s="346" t="s">
        <v>45</v>
      </c>
      <c r="L19" s="346"/>
      <c r="M19" s="346"/>
      <c r="N19" s="346"/>
      <c r="O19" s="346"/>
      <c r="P19" s="346"/>
      <c r="Q19" s="347"/>
    </row>
    <row r="20" spans="1:18" ht="29">
      <c r="A20" s="288" t="s">
        <v>47</v>
      </c>
      <c r="B20" s="287" t="s">
        <v>510</v>
      </c>
      <c r="C20" s="287" t="s">
        <v>509</v>
      </c>
      <c r="D20" s="286" t="s">
        <v>4</v>
      </c>
      <c r="E20" s="286" t="s">
        <v>508</v>
      </c>
      <c r="F20" s="286" t="s">
        <v>507</v>
      </c>
      <c r="G20" s="286" t="s">
        <v>505</v>
      </c>
      <c r="H20" s="286" t="s">
        <v>420</v>
      </c>
      <c r="I20" s="286" t="s">
        <v>506</v>
      </c>
      <c r="J20" s="286" t="s">
        <v>505</v>
      </c>
      <c r="K20" s="285" t="s">
        <v>4</v>
      </c>
      <c r="L20" s="285" t="s">
        <v>508</v>
      </c>
      <c r="M20" s="285" t="s">
        <v>507</v>
      </c>
      <c r="N20" s="285" t="s">
        <v>505</v>
      </c>
      <c r="O20" s="285" t="s">
        <v>420</v>
      </c>
      <c r="P20" s="285" t="s">
        <v>506</v>
      </c>
      <c r="Q20" s="284" t="s">
        <v>505</v>
      </c>
      <c r="R20" s="287"/>
    </row>
    <row r="21" spans="1:18">
      <c r="A21" s="283">
        <v>2</v>
      </c>
      <c r="B21" s="282">
        <f>B5</f>
        <v>1100</v>
      </c>
      <c r="C21" s="278">
        <f t="shared" ref="C21:C65" si="0">1/(1+$B$8)^(A21-$A$21+0.5)</f>
        <v>0.96673648904566356</v>
      </c>
      <c r="D21" s="277">
        <v>46</v>
      </c>
      <c r="E21" s="275">
        <f>VLOOKUP(D21,'Data for Q3'!$B$42:$D$92,3,0)</f>
        <v>9.2000000000000003E-4</v>
      </c>
      <c r="F21" s="275">
        <f>(1-E21)</f>
        <v>0.99907999999999997</v>
      </c>
      <c r="G21" s="275">
        <f>(1-E21/2)</f>
        <v>0.99953999999999998</v>
      </c>
      <c r="H21" s="276">
        <f>'Solution for Q3 (d)'!H22</f>
        <v>0.05</v>
      </c>
      <c r="I21" s="275">
        <f>(1-H21)</f>
        <v>0.95</v>
      </c>
      <c r="J21" s="275">
        <f>(1-H21/2)</f>
        <v>0.97499999999999998</v>
      </c>
      <c r="K21" s="274">
        <v>68</v>
      </c>
      <c r="L21" s="272">
        <f>'Data for Q3'!C69</f>
        <v>9.8300000000000002E-3</v>
      </c>
      <c r="M21" s="272">
        <f>(1-L21)</f>
        <v>0.99016999999999999</v>
      </c>
      <c r="N21" s="272">
        <f>(1-L21/2)</f>
        <v>0.995085</v>
      </c>
      <c r="O21" s="281">
        <v>0</v>
      </c>
      <c r="P21" s="272">
        <f>(1-O21)</f>
        <v>1</v>
      </c>
      <c r="Q21" s="280">
        <f>(1-O21/2)</f>
        <v>1</v>
      </c>
      <c r="R21" s="282"/>
    </row>
    <row r="22" spans="1:18">
      <c r="A22" s="66">
        <f t="shared" ref="A22:A65" si="1">A21+1</f>
        <v>3</v>
      </c>
      <c r="B22" s="279">
        <f>B21*(1+'Data for Q3'!C29)</f>
        <v>1177</v>
      </c>
      <c r="C22" s="278">
        <f t="shared" si="0"/>
        <v>0.90349204583706866</v>
      </c>
      <c r="D22" s="277">
        <f t="shared" ref="D22:D65" si="2">D21+1</f>
        <v>47</v>
      </c>
      <c r="E22" s="275">
        <f>VLOOKUP(D22,'Data for Q3'!$B$42:$D$92,3,0)</f>
        <v>1.01E-3</v>
      </c>
      <c r="F22" s="275">
        <f t="shared" ref="F22:F65" si="3">(1-E22)*F21</f>
        <v>0.99807092920000007</v>
      </c>
      <c r="G22" s="275">
        <f t="shared" ref="G22:G65" si="4">(1-E22/2)*F21</f>
        <v>0.99857546460000002</v>
      </c>
      <c r="H22" s="276">
        <f>'Solution for Q3 (d)'!H23</f>
        <v>0.05</v>
      </c>
      <c r="I22" s="275">
        <f t="shared" ref="I22:I65" si="5">(1-H22)*I21</f>
        <v>0.90249999999999997</v>
      </c>
      <c r="J22" s="275">
        <f t="shared" ref="J22:J65" si="6">(1-H22/2)*I21</f>
        <v>0.92624999999999991</v>
      </c>
      <c r="K22" s="274">
        <f t="shared" ref="K22:K43" si="7">K21+1</f>
        <v>69</v>
      </c>
      <c r="L22" s="272">
        <f>'Data for Q3'!C70</f>
        <v>1.0710000000000001E-2</v>
      </c>
      <c r="M22" s="272">
        <f t="shared" ref="M22:M43" si="8">(1-L22)*M21</f>
        <v>0.97956527930000004</v>
      </c>
      <c r="N22" s="272">
        <f t="shared" ref="N22:N43" si="9">(1-L22/2)*M21</f>
        <v>0.98486763965000002</v>
      </c>
      <c r="O22" s="281">
        <v>0</v>
      </c>
      <c r="P22" s="272">
        <f t="shared" ref="P22:P43" si="10">(1-O22)*P21</f>
        <v>1</v>
      </c>
      <c r="Q22" s="280">
        <f t="shared" ref="Q22:Q43" si="11">(1-O22/2)*P21</f>
        <v>1</v>
      </c>
      <c r="R22" s="279"/>
    </row>
    <row r="23" spans="1:18">
      <c r="A23" s="66">
        <f t="shared" si="1"/>
        <v>4</v>
      </c>
      <c r="B23" s="279">
        <f>B22*(1+'Data for Q3'!C30)</f>
        <v>1247.6200000000001</v>
      </c>
      <c r="C23" s="278">
        <f t="shared" si="0"/>
        <v>0.84438508956735392</v>
      </c>
      <c r="D23" s="277">
        <f t="shared" si="2"/>
        <v>48</v>
      </c>
      <c r="E23" s="275">
        <f>VLOOKUP(D23,'Data for Q3'!$B$42:$D$92,3,0)</f>
        <v>1.09E-3</v>
      </c>
      <c r="F23" s="275">
        <f t="shared" si="3"/>
        <v>0.99698303188717208</v>
      </c>
      <c r="G23" s="275">
        <f t="shared" si="4"/>
        <v>0.99752698054358602</v>
      </c>
      <c r="H23" s="276">
        <f>'Solution for Q3 (d)'!H24</f>
        <v>0.05</v>
      </c>
      <c r="I23" s="275">
        <f t="shared" si="5"/>
        <v>0.85737499999999989</v>
      </c>
      <c r="J23" s="275">
        <f t="shared" si="6"/>
        <v>0.87993749999999993</v>
      </c>
      <c r="K23" s="274">
        <f t="shared" si="7"/>
        <v>70</v>
      </c>
      <c r="L23" s="272">
        <f>'Data for Q3'!C71</f>
        <v>1.175E-2</v>
      </c>
      <c r="M23" s="272">
        <f t="shared" si="8"/>
        <v>0.96805538726822504</v>
      </c>
      <c r="N23" s="272">
        <f t="shared" si="9"/>
        <v>0.97381033328411259</v>
      </c>
      <c r="O23" s="281">
        <v>0</v>
      </c>
      <c r="P23" s="272">
        <f t="shared" si="10"/>
        <v>1</v>
      </c>
      <c r="Q23" s="280">
        <f t="shared" si="11"/>
        <v>1</v>
      </c>
      <c r="R23" s="279"/>
    </row>
    <row r="24" spans="1:18">
      <c r="A24" s="66">
        <f t="shared" si="1"/>
        <v>5</v>
      </c>
      <c r="B24" s="279">
        <f>B23*(1+'Data for Q3'!C31)</f>
        <v>1310.0010000000002</v>
      </c>
      <c r="C24" s="278">
        <f t="shared" si="0"/>
        <v>0.78914494352089137</v>
      </c>
      <c r="D24" s="277">
        <f t="shared" si="2"/>
        <v>49</v>
      </c>
      <c r="E24" s="275">
        <f>VLOOKUP(D24,'Data for Q3'!$B$42:$D$92,3,0)</f>
        <v>1.1900000000000001E-3</v>
      </c>
      <c r="F24" s="275">
        <f t="shared" si="3"/>
        <v>0.99579662207922637</v>
      </c>
      <c r="G24" s="275">
        <f t="shared" si="4"/>
        <v>0.99638982698319922</v>
      </c>
      <c r="H24" s="276">
        <f>'Solution for Q3 (d)'!H25</f>
        <v>2.5000000000000001E-2</v>
      </c>
      <c r="I24" s="275">
        <f t="shared" si="5"/>
        <v>0.83594062499999988</v>
      </c>
      <c r="J24" s="275">
        <f t="shared" si="6"/>
        <v>0.84665781249999994</v>
      </c>
      <c r="K24" s="274">
        <f t="shared" si="7"/>
        <v>71</v>
      </c>
      <c r="L24" s="272">
        <f>'Data for Q3'!C72</f>
        <v>1.2959999999999999E-2</v>
      </c>
      <c r="M24" s="272">
        <f t="shared" si="8"/>
        <v>0.95550938944922892</v>
      </c>
      <c r="N24" s="272">
        <f t="shared" si="9"/>
        <v>0.96178238835872687</v>
      </c>
      <c r="O24" s="281">
        <v>0</v>
      </c>
      <c r="P24" s="272">
        <f t="shared" si="10"/>
        <v>1</v>
      </c>
      <c r="Q24" s="280">
        <f t="shared" si="11"/>
        <v>1</v>
      </c>
      <c r="R24" s="279"/>
    </row>
    <row r="25" spans="1:18">
      <c r="A25" s="66">
        <f t="shared" si="1"/>
        <v>6</v>
      </c>
      <c r="B25" s="279">
        <f>B24*(1+'Data for Q3'!$C$32)</f>
        <v>1362.4010400000002</v>
      </c>
      <c r="C25" s="278">
        <f t="shared" si="0"/>
        <v>0.73751863880457136</v>
      </c>
      <c r="D25" s="277">
        <f t="shared" si="2"/>
        <v>50</v>
      </c>
      <c r="E25" s="275">
        <f>VLOOKUP(D25,'Data for Q3'!$B$42:$D$92,3,0)</f>
        <v>1.2899999999999999E-3</v>
      </c>
      <c r="F25" s="275">
        <f t="shared" si="3"/>
        <v>0.99451204443674412</v>
      </c>
      <c r="G25" s="275">
        <f t="shared" si="4"/>
        <v>0.9951543332579853</v>
      </c>
      <c r="H25" s="276">
        <f>'Solution for Q3 (d)'!H26</f>
        <v>2.5000000000000001E-2</v>
      </c>
      <c r="I25" s="275">
        <f t="shared" si="5"/>
        <v>0.81504210937499988</v>
      </c>
      <c r="J25" s="275">
        <f t="shared" si="6"/>
        <v>0.82549136718749994</v>
      </c>
      <c r="K25" s="274">
        <f t="shared" si="7"/>
        <v>72</v>
      </c>
      <c r="L25" s="272">
        <f>'Data for Q3'!C73</f>
        <v>1.4330000000000001E-2</v>
      </c>
      <c r="M25" s="272">
        <f t="shared" si="8"/>
        <v>0.94181693989842152</v>
      </c>
      <c r="N25" s="272">
        <f t="shared" si="9"/>
        <v>0.94866316467382517</v>
      </c>
      <c r="O25" s="281">
        <v>0</v>
      </c>
      <c r="P25" s="272">
        <f t="shared" si="10"/>
        <v>1</v>
      </c>
      <c r="Q25" s="280">
        <f t="shared" si="11"/>
        <v>1</v>
      </c>
      <c r="R25" s="279"/>
    </row>
    <row r="26" spans="1:18">
      <c r="A26" s="66">
        <f t="shared" si="1"/>
        <v>7</v>
      </c>
      <c r="B26" s="279">
        <f>B25*(1+'Data for Q3'!$C$32)</f>
        <v>1416.8970816000003</v>
      </c>
      <c r="C26" s="278">
        <f t="shared" si="0"/>
        <v>0.68926975589212269</v>
      </c>
      <c r="D26" s="277">
        <f t="shared" si="2"/>
        <v>51</v>
      </c>
      <c r="E26" s="275">
        <f>VLOOKUP(D26,'Data for Q3'!$B$42:$D$92,3,0)</f>
        <v>1.41E-3</v>
      </c>
      <c r="F26" s="275">
        <f t="shared" si="3"/>
        <v>0.99310978245408832</v>
      </c>
      <c r="G26" s="275">
        <f t="shared" si="4"/>
        <v>0.99381091344541628</v>
      </c>
      <c r="H26" s="276">
        <f>'Solution for Q3 (d)'!H27</f>
        <v>2.5000000000000001E-2</v>
      </c>
      <c r="I26" s="275">
        <f t="shared" si="5"/>
        <v>0.79466605664062484</v>
      </c>
      <c r="J26" s="275">
        <f t="shared" si="6"/>
        <v>0.80485408300781247</v>
      </c>
      <c r="K26" s="274">
        <f t="shared" si="7"/>
        <v>73</v>
      </c>
      <c r="L26" s="272">
        <f>'Data for Q3'!C74</f>
        <v>1.5900000000000001E-2</v>
      </c>
      <c r="M26" s="272">
        <f t="shared" si="8"/>
        <v>0.92684205055403657</v>
      </c>
      <c r="N26" s="272">
        <f t="shared" si="9"/>
        <v>0.9343294952262291</v>
      </c>
      <c r="O26" s="281">
        <v>0</v>
      </c>
      <c r="P26" s="272">
        <f t="shared" si="10"/>
        <v>1</v>
      </c>
      <c r="Q26" s="280">
        <f t="shared" si="11"/>
        <v>1</v>
      </c>
      <c r="R26" s="279"/>
    </row>
    <row r="27" spans="1:18">
      <c r="A27" s="66">
        <f t="shared" si="1"/>
        <v>8</v>
      </c>
      <c r="B27" s="279">
        <f>B26*(1+'Data for Q3'!$C$32)</f>
        <v>1473.5729648640004</v>
      </c>
      <c r="C27" s="278">
        <f t="shared" si="0"/>
        <v>0.64417734195525478</v>
      </c>
      <c r="D27" s="277">
        <f t="shared" si="2"/>
        <v>52</v>
      </c>
      <c r="E27" s="275">
        <f>VLOOKUP(D27,'Data for Q3'!$B$42:$D$92,3,0)</f>
        <v>1.5299999999999999E-3</v>
      </c>
      <c r="F27" s="275">
        <f t="shared" si="3"/>
        <v>0.99159032448693352</v>
      </c>
      <c r="G27" s="275">
        <f t="shared" si="4"/>
        <v>0.99235005347051097</v>
      </c>
      <c r="H27" s="276">
        <f>'Solution for Q3 (d)'!H28</f>
        <v>2.5000000000000001E-2</v>
      </c>
      <c r="I27" s="275">
        <f t="shared" si="5"/>
        <v>0.77479940522460922</v>
      </c>
      <c r="J27" s="275">
        <f t="shared" si="6"/>
        <v>0.78473273093261708</v>
      </c>
      <c r="K27" s="274">
        <f t="shared" si="7"/>
        <v>74</v>
      </c>
      <c r="L27" s="272">
        <f>'Data for Q3'!C75</f>
        <v>1.7670000000000002E-2</v>
      </c>
      <c r="M27" s="272">
        <f t="shared" si="8"/>
        <v>0.9104647515207468</v>
      </c>
      <c r="N27" s="272">
        <f t="shared" si="9"/>
        <v>0.91865340103739157</v>
      </c>
      <c r="O27" s="281">
        <v>0</v>
      </c>
      <c r="P27" s="272">
        <f t="shared" si="10"/>
        <v>1</v>
      </c>
      <c r="Q27" s="280">
        <f t="shared" si="11"/>
        <v>1</v>
      </c>
      <c r="R27" s="279"/>
    </row>
    <row r="28" spans="1:18">
      <c r="A28" s="66">
        <f t="shared" si="1"/>
        <v>9</v>
      </c>
      <c r="B28" s="279">
        <f>B27*(1+'Data for Q3'!$C$32)</f>
        <v>1532.5158834585604</v>
      </c>
      <c r="C28" s="278">
        <f t="shared" si="0"/>
        <v>0.60203489902360263</v>
      </c>
      <c r="D28" s="277">
        <f t="shared" si="2"/>
        <v>53</v>
      </c>
      <c r="E28" s="275">
        <f>VLOOKUP(D28,'Data for Q3'!$B$42:$D$92,3,0)</f>
        <v>1.6800000000000001E-3</v>
      </c>
      <c r="F28" s="275">
        <f t="shared" si="3"/>
        <v>0.98992445274179541</v>
      </c>
      <c r="G28" s="275">
        <f t="shared" si="4"/>
        <v>0.99075738861436458</v>
      </c>
      <c r="H28" s="276">
        <f>'Solution for Q3 (d)'!H29</f>
        <v>2.5000000000000001E-2</v>
      </c>
      <c r="I28" s="275">
        <f t="shared" si="5"/>
        <v>0.75542942009399394</v>
      </c>
      <c r="J28" s="275">
        <f t="shared" si="6"/>
        <v>0.76511441265930169</v>
      </c>
      <c r="K28" s="274">
        <f t="shared" si="7"/>
        <v>75</v>
      </c>
      <c r="L28" s="272">
        <f>'Data for Q3'!C76</f>
        <v>1.9640000000000001E-2</v>
      </c>
      <c r="M28" s="272">
        <f t="shared" si="8"/>
        <v>0.89258322380087929</v>
      </c>
      <c r="N28" s="272">
        <f t="shared" si="9"/>
        <v>0.90152398766081299</v>
      </c>
      <c r="O28" s="281">
        <v>0</v>
      </c>
      <c r="P28" s="272">
        <f t="shared" si="10"/>
        <v>1</v>
      </c>
      <c r="Q28" s="280">
        <f t="shared" si="11"/>
        <v>1</v>
      </c>
      <c r="R28" s="279"/>
    </row>
    <row r="29" spans="1:18">
      <c r="A29" s="66">
        <f t="shared" si="1"/>
        <v>10</v>
      </c>
      <c r="B29" s="279">
        <f>B28*(1+'Data for Q3'!$C$32)</f>
        <v>1593.816518796903</v>
      </c>
      <c r="C29" s="278">
        <f t="shared" si="0"/>
        <v>0.56264943833981551</v>
      </c>
      <c r="D29" s="277">
        <f t="shared" si="2"/>
        <v>54</v>
      </c>
      <c r="E29" s="275">
        <f>VLOOKUP(D29,'Data for Q3'!$B$42:$D$92,3,0)</f>
        <v>1.8600000000000001E-3</v>
      </c>
      <c r="F29" s="275">
        <f t="shared" si="3"/>
        <v>0.98808319325969574</v>
      </c>
      <c r="G29" s="275">
        <f t="shared" si="4"/>
        <v>0.98900382300074552</v>
      </c>
      <c r="H29" s="276">
        <f>'Solution for Q3 (d)'!H30</f>
        <v>2.5000000000000001E-2</v>
      </c>
      <c r="I29" s="275">
        <f t="shared" si="5"/>
        <v>0.7365436845916441</v>
      </c>
      <c r="J29" s="275">
        <f t="shared" si="6"/>
        <v>0.74598655234281908</v>
      </c>
      <c r="K29" s="274">
        <f t="shared" si="7"/>
        <v>76</v>
      </c>
      <c r="L29" s="272">
        <f>'Data for Q3'!C77</f>
        <v>2.1819999999999999E-2</v>
      </c>
      <c r="M29" s="272">
        <f t="shared" si="8"/>
        <v>0.87310705785754417</v>
      </c>
      <c r="N29" s="272">
        <f t="shared" si="9"/>
        <v>0.88284514082921173</v>
      </c>
      <c r="O29" s="281">
        <v>0</v>
      </c>
      <c r="P29" s="272">
        <f t="shared" si="10"/>
        <v>1</v>
      </c>
      <c r="Q29" s="280">
        <f t="shared" si="11"/>
        <v>1</v>
      </c>
      <c r="R29" s="279"/>
    </row>
    <row r="30" spans="1:18">
      <c r="A30" s="66">
        <f t="shared" si="1"/>
        <v>11</v>
      </c>
      <c r="B30" s="279">
        <f>B29*(1+'Data for Q3'!$C$32)</f>
        <v>1657.5691795487792</v>
      </c>
      <c r="C30" s="278">
        <f t="shared" si="0"/>
        <v>0.52584059657926685</v>
      </c>
      <c r="D30" s="277">
        <f t="shared" si="2"/>
        <v>55</v>
      </c>
      <c r="E30" s="275">
        <f>VLOOKUP(D30,'Data for Q3'!$B$42:$D$92,3,0)</f>
        <v>2.0699999999999998E-3</v>
      </c>
      <c r="F30" s="275">
        <f t="shared" si="3"/>
        <v>0.98603786104964819</v>
      </c>
      <c r="G30" s="275">
        <f t="shared" si="4"/>
        <v>0.98706052715467196</v>
      </c>
      <c r="H30" s="276">
        <f>'Solution for Q3 (d)'!H31</f>
        <v>2.5000000000000001E-2</v>
      </c>
      <c r="I30" s="275">
        <f t="shared" si="5"/>
        <v>0.718130092476853</v>
      </c>
      <c r="J30" s="275">
        <f t="shared" si="6"/>
        <v>0.7273368885342486</v>
      </c>
      <c r="K30" s="274">
        <f t="shared" si="7"/>
        <v>77</v>
      </c>
      <c r="L30" s="272">
        <f>'Data for Q3'!C78</f>
        <v>2.4299999999999999E-2</v>
      </c>
      <c r="M30" s="272">
        <f t="shared" si="8"/>
        <v>0.85189055635160582</v>
      </c>
      <c r="N30" s="272">
        <f t="shared" si="9"/>
        <v>0.86249880710457505</v>
      </c>
      <c r="O30" s="281">
        <v>0</v>
      </c>
      <c r="P30" s="272">
        <f t="shared" si="10"/>
        <v>1</v>
      </c>
      <c r="Q30" s="280">
        <f t="shared" si="11"/>
        <v>1</v>
      </c>
      <c r="R30" s="279"/>
    </row>
    <row r="31" spans="1:18">
      <c r="A31" s="66">
        <f t="shared" si="1"/>
        <v>12</v>
      </c>
      <c r="B31" s="279">
        <f>B30*(1+'Data for Q3'!$C$32)</f>
        <v>1723.8719467307303</v>
      </c>
      <c r="C31" s="278">
        <f t="shared" si="0"/>
        <v>0.49143980988716524</v>
      </c>
      <c r="D31" s="277">
        <f t="shared" si="2"/>
        <v>56</v>
      </c>
      <c r="E31" s="275">
        <f>VLOOKUP(D31,'Data for Q3'!$B$42:$D$92,3,0)</f>
        <v>2.31E-3</v>
      </c>
      <c r="F31" s="275">
        <f t="shared" si="3"/>
        <v>0.98376011359062343</v>
      </c>
      <c r="G31" s="275">
        <f t="shared" si="4"/>
        <v>0.98489898732013581</v>
      </c>
      <c r="H31" s="276">
        <f>'Solution for Q3 (d)'!H32</f>
        <v>2.5000000000000001E-2</v>
      </c>
      <c r="I31" s="275">
        <f t="shared" si="5"/>
        <v>0.70017684016493165</v>
      </c>
      <c r="J31" s="275">
        <f t="shared" si="6"/>
        <v>0.70915346632089238</v>
      </c>
      <c r="K31" s="274">
        <f t="shared" si="7"/>
        <v>78</v>
      </c>
      <c r="L31" s="272">
        <f>'Data for Q3'!C79</f>
        <v>2.7150000000000001E-2</v>
      </c>
      <c r="M31" s="272">
        <f t="shared" si="8"/>
        <v>0.82876172774665968</v>
      </c>
      <c r="N31" s="272">
        <f t="shared" si="9"/>
        <v>0.84032614204913281</v>
      </c>
      <c r="O31" s="281">
        <v>0</v>
      </c>
      <c r="P31" s="272">
        <f t="shared" si="10"/>
        <v>1</v>
      </c>
      <c r="Q31" s="280">
        <f t="shared" si="11"/>
        <v>1</v>
      </c>
      <c r="R31" s="279"/>
    </row>
    <row r="32" spans="1:18">
      <c r="A32" s="66">
        <f t="shared" si="1"/>
        <v>13</v>
      </c>
      <c r="B32" s="279">
        <f>B31*(1+'Data for Q3'!$C$32)</f>
        <v>1792.8268245999595</v>
      </c>
      <c r="C32" s="278">
        <f t="shared" si="0"/>
        <v>0.45928954195062172</v>
      </c>
      <c r="D32" s="277">
        <f t="shared" si="2"/>
        <v>57</v>
      </c>
      <c r="E32" s="275">
        <f>VLOOKUP(D32,'Data for Q3'!$B$42:$D$92,3,0)</f>
        <v>2.5799999999999998E-3</v>
      </c>
      <c r="F32" s="275">
        <f t="shared" si="3"/>
        <v>0.98122201249755958</v>
      </c>
      <c r="G32" s="275">
        <f t="shared" si="4"/>
        <v>0.98249106304409151</v>
      </c>
      <c r="H32" s="276">
        <f>'Solution for Q3 (d)'!H33</f>
        <v>2.5000000000000001E-2</v>
      </c>
      <c r="I32" s="275">
        <f t="shared" si="5"/>
        <v>0.68267241916080834</v>
      </c>
      <c r="J32" s="275">
        <f t="shared" si="6"/>
        <v>0.69142462966286999</v>
      </c>
      <c r="K32" s="274">
        <f t="shared" si="7"/>
        <v>79</v>
      </c>
      <c r="L32" s="272">
        <f>'Data for Q3'!C80</f>
        <v>3.0470000000000001E-2</v>
      </c>
      <c r="M32" s="272">
        <f t="shared" si="8"/>
        <v>0.803509357902219</v>
      </c>
      <c r="N32" s="272">
        <f t="shared" si="9"/>
        <v>0.81613554282443934</v>
      </c>
      <c r="O32" s="281">
        <v>0</v>
      </c>
      <c r="P32" s="272">
        <f t="shared" si="10"/>
        <v>1</v>
      </c>
      <c r="Q32" s="280">
        <f t="shared" si="11"/>
        <v>1</v>
      </c>
      <c r="R32" s="279"/>
    </row>
    <row r="33" spans="1:18">
      <c r="A33" s="66">
        <f t="shared" si="1"/>
        <v>14</v>
      </c>
      <c r="B33" s="279">
        <f>B32*(1+'Data for Q3'!$C$32)</f>
        <v>1864.539897583958</v>
      </c>
      <c r="C33" s="278">
        <f t="shared" si="0"/>
        <v>0.42924256257067445</v>
      </c>
      <c r="D33" s="277">
        <f t="shared" si="2"/>
        <v>58</v>
      </c>
      <c r="E33" s="275">
        <f>VLOOKUP(D33,'Data for Q3'!$B$42:$D$92,3,0)</f>
        <v>2.8700000000000002E-3</v>
      </c>
      <c r="F33" s="275">
        <f t="shared" si="3"/>
        <v>0.97840590532169158</v>
      </c>
      <c r="G33" s="275">
        <f t="shared" si="4"/>
        <v>0.97981395890962564</v>
      </c>
      <c r="H33" s="276">
        <f>'Solution for Q3 (d)'!H34</f>
        <v>2.5000000000000001E-2</v>
      </c>
      <c r="I33" s="275">
        <f t="shared" si="5"/>
        <v>0.66560560868178809</v>
      </c>
      <c r="J33" s="275">
        <f t="shared" si="6"/>
        <v>0.67413901392129827</v>
      </c>
      <c r="K33" s="274">
        <f t="shared" si="7"/>
        <v>80</v>
      </c>
      <c r="L33" s="272">
        <f>'Data for Q3'!C81</f>
        <v>3.4349999999999999E-2</v>
      </c>
      <c r="M33" s="272">
        <f t="shared" si="8"/>
        <v>0.77590881145827784</v>
      </c>
      <c r="N33" s="272">
        <f t="shared" si="9"/>
        <v>0.78970908468024836</v>
      </c>
      <c r="O33" s="281">
        <v>0</v>
      </c>
      <c r="P33" s="272">
        <f t="shared" si="10"/>
        <v>1</v>
      </c>
      <c r="Q33" s="280">
        <f t="shared" si="11"/>
        <v>1</v>
      </c>
      <c r="R33" s="279"/>
    </row>
    <row r="34" spans="1:18">
      <c r="A34" s="66">
        <f t="shared" si="1"/>
        <v>15</v>
      </c>
      <c r="B34" s="279">
        <f>B33*(1+'Data for Q3'!$C$32)</f>
        <v>1939.1214934873165</v>
      </c>
      <c r="C34" s="278">
        <f t="shared" si="0"/>
        <v>0.40116127343053681</v>
      </c>
      <c r="D34" s="277">
        <f t="shared" si="2"/>
        <v>59</v>
      </c>
      <c r="E34" s="275">
        <f>VLOOKUP(D34,'Data for Q3'!$B$42:$D$92,3,0)</f>
        <v>3.1800000000000001E-3</v>
      </c>
      <c r="F34" s="275">
        <f t="shared" si="3"/>
        <v>0.97529457454276869</v>
      </c>
      <c r="G34" s="275">
        <f t="shared" si="4"/>
        <v>0.97685023993223008</v>
      </c>
      <c r="H34" s="276">
        <f>'Solution for Q3 (d)'!H35</f>
        <v>2.5000000000000001E-2</v>
      </c>
      <c r="I34" s="275">
        <f t="shared" si="5"/>
        <v>0.64896546846474334</v>
      </c>
      <c r="J34" s="275">
        <f t="shared" si="6"/>
        <v>0.65728553857326577</v>
      </c>
      <c r="K34" s="274">
        <f t="shared" si="7"/>
        <v>81</v>
      </c>
      <c r="L34" s="272">
        <f>'Data for Q3'!C82</f>
        <v>3.8899999999999997E-2</v>
      </c>
      <c r="M34" s="272">
        <f t="shared" si="8"/>
        <v>0.74572595869255076</v>
      </c>
      <c r="N34" s="272">
        <f t="shared" si="9"/>
        <v>0.76081738507541441</v>
      </c>
      <c r="O34" s="281">
        <v>0</v>
      </c>
      <c r="P34" s="272">
        <f t="shared" si="10"/>
        <v>1</v>
      </c>
      <c r="Q34" s="280">
        <f t="shared" si="11"/>
        <v>1</v>
      </c>
      <c r="R34" s="279"/>
    </row>
    <row r="35" spans="1:18">
      <c r="A35" s="66">
        <f t="shared" si="1"/>
        <v>16</v>
      </c>
      <c r="B35" s="279">
        <f>B34*(1+'Data for Q3'!$C$32)</f>
        <v>2016.6863532268092</v>
      </c>
      <c r="C35" s="278">
        <f t="shared" si="0"/>
        <v>0.37491707797246426</v>
      </c>
      <c r="D35" s="277">
        <f t="shared" si="2"/>
        <v>60</v>
      </c>
      <c r="E35" s="275">
        <f>VLOOKUP(D35,'Data for Q3'!$B$42:$D$92,3,0)</f>
        <v>3.5000000000000001E-3</v>
      </c>
      <c r="F35" s="275">
        <f t="shared" si="3"/>
        <v>0.9718810435318691</v>
      </c>
      <c r="G35" s="275">
        <f t="shared" si="4"/>
        <v>0.97358780903731879</v>
      </c>
      <c r="H35" s="276">
        <f>'Solution for Q3 (d)'!H36</f>
        <v>0</v>
      </c>
      <c r="I35" s="275">
        <f t="shared" si="5"/>
        <v>0.64896546846474334</v>
      </c>
      <c r="J35" s="275">
        <f t="shared" si="6"/>
        <v>0.64896546846474334</v>
      </c>
      <c r="K35" s="274">
        <f t="shared" si="7"/>
        <v>82</v>
      </c>
      <c r="L35" s="272">
        <f>'Data for Q3'!C83</f>
        <v>4.4220000000000002E-2</v>
      </c>
      <c r="M35" s="272">
        <f t="shared" si="8"/>
        <v>0.71274995679916608</v>
      </c>
      <c r="N35" s="272">
        <f t="shared" si="9"/>
        <v>0.72923795774585853</v>
      </c>
      <c r="O35" s="281">
        <v>0</v>
      </c>
      <c r="P35" s="272">
        <f t="shared" si="10"/>
        <v>1</v>
      </c>
      <c r="Q35" s="280">
        <f t="shared" si="11"/>
        <v>1</v>
      </c>
      <c r="R35" s="279"/>
    </row>
    <row r="36" spans="1:18">
      <c r="A36" s="66">
        <f t="shared" si="1"/>
        <v>17</v>
      </c>
      <c r="B36" s="279">
        <f>B35*(1+'Data for Q3'!$C$32)</f>
        <v>2097.3538073558816</v>
      </c>
      <c r="C36" s="278">
        <f t="shared" si="0"/>
        <v>0.35038979249763014</v>
      </c>
      <c r="D36" s="277">
        <f t="shared" si="2"/>
        <v>61</v>
      </c>
      <c r="E36" s="275">
        <f>VLOOKUP(D36,'Data for Q3'!$B$42:$D$92,3,0)</f>
        <v>3.8400000000000001E-3</v>
      </c>
      <c r="F36" s="275">
        <f t="shared" si="3"/>
        <v>0.96814902032470673</v>
      </c>
      <c r="G36" s="275">
        <f t="shared" si="4"/>
        <v>0.97001503192828786</v>
      </c>
      <c r="H36" s="276">
        <f>'Solution for Q3 (d)'!H37</f>
        <v>0</v>
      </c>
      <c r="I36" s="275">
        <f t="shared" si="5"/>
        <v>0.64896546846474334</v>
      </c>
      <c r="J36" s="275">
        <f t="shared" si="6"/>
        <v>0.64896546846474334</v>
      </c>
      <c r="K36" s="274">
        <f t="shared" si="7"/>
        <v>83</v>
      </c>
      <c r="L36" s="272">
        <f>'Data for Q3'!C84</f>
        <v>5.0389999999999997E-2</v>
      </c>
      <c r="M36" s="272">
        <f t="shared" si="8"/>
        <v>0.67683448647605604</v>
      </c>
      <c r="N36" s="272">
        <f t="shared" si="9"/>
        <v>0.69479222163761112</v>
      </c>
      <c r="O36" s="281">
        <v>0</v>
      </c>
      <c r="P36" s="272">
        <f t="shared" si="10"/>
        <v>1</v>
      </c>
      <c r="Q36" s="280">
        <f t="shared" si="11"/>
        <v>1</v>
      </c>
      <c r="R36" s="279"/>
    </row>
    <row r="37" spans="1:18">
      <c r="A37" s="66">
        <f t="shared" si="1"/>
        <v>18</v>
      </c>
      <c r="B37" s="279">
        <f>B36*(1+'Data for Q3'!$C$32)</f>
        <v>2181.2479596501171</v>
      </c>
      <c r="C37" s="278">
        <f t="shared" si="0"/>
        <v>0.3274670957921777</v>
      </c>
      <c r="D37" s="277">
        <f t="shared" si="2"/>
        <v>62</v>
      </c>
      <c r="E37" s="275">
        <f>VLOOKUP(D37,'Data for Q3'!$B$42:$D$92,3,0)</f>
        <v>4.2100000000000002E-3</v>
      </c>
      <c r="F37" s="275">
        <f t="shared" si="3"/>
        <v>0.96407311294913967</v>
      </c>
      <c r="G37" s="275">
        <f t="shared" si="4"/>
        <v>0.96611106663692325</v>
      </c>
      <c r="H37" s="276">
        <f>'Solution for Q3 (d)'!H38</f>
        <v>0</v>
      </c>
      <c r="I37" s="275">
        <f t="shared" si="5"/>
        <v>0.64896546846474334</v>
      </c>
      <c r="J37" s="275">
        <f t="shared" si="6"/>
        <v>0.64896546846474334</v>
      </c>
      <c r="K37" s="274">
        <f t="shared" si="7"/>
        <v>84</v>
      </c>
      <c r="L37" s="272">
        <f>'Data for Q3'!C85</f>
        <v>5.7489999999999999E-2</v>
      </c>
      <c r="M37" s="272">
        <f t="shared" si="8"/>
        <v>0.63792327184854758</v>
      </c>
      <c r="N37" s="272">
        <f t="shared" si="9"/>
        <v>0.65737887916230175</v>
      </c>
      <c r="O37" s="281">
        <v>0</v>
      </c>
      <c r="P37" s="272">
        <f t="shared" si="10"/>
        <v>1</v>
      </c>
      <c r="Q37" s="280">
        <f t="shared" si="11"/>
        <v>1</v>
      </c>
      <c r="R37" s="279"/>
    </row>
    <row r="38" spans="1:18">
      <c r="A38" s="66">
        <f t="shared" si="1"/>
        <v>19</v>
      </c>
      <c r="B38" s="279">
        <f>B37*(1+'Data for Q3'!$C$32)</f>
        <v>2268.4978780361216</v>
      </c>
      <c r="C38" s="278">
        <f t="shared" si="0"/>
        <v>0.30604401475904458</v>
      </c>
      <c r="D38" s="277">
        <f t="shared" si="2"/>
        <v>63</v>
      </c>
      <c r="E38" s="275">
        <f>VLOOKUP(D38,'Data for Q3'!$B$42:$D$92,3,0)</f>
        <v>4.64E-3</v>
      </c>
      <c r="F38" s="275">
        <f t="shared" si="3"/>
        <v>0.95959981370505565</v>
      </c>
      <c r="G38" s="275">
        <f t="shared" si="4"/>
        <v>0.96183646332709771</v>
      </c>
      <c r="H38" s="276">
        <f>'Solution for Q3 (d)'!H39</f>
        <v>0</v>
      </c>
      <c r="I38" s="275">
        <f t="shared" si="5"/>
        <v>0.64896546846474334</v>
      </c>
      <c r="J38" s="275">
        <f t="shared" si="6"/>
        <v>0.64896546846474334</v>
      </c>
      <c r="K38" s="274">
        <f t="shared" si="7"/>
        <v>85</v>
      </c>
      <c r="L38" s="272">
        <f>'Data for Q3'!C86</f>
        <v>6.5570000000000003E-2</v>
      </c>
      <c r="M38" s="272">
        <f t="shared" si="8"/>
        <v>0.59609464291343828</v>
      </c>
      <c r="N38" s="272">
        <f t="shared" si="9"/>
        <v>0.61700895738099293</v>
      </c>
      <c r="O38" s="281">
        <v>0</v>
      </c>
      <c r="P38" s="272">
        <f t="shared" si="10"/>
        <v>1</v>
      </c>
      <c r="Q38" s="280">
        <f t="shared" si="11"/>
        <v>1</v>
      </c>
      <c r="R38" s="279"/>
    </row>
    <row r="39" spans="1:18">
      <c r="A39" s="66">
        <f t="shared" si="1"/>
        <v>20</v>
      </c>
      <c r="B39" s="279">
        <f>B38*(1+'Data for Q3'!$C$32)</f>
        <v>2359.2377931575666</v>
      </c>
      <c r="C39" s="278">
        <f t="shared" si="0"/>
        <v>0.28602244370004165</v>
      </c>
      <c r="D39" s="277">
        <f t="shared" si="2"/>
        <v>64</v>
      </c>
      <c r="E39" s="275">
        <f>VLOOKUP(D39,'Data for Q3'!$B$42:$D$92,3,0)</f>
        <v>5.11E-3</v>
      </c>
      <c r="F39" s="275">
        <f t="shared" si="3"/>
        <v>0.9546962586570229</v>
      </c>
      <c r="G39" s="275">
        <f t="shared" si="4"/>
        <v>0.95714803618103927</v>
      </c>
      <c r="H39" s="276">
        <f>'Solution for Q3 (d)'!H40</f>
        <v>0</v>
      </c>
      <c r="I39" s="275">
        <f t="shared" si="5"/>
        <v>0.64896546846474334</v>
      </c>
      <c r="J39" s="275">
        <f t="shared" si="6"/>
        <v>0.64896546846474334</v>
      </c>
      <c r="K39" s="274">
        <f t="shared" si="7"/>
        <v>86</v>
      </c>
      <c r="L39" s="272">
        <f>'Data for Q3'!C87</f>
        <v>7.4700000000000003E-2</v>
      </c>
      <c r="M39" s="272">
        <f t="shared" si="8"/>
        <v>0.55156637308780443</v>
      </c>
      <c r="N39" s="272">
        <f t="shared" si="9"/>
        <v>0.57383050800062141</v>
      </c>
      <c r="O39" s="281">
        <v>0</v>
      </c>
      <c r="P39" s="272">
        <f t="shared" si="10"/>
        <v>1</v>
      </c>
      <c r="Q39" s="280">
        <f t="shared" si="11"/>
        <v>1</v>
      </c>
      <c r="R39" s="279"/>
    </row>
    <row r="40" spans="1:18">
      <c r="A40" s="66">
        <f t="shared" si="1"/>
        <v>21</v>
      </c>
      <c r="B40" s="279">
        <f>B39*(1+'Data for Q3'!$C$32)</f>
        <v>2453.6073048838693</v>
      </c>
      <c r="C40" s="278">
        <f t="shared" si="0"/>
        <v>0.26731069504676785</v>
      </c>
      <c r="D40" s="277">
        <f t="shared" si="2"/>
        <v>65</v>
      </c>
      <c r="E40" s="275">
        <f>VLOOKUP(D40,'Data for Q3'!$B$42:$D$92,3,0)</f>
        <v>5.62E-3</v>
      </c>
      <c r="F40" s="275">
        <f t="shared" si="3"/>
        <v>0.94933086568337044</v>
      </c>
      <c r="G40" s="275">
        <f t="shared" si="4"/>
        <v>0.95201356217019673</v>
      </c>
      <c r="H40" s="276">
        <f>'Solution for Q3 (d)'!H41</f>
        <v>0</v>
      </c>
      <c r="I40" s="275">
        <f t="shared" si="5"/>
        <v>0.64896546846474334</v>
      </c>
      <c r="J40" s="275">
        <f t="shared" si="6"/>
        <v>0.64896546846474334</v>
      </c>
      <c r="K40" s="274">
        <f t="shared" si="7"/>
        <v>87</v>
      </c>
      <c r="L40" s="272">
        <f>'Data for Q3'!C88</f>
        <v>8.4949999999999998E-2</v>
      </c>
      <c r="M40" s="272">
        <f t="shared" si="8"/>
        <v>0.50471080969399551</v>
      </c>
      <c r="N40" s="272">
        <f t="shared" si="9"/>
        <v>0.52813859139089991</v>
      </c>
      <c r="O40" s="281">
        <v>0</v>
      </c>
      <c r="P40" s="272">
        <f t="shared" si="10"/>
        <v>1</v>
      </c>
      <c r="Q40" s="280">
        <f t="shared" si="11"/>
        <v>1</v>
      </c>
      <c r="R40" s="279"/>
    </row>
    <row r="41" spans="1:18">
      <c r="A41" s="66">
        <f t="shared" si="1"/>
        <v>22</v>
      </c>
      <c r="B41" s="279">
        <f>B40*(1+'Data for Q3'!$C$32)</f>
        <v>2551.7515970792242</v>
      </c>
      <c r="C41" s="278">
        <f t="shared" si="0"/>
        <v>0.24982307948296065</v>
      </c>
      <c r="D41" s="277">
        <f t="shared" si="2"/>
        <v>66</v>
      </c>
      <c r="E41" s="275">
        <f>VLOOKUP(D41,'Data for Q3'!$B$42:$D$92,3,0)</f>
        <v>6.1999999999999998E-3</v>
      </c>
      <c r="F41" s="275">
        <f t="shared" si="3"/>
        <v>0.94344501431613359</v>
      </c>
      <c r="G41" s="275">
        <f t="shared" si="4"/>
        <v>0.94638793999975201</v>
      </c>
      <c r="H41" s="276">
        <f>'Solution for Q3 (d)'!H42</f>
        <v>0</v>
      </c>
      <c r="I41" s="275">
        <f t="shared" si="5"/>
        <v>0.64896546846474334</v>
      </c>
      <c r="J41" s="275">
        <f t="shared" si="6"/>
        <v>0.64896546846474334</v>
      </c>
      <c r="K41" s="274">
        <f t="shared" si="7"/>
        <v>88</v>
      </c>
      <c r="L41" s="272">
        <f>'Data for Q3'!C89</f>
        <v>9.6379999999999993E-2</v>
      </c>
      <c r="M41" s="272">
        <f t="shared" si="8"/>
        <v>0.45606678185568822</v>
      </c>
      <c r="N41" s="272">
        <f t="shared" si="9"/>
        <v>0.48038879577484189</v>
      </c>
      <c r="O41" s="281">
        <v>0</v>
      </c>
      <c r="P41" s="272">
        <f t="shared" si="10"/>
        <v>1</v>
      </c>
      <c r="Q41" s="280">
        <f t="shared" si="11"/>
        <v>1</v>
      </c>
      <c r="R41" s="279"/>
    </row>
    <row r="42" spans="1:18">
      <c r="A42" s="66">
        <f t="shared" si="1"/>
        <v>23</v>
      </c>
      <c r="B42" s="279">
        <f>B41*(1+'Data for Q3'!$C$32)</f>
        <v>2653.8216609623933</v>
      </c>
      <c r="C42" s="278">
        <f t="shared" si="0"/>
        <v>0.23347951353547722</v>
      </c>
      <c r="D42" s="277">
        <f t="shared" si="2"/>
        <v>67</v>
      </c>
      <c r="E42" s="275">
        <f>VLOOKUP(D42,'Data for Q3'!$B$42:$D$92,3,0)</f>
        <v>6.8599999999999998E-3</v>
      </c>
      <c r="F42" s="275">
        <f t="shared" si="3"/>
        <v>0.93697298151792496</v>
      </c>
      <c r="G42" s="275">
        <f t="shared" si="4"/>
        <v>0.94020899791702917</v>
      </c>
      <c r="H42" s="276">
        <f>'Solution for Q3 (d)'!H43</f>
        <v>0</v>
      </c>
      <c r="I42" s="275">
        <f t="shared" si="5"/>
        <v>0.64896546846474334</v>
      </c>
      <c r="J42" s="275">
        <f t="shared" si="6"/>
        <v>0.64896546846474334</v>
      </c>
      <c r="K42" s="274">
        <f t="shared" si="7"/>
        <v>89</v>
      </c>
      <c r="L42" s="272">
        <f>'Data for Q3'!C90</f>
        <v>0.1091</v>
      </c>
      <c r="M42" s="272">
        <f t="shared" si="8"/>
        <v>0.40630989595523265</v>
      </c>
      <c r="N42" s="272">
        <f t="shared" si="9"/>
        <v>0.43118833890546043</v>
      </c>
      <c r="O42" s="281">
        <v>0</v>
      </c>
      <c r="P42" s="272">
        <f t="shared" si="10"/>
        <v>1</v>
      </c>
      <c r="Q42" s="280">
        <f t="shared" si="11"/>
        <v>1</v>
      </c>
      <c r="R42" s="279"/>
    </row>
    <row r="43" spans="1:18">
      <c r="A43" s="66">
        <f t="shared" si="1"/>
        <v>24</v>
      </c>
      <c r="B43" s="279">
        <f>B42*(1+'Data for Q3'!$C$32)</f>
        <v>2759.9745274008892</v>
      </c>
      <c r="C43" s="278">
        <f t="shared" si="0"/>
        <v>0.21820515283689457</v>
      </c>
      <c r="D43" s="277">
        <f t="shared" si="2"/>
        <v>68</v>
      </c>
      <c r="E43" s="275">
        <f>VLOOKUP(D43,'Data for Q3'!$B$42:$D$92,3,0)</f>
        <v>7.6099999999999996E-3</v>
      </c>
      <c r="F43" s="275">
        <f t="shared" si="3"/>
        <v>0.92984261712857352</v>
      </c>
      <c r="G43" s="275">
        <f t="shared" si="4"/>
        <v>0.93340779932324935</v>
      </c>
      <c r="H43" s="276">
        <f>'Solution for Q3 (d)'!H44</f>
        <v>0</v>
      </c>
      <c r="I43" s="275">
        <f t="shared" si="5"/>
        <v>0.64896546846474334</v>
      </c>
      <c r="J43" s="275">
        <f t="shared" si="6"/>
        <v>0.64896546846474334</v>
      </c>
      <c r="K43" s="274">
        <f t="shared" si="7"/>
        <v>90</v>
      </c>
      <c r="L43" s="272">
        <f>'Data for Q3'!C91</f>
        <v>0.12317</v>
      </c>
      <c r="M43" s="272">
        <f t="shared" si="8"/>
        <v>0.35626470607042665</v>
      </c>
      <c r="N43" s="272">
        <f t="shared" si="9"/>
        <v>0.38128730101282965</v>
      </c>
      <c r="O43" s="281">
        <v>0</v>
      </c>
      <c r="P43" s="272">
        <f t="shared" si="10"/>
        <v>1</v>
      </c>
      <c r="Q43" s="280">
        <f t="shared" si="11"/>
        <v>1</v>
      </c>
      <c r="R43" s="279"/>
    </row>
    <row r="44" spans="1:18">
      <c r="A44" s="66">
        <f t="shared" si="1"/>
        <v>25</v>
      </c>
      <c r="B44" s="279">
        <f>B43*(1+'Data for Q3'!$C$32)</f>
        <v>2870.3735084969248</v>
      </c>
      <c r="C44" s="278">
        <f t="shared" si="0"/>
        <v>0.20393004938027526</v>
      </c>
      <c r="D44" s="277">
        <f t="shared" si="2"/>
        <v>69</v>
      </c>
      <c r="E44" s="275">
        <f>VLOOKUP(D44,'Data for Q3'!$B$42:$D$92,3,0)</f>
        <v>8.4399999999999996E-3</v>
      </c>
      <c r="F44" s="275">
        <f t="shared" si="3"/>
        <v>0.92199474544000837</v>
      </c>
      <c r="G44" s="275">
        <f t="shared" si="4"/>
        <v>0.92591868128429089</v>
      </c>
      <c r="H44" s="276">
        <f>'Solution for Q3 (d)'!H45</f>
        <v>0</v>
      </c>
      <c r="I44" s="275">
        <f t="shared" si="5"/>
        <v>0.64896546846474334</v>
      </c>
      <c r="J44" s="275">
        <f t="shared" si="6"/>
        <v>0.64896546846474334</v>
      </c>
      <c r="K44" s="274"/>
      <c r="L44" s="272"/>
      <c r="M44" s="272"/>
      <c r="N44" s="272"/>
      <c r="O44" s="281"/>
      <c r="P44" s="272"/>
      <c r="Q44" s="280"/>
      <c r="R44" s="279"/>
    </row>
    <row r="45" spans="1:18">
      <c r="A45" s="66">
        <f t="shared" si="1"/>
        <v>26</v>
      </c>
      <c r="B45" s="279">
        <f>B44*(1+'Data for Q3'!$C$32)</f>
        <v>2985.1884488368019</v>
      </c>
      <c r="C45" s="278">
        <f t="shared" si="0"/>
        <v>0.19058883119651895</v>
      </c>
      <c r="D45" s="277">
        <f t="shared" si="2"/>
        <v>70</v>
      </c>
      <c r="E45" s="275">
        <f>VLOOKUP(D45,'Data for Q3'!$B$42:$D$92,3,0)</f>
        <v>9.3399999999999993E-3</v>
      </c>
      <c r="F45" s="275">
        <f t="shared" si="3"/>
        <v>0.91338331451759869</v>
      </c>
      <c r="G45" s="275">
        <f t="shared" si="4"/>
        <v>0.91768902997880353</v>
      </c>
      <c r="H45" s="276">
        <f>'Solution for Q3 (d)'!H46</f>
        <v>0</v>
      </c>
      <c r="I45" s="275">
        <f t="shared" si="5"/>
        <v>0.64896546846474334</v>
      </c>
      <c r="J45" s="275">
        <f t="shared" si="6"/>
        <v>0.64896546846474334</v>
      </c>
      <c r="K45" s="274"/>
      <c r="L45" s="272"/>
      <c r="M45" s="272"/>
      <c r="N45" s="272"/>
      <c r="O45" s="273"/>
      <c r="P45" s="272"/>
      <c r="Q45" s="280"/>
      <c r="R45" s="279"/>
    </row>
    <row r="46" spans="1:18">
      <c r="A46" s="8">
        <f t="shared" si="1"/>
        <v>27</v>
      </c>
      <c r="B46" s="279">
        <f>B45*(1+'Data for Q3'!$C$32)</f>
        <v>3104.5959867902739</v>
      </c>
      <c r="C46" s="278">
        <f t="shared" si="0"/>
        <v>0.17812040298740087</v>
      </c>
      <c r="D46" s="277">
        <f t="shared" si="2"/>
        <v>71</v>
      </c>
      <c r="E46" s="275">
        <f>VLOOKUP(D46,'Data for Q3'!$B$42:$D$92,3,0)</f>
        <v>1.031E-2</v>
      </c>
      <c r="F46" s="275">
        <f t="shared" si="3"/>
        <v>0.9039663325449222</v>
      </c>
      <c r="G46" s="275">
        <f t="shared" si="4"/>
        <v>0.9086748235312605</v>
      </c>
      <c r="H46" s="276">
        <f>'Solution for Q3 (d)'!H47</f>
        <v>0</v>
      </c>
      <c r="I46" s="275">
        <f t="shared" si="5"/>
        <v>0.64896546846474334</v>
      </c>
      <c r="J46" s="275">
        <f t="shared" si="6"/>
        <v>0.64896546846474334</v>
      </c>
      <c r="K46" s="274"/>
      <c r="L46" s="272"/>
      <c r="M46" s="272"/>
      <c r="N46" s="272"/>
      <c r="O46" s="273"/>
      <c r="P46" s="272"/>
      <c r="Q46" s="272"/>
      <c r="R46" s="279"/>
    </row>
    <row r="47" spans="1:18">
      <c r="A47" s="8">
        <f t="shared" si="1"/>
        <v>28</v>
      </c>
      <c r="B47" s="279">
        <f>B46*(1+'Data for Q3'!$C$32)</f>
        <v>3228.7798262618849</v>
      </c>
      <c r="C47" s="278">
        <f t="shared" si="0"/>
        <v>0.16646766634336529</v>
      </c>
      <c r="D47" s="277">
        <f t="shared" si="2"/>
        <v>72</v>
      </c>
      <c r="E47" s="275">
        <f>VLOOKUP(D47,'Data for Q3'!$B$42:$D$92,3,0)</f>
        <v>1.1339999999999999E-2</v>
      </c>
      <c r="F47" s="275">
        <f t="shared" si="3"/>
        <v>0.89371535433386273</v>
      </c>
      <c r="G47" s="275">
        <f t="shared" si="4"/>
        <v>0.89884084343939252</v>
      </c>
      <c r="H47" s="276">
        <f>'Solution for Q3 (d)'!H48</f>
        <v>0</v>
      </c>
      <c r="I47" s="275">
        <f t="shared" si="5"/>
        <v>0.64896546846474334</v>
      </c>
      <c r="J47" s="275">
        <f t="shared" si="6"/>
        <v>0.64896546846474334</v>
      </c>
      <c r="K47" s="274"/>
      <c r="L47" s="272"/>
      <c r="M47" s="272"/>
      <c r="N47" s="272"/>
      <c r="O47" s="273"/>
      <c r="P47" s="272"/>
      <c r="Q47" s="272"/>
      <c r="R47" s="279"/>
    </row>
    <row r="48" spans="1:18">
      <c r="A48" s="8">
        <f t="shared" si="1"/>
        <v>29</v>
      </c>
      <c r="B48" s="279">
        <f>B47*(1+'Data for Q3'!$C$32)</f>
        <v>3357.9310193123601</v>
      </c>
      <c r="C48" s="278">
        <f t="shared" si="0"/>
        <v>0.15557725826482735</v>
      </c>
      <c r="D48" s="277">
        <f t="shared" si="2"/>
        <v>73</v>
      </c>
      <c r="E48" s="275">
        <f>VLOOKUP(D48,'Data for Q3'!$B$42:$D$92,3,0)</f>
        <v>1.244E-2</v>
      </c>
      <c r="F48" s="275">
        <f t="shared" si="3"/>
        <v>0.88259753532594942</v>
      </c>
      <c r="G48" s="275">
        <f t="shared" si="4"/>
        <v>0.88815644482990608</v>
      </c>
      <c r="H48" s="276">
        <f>'Solution for Q3 (d)'!H49</f>
        <v>0</v>
      </c>
      <c r="I48" s="275">
        <f t="shared" si="5"/>
        <v>0.64896546846474334</v>
      </c>
      <c r="J48" s="275">
        <f t="shared" si="6"/>
        <v>0.64896546846474334</v>
      </c>
      <c r="K48" s="274"/>
      <c r="L48" s="272"/>
      <c r="M48" s="272"/>
      <c r="N48" s="272"/>
      <c r="O48" s="273"/>
      <c r="P48" s="272"/>
      <c r="Q48" s="272"/>
      <c r="R48" s="279"/>
    </row>
    <row r="49" spans="1:18">
      <c r="A49" s="8">
        <f t="shared" si="1"/>
        <v>30</v>
      </c>
      <c r="B49" s="279">
        <f>B48*(1+'Data for Q3'!$C$32)</f>
        <v>3492.2482600848548</v>
      </c>
      <c r="C49" s="278">
        <f t="shared" si="0"/>
        <v>0.14539930678955829</v>
      </c>
      <c r="D49" s="277">
        <f t="shared" si="2"/>
        <v>74</v>
      </c>
      <c r="E49" s="275">
        <f>VLOOKUP(D49,'Data for Q3'!$B$42:$D$92,3,0)</f>
        <v>1.366E-2</v>
      </c>
      <c r="F49" s="275">
        <f t="shared" si="3"/>
        <v>0.87054125299339691</v>
      </c>
      <c r="G49" s="275">
        <f t="shared" si="4"/>
        <v>0.87656939415967317</v>
      </c>
      <c r="H49" s="276">
        <f>'Solution for Q3 (d)'!H50</f>
        <v>0</v>
      </c>
      <c r="I49" s="275">
        <f t="shared" si="5"/>
        <v>0.64896546846474334</v>
      </c>
      <c r="J49" s="275">
        <f t="shared" si="6"/>
        <v>0.64896546846474334</v>
      </c>
      <c r="K49" s="274"/>
      <c r="L49" s="272"/>
      <c r="M49" s="272"/>
      <c r="N49" s="272"/>
      <c r="O49" s="273"/>
      <c r="P49" s="272"/>
      <c r="Q49" s="272"/>
      <c r="R49" s="279"/>
    </row>
    <row r="50" spans="1:18">
      <c r="A50" s="8">
        <f t="shared" si="1"/>
        <v>31</v>
      </c>
      <c r="B50" s="279">
        <f>B49*(1+'Data for Q3'!$C$32)</f>
        <v>3631.9381904882489</v>
      </c>
      <c r="C50" s="278">
        <f t="shared" si="0"/>
        <v>0.1358872026070638</v>
      </c>
      <c r="D50" s="277">
        <f t="shared" si="2"/>
        <v>75</v>
      </c>
      <c r="E50" s="275">
        <f>VLOOKUP(D50,'Data for Q3'!$B$42:$D$92,3,0)</f>
        <v>1.502E-2</v>
      </c>
      <c r="F50" s="275">
        <f t="shared" si="3"/>
        <v>0.85746572337343607</v>
      </c>
      <c r="G50" s="275">
        <f t="shared" si="4"/>
        <v>0.86400348818341643</v>
      </c>
      <c r="H50" s="276">
        <f>'Solution for Q3 (d)'!H51</f>
        <v>0</v>
      </c>
      <c r="I50" s="275">
        <f t="shared" si="5"/>
        <v>0.64896546846474334</v>
      </c>
      <c r="J50" s="275">
        <f t="shared" si="6"/>
        <v>0.64896546846474334</v>
      </c>
      <c r="K50" s="274"/>
      <c r="L50" s="272"/>
      <c r="M50" s="272"/>
      <c r="N50" s="272"/>
      <c r="O50" s="273"/>
      <c r="P50" s="272"/>
      <c r="Q50" s="272"/>
      <c r="R50" s="279"/>
    </row>
    <row r="51" spans="1:18">
      <c r="A51" s="8">
        <f t="shared" si="1"/>
        <v>32</v>
      </c>
      <c r="B51" s="279">
        <f>B50*(1+'Data for Q3'!$C$32)</f>
        <v>3777.2157181077791</v>
      </c>
      <c r="C51" s="278">
        <f t="shared" si="0"/>
        <v>0.12699738561407831</v>
      </c>
      <c r="D51" s="277">
        <f t="shared" si="2"/>
        <v>76</v>
      </c>
      <c r="E51" s="275">
        <f>VLOOKUP(D51,'Data for Q3'!$B$42:$D$92,3,0)</f>
        <v>1.6559999999999998E-2</v>
      </c>
      <c r="F51" s="275">
        <f t="shared" si="3"/>
        <v>0.843266090994372</v>
      </c>
      <c r="G51" s="275">
        <f t="shared" si="4"/>
        <v>0.85036590718390404</v>
      </c>
      <c r="H51" s="276">
        <f>'Solution for Q3 (d)'!H52</f>
        <v>0</v>
      </c>
      <c r="I51" s="275">
        <f t="shared" si="5"/>
        <v>0.64896546846474334</v>
      </c>
      <c r="J51" s="275">
        <f t="shared" si="6"/>
        <v>0.64896546846474334</v>
      </c>
      <c r="K51" s="274"/>
      <c r="L51" s="272"/>
      <c r="M51" s="272"/>
      <c r="N51" s="272"/>
      <c r="O51" s="273"/>
      <c r="P51" s="272"/>
      <c r="Q51" s="272"/>
      <c r="R51" s="279"/>
    </row>
    <row r="52" spans="1:18">
      <c r="A52" s="8">
        <f t="shared" si="1"/>
        <v>33</v>
      </c>
      <c r="B52" s="279">
        <f>B51*(1+'Data for Q3'!$C$32)</f>
        <v>3928.3043468320902</v>
      </c>
      <c r="C52" s="278">
        <f t="shared" si="0"/>
        <v>0.11868914543371804</v>
      </c>
      <c r="D52" s="277">
        <f t="shared" si="2"/>
        <v>77</v>
      </c>
      <c r="E52" s="275">
        <f>VLOOKUP(D52,'Data for Q3'!$B$42:$D$92,3,0)</f>
        <v>1.8339999999999999E-2</v>
      </c>
      <c r="F52" s="275">
        <f t="shared" si="3"/>
        <v>0.82780059088553515</v>
      </c>
      <c r="G52" s="275">
        <f t="shared" si="4"/>
        <v>0.83553334093995357</v>
      </c>
      <c r="H52" s="276">
        <f>'Solution for Q3 (d)'!H53</f>
        <v>0</v>
      </c>
      <c r="I52" s="275">
        <f t="shared" si="5"/>
        <v>0.64896546846474334</v>
      </c>
      <c r="J52" s="275">
        <f t="shared" si="6"/>
        <v>0.64896546846474334</v>
      </c>
      <c r="K52" s="274"/>
      <c r="L52" s="272"/>
      <c r="M52" s="272"/>
      <c r="N52" s="272"/>
      <c r="O52" s="273"/>
      <c r="P52" s="272"/>
      <c r="Q52" s="272"/>
      <c r="R52" s="279"/>
    </row>
    <row r="53" spans="1:18">
      <c r="A53" s="8">
        <f t="shared" si="1"/>
        <v>34</v>
      </c>
      <c r="B53" s="279">
        <f>B52*(1+'Data for Q3'!$C$32)</f>
        <v>4085.4365207053738</v>
      </c>
      <c r="C53" s="278">
        <f t="shared" si="0"/>
        <v>0.1109244349847832</v>
      </c>
      <c r="D53" s="277">
        <f t="shared" si="2"/>
        <v>78</v>
      </c>
      <c r="E53" s="275">
        <f>VLOOKUP(D53,'Data for Q3'!$B$42:$D$92,3,0)</f>
        <v>2.0410000000000001E-2</v>
      </c>
      <c r="F53" s="275">
        <f t="shared" si="3"/>
        <v>0.81090518082556129</v>
      </c>
      <c r="G53" s="275">
        <f t="shared" si="4"/>
        <v>0.81935288585554822</v>
      </c>
      <c r="H53" s="276">
        <f>'Solution for Q3 (d)'!H54</f>
        <v>0</v>
      </c>
      <c r="I53" s="275">
        <f t="shared" si="5"/>
        <v>0.64896546846474334</v>
      </c>
      <c r="J53" s="275">
        <f t="shared" si="6"/>
        <v>0.64896546846474334</v>
      </c>
      <c r="K53" s="274"/>
      <c r="L53" s="272"/>
      <c r="M53" s="272"/>
      <c r="N53" s="272"/>
      <c r="O53" s="273"/>
      <c r="P53" s="272"/>
      <c r="Q53" s="272"/>
      <c r="R53" s="279"/>
    </row>
    <row r="54" spans="1:18">
      <c r="A54" s="8">
        <f t="shared" si="1"/>
        <v>35</v>
      </c>
      <c r="B54" s="279">
        <f>B53*(1+'Data for Q3'!$C$32)</f>
        <v>4248.8539815335889</v>
      </c>
      <c r="C54" s="278">
        <f t="shared" si="0"/>
        <v>0.10366769624746093</v>
      </c>
      <c r="D54" s="277">
        <f t="shared" si="2"/>
        <v>79</v>
      </c>
      <c r="E54" s="275">
        <f>VLOOKUP(D54,'Data for Q3'!$B$42:$D$92,3,0)</f>
        <v>2.2839999999999999E-2</v>
      </c>
      <c r="F54" s="275">
        <f t="shared" si="3"/>
        <v>0.7923841064955055</v>
      </c>
      <c r="G54" s="275">
        <f t="shared" si="4"/>
        <v>0.80164464366053334</v>
      </c>
      <c r="H54" s="276">
        <f>'Solution for Q3 (d)'!H55</f>
        <v>0</v>
      </c>
      <c r="I54" s="275">
        <f t="shared" si="5"/>
        <v>0.64896546846474334</v>
      </c>
      <c r="J54" s="275">
        <f t="shared" si="6"/>
        <v>0.64896546846474334</v>
      </c>
      <c r="K54" s="274"/>
      <c r="L54" s="272"/>
      <c r="M54" s="272"/>
      <c r="N54" s="272"/>
      <c r="O54" s="273"/>
      <c r="P54" s="272"/>
      <c r="Q54" s="272"/>
      <c r="R54" s="279"/>
    </row>
    <row r="55" spans="1:18">
      <c r="A55" s="8">
        <f t="shared" si="1"/>
        <v>36</v>
      </c>
      <c r="B55" s="279">
        <f>B54*(1+'Data for Q3'!$C$32)</f>
        <v>4418.808140794933</v>
      </c>
      <c r="C55" s="278">
        <f t="shared" si="0"/>
        <v>9.6885697427533585E-2</v>
      </c>
      <c r="D55" s="277">
        <f t="shared" si="2"/>
        <v>80</v>
      </c>
      <c r="E55" s="275">
        <f>VLOOKUP(D55,'Data for Q3'!$B$42:$D$92,3,0)</f>
        <v>2.571E-2</v>
      </c>
      <c r="F55" s="275">
        <f t="shared" si="3"/>
        <v>0.772011911117506</v>
      </c>
      <c r="G55" s="275">
        <f t="shared" si="4"/>
        <v>0.78219800880650581</v>
      </c>
      <c r="H55" s="276">
        <f>'Solution for Q3 (d)'!H56</f>
        <v>0</v>
      </c>
      <c r="I55" s="275">
        <f t="shared" si="5"/>
        <v>0.64896546846474334</v>
      </c>
      <c r="J55" s="275">
        <f t="shared" si="6"/>
        <v>0.64896546846474334</v>
      </c>
      <c r="K55" s="274"/>
      <c r="L55" s="272"/>
      <c r="M55" s="272"/>
      <c r="N55" s="272"/>
      <c r="O55" s="273"/>
      <c r="P55" s="272"/>
      <c r="Q55" s="272"/>
      <c r="R55" s="279"/>
    </row>
    <row r="56" spans="1:18">
      <c r="A56" s="8">
        <f t="shared" si="1"/>
        <v>37</v>
      </c>
      <c r="B56" s="279">
        <f>B55*(1+'Data for Q3'!$C$32)</f>
        <v>4595.5604664267303</v>
      </c>
      <c r="C56" s="278">
        <f t="shared" si="0"/>
        <v>9.0547380773395858E-2</v>
      </c>
      <c r="D56" s="277">
        <f t="shared" si="2"/>
        <v>81</v>
      </c>
      <c r="E56" s="275">
        <f>VLOOKUP(D56,'Data for Q3'!$B$42:$D$92,3,0)</f>
        <v>2.913E-2</v>
      </c>
      <c r="F56" s="275">
        <f t="shared" si="3"/>
        <v>0.74952320414665308</v>
      </c>
      <c r="G56" s="275">
        <f t="shared" si="4"/>
        <v>0.76076755763207948</v>
      </c>
      <c r="H56" s="276">
        <f>'Solution for Q3 (d)'!H57</f>
        <v>0</v>
      </c>
      <c r="I56" s="275">
        <f t="shared" si="5"/>
        <v>0.64896546846474334</v>
      </c>
      <c r="J56" s="275">
        <f t="shared" si="6"/>
        <v>0.64896546846474334</v>
      </c>
      <c r="K56" s="274"/>
      <c r="L56" s="272"/>
      <c r="M56" s="272"/>
      <c r="N56" s="272"/>
      <c r="O56" s="273"/>
      <c r="P56" s="272"/>
      <c r="Q56" s="272"/>
      <c r="R56" s="279"/>
    </row>
    <row r="57" spans="1:18">
      <c r="A57" s="8">
        <f t="shared" si="1"/>
        <v>38</v>
      </c>
      <c r="B57" s="279">
        <f>B56*(1+'Data for Q3'!$C$32)</f>
        <v>4779.3828850837999</v>
      </c>
      <c r="C57" s="278">
        <f t="shared" si="0"/>
        <v>8.462372034896809E-2</v>
      </c>
      <c r="D57" s="277">
        <f t="shared" si="2"/>
        <v>82</v>
      </c>
      <c r="E57" s="275">
        <f>VLOOKUP(D57,'Data for Q3'!$B$42:$D$92,3,0)</f>
        <v>3.32E-2</v>
      </c>
      <c r="F57" s="275">
        <f t="shared" si="3"/>
        <v>0.7246390337689842</v>
      </c>
      <c r="G57" s="275">
        <f t="shared" si="4"/>
        <v>0.73708111895781869</v>
      </c>
      <c r="H57" s="276">
        <f>'Solution for Q3 (d)'!H58</f>
        <v>0</v>
      </c>
      <c r="I57" s="275">
        <f t="shared" si="5"/>
        <v>0.64896546846474334</v>
      </c>
      <c r="J57" s="275">
        <f t="shared" si="6"/>
        <v>0.64896546846474334</v>
      </c>
      <c r="K57" s="274"/>
      <c r="L57" s="272"/>
      <c r="M57" s="272"/>
      <c r="N57" s="272"/>
      <c r="O57" s="273"/>
      <c r="P57" s="272"/>
      <c r="Q57" s="272"/>
      <c r="R57" s="279"/>
    </row>
    <row r="58" spans="1:18">
      <c r="A58" s="8">
        <f t="shared" si="1"/>
        <v>39</v>
      </c>
      <c r="B58" s="279">
        <f>B57*(1+'Data for Q3'!$C$32)</f>
        <v>4970.5582004871521</v>
      </c>
      <c r="C58" s="278">
        <f t="shared" si="0"/>
        <v>7.9087589111185116E-2</v>
      </c>
      <c r="D58" s="277">
        <f t="shared" si="2"/>
        <v>83</v>
      </c>
      <c r="E58" s="275">
        <f>VLOOKUP(D58,'Data for Q3'!$B$42:$D$92,3,0)</f>
        <v>3.805E-2</v>
      </c>
      <c r="F58" s="275">
        <f t="shared" si="3"/>
        <v>0.69706651853407431</v>
      </c>
      <c r="G58" s="275">
        <f t="shared" si="4"/>
        <v>0.71085277615152931</v>
      </c>
      <c r="H58" s="276">
        <f>'Solution for Q3 (d)'!H59</f>
        <v>0</v>
      </c>
      <c r="I58" s="275">
        <f t="shared" si="5"/>
        <v>0.64896546846474334</v>
      </c>
      <c r="J58" s="275">
        <f t="shared" si="6"/>
        <v>0.64896546846474334</v>
      </c>
      <c r="K58" s="274"/>
      <c r="L58" s="272"/>
      <c r="M58" s="272"/>
      <c r="N58" s="272"/>
      <c r="O58" s="273"/>
      <c r="P58" s="272"/>
      <c r="Q58" s="272"/>
      <c r="R58" s="279"/>
    </row>
    <row r="59" spans="1:18">
      <c r="A59" s="8">
        <f t="shared" si="1"/>
        <v>40</v>
      </c>
      <c r="B59" s="279">
        <f>B58*(1+'Data for Q3'!$C$32)</f>
        <v>5169.3805285066383</v>
      </c>
      <c r="C59" s="278">
        <f t="shared" si="0"/>
        <v>7.3913634683350576E-2</v>
      </c>
      <c r="D59" s="277">
        <f t="shared" si="2"/>
        <v>84</v>
      </c>
      <c r="E59" s="275">
        <f>VLOOKUP(D59,'Data for Q3'!$B$42:$D$92,3,0)</f>
        <v>4.3770000000000003E-2</v>
      </c>
      <c r="F59" s="275">
        <f t="shared" si="3"/>
        <v>0.6665559170178379</v>
      </c>
      <c r="G59" s="275">
        <f t="shared" si="4"/>
        <v>0.6818112177759561</v>
      </c>
      <c r="H59" s="276">
        <f>'Solution for Q3 (d)'!H60</f>
        <v>0</v>
      </c>
      <c r="I59" s="275">
        <f t="shared" si="5"/>
        <v>0.64896546846474334</v>
      </c>
      <c r="J59" s="275">
        <f t="shared" si="6"/>
        <v>0.64896546846474334</v>
      </c>
      <c r="K59" s="274"/>
      <c r="L59" s="272"/>
      <c r="M59" s="272"/>
      <c r="N59" s="272"/>
      <c r="O59" s="273"/>
      <c r="P59" s="272"/>
      <c r="Q59" s="272"/>
      <c r="R59" s="279"/>
    </row>
    <row r="60" spans="1:18">
      <c r="A60" s="8">
        <f t="shared" si="1"/>
        <v>41</v>
      </c>
      <c r="B60" s="279">
        <f>B59*(1+'Data for Q3'!$C$32)</f>
        <v>5376.155749646904</v>
      </c>
      <c r="C60" s="278">
        <f t="shared" si="0"/>
        <v>6.9078163255467825E-2</v>
      </c>
      <c r="D60" s="277">
        <f t="shared" si="2"/>
        <v>85</v>
      </c>
      <c r="E60" s="275">
        <f>VLOOKUP(D60,'Data for Q3'!$B$42:$D$92,3,0)</f>
        <v>5.0500000000000003E-2</v>
      </c>
      <c r="F60" s="275">
        <f t="shared" si="3"/>
        <v>0.63289484320843714</v>
      </c>
      <c r="G60" s="275">
        <f t="shared" si="4"/>
        <v>0.64972538011313752</v>
      </c>
      <c r="H60" s="276">
        <f>'Solution for Q3 (d)'!H61</f>
        <v>0</v>
      </c>
      <c r="I60" s="275">
        <f t="shared" si="5"/>
        <v>0.64896546846474334</v>
      </c>
      <c r="J60" s="275">
        <f t="shared" si="6"/>
        <v>0.64896546846474334</v>
      </c>
      <c r="K60" s="274"/>
      <c r="L60" s="272"/>
      <c r="M60" s="272"/>
      <c r="N60" s="272"/>
      <c r="O60" s="273"/>
      <c r="P60" s="272"/>
      <c r="Q60" s="272"/>
      <c r="R60" s="279"/>
    </row>
    <row r="61" spans="1:18">
      <c r="A61" s="8">
        <f t="shared" si="1"/>
        <v>42</v>
      </c>
      <c r="B61" s="279">
        <f>B60*(1+'Data for Q3'!$C$32)</f>
        <v>5591.2019796327804</v>
      </c>
      <c r="C61" s="278">
        <f t="shared" si="0"/>
        <v>6.4559031079876469E-2</v>
      </c>
      <c r="D61" s="277">
        <f t="shared" si="2"/>
        <v>86</v>
      </c>
      <c r="E61" s="275">
        <f>VLOOKUP(D61,'Data for Q3'!$B$42:$D$92,3,0)</f>
        <v>5.8319999999999997E-2</v>
      </c>
      <c r="F61" s="275">
        <f t="shared" si="3"/>
        <v>0.59598441595252105</v>
      </c>
      <c r="G61" s="275">
        <f t="shared" si="4"/>
        <v>0.61443962958047915</v>
      </c>
      <c r="H61" s="276">
        <f>'Solution for Q3 (d)'!H62</f>
        <v>0</v>
      </c>
      <c r="I61" s="275">
        <f t="shared" si="5"/>
        <v>0.64896546846474334</v>
      </c>
      <c r="J61" s="275">
        <f t="shared" si="6"/>
        <v>0.64896546846474334</v>
      </c>
      <c r="K61" s="274"/>
      <c r="L61" s="272"/>
      <c r="M61" s="272"/>
      <c r="N61" s="272"/>
      <c r="O61" s="273"/>
      <c r="P61" s="272"/>
      <c r="Q61" s="272"/>
      <c r="R61" s="279"/>
    </row>
    <row r="62" spans="1:18">
      <c r="A62" s="8">
        <f t="shared" si="1"/>
        <v>43</v>
      </c>
      <c r="B62" s="279">
        <f>B61*(1+'Data for Q3'!$C$32)</f>
        <v>5814.8500588180914</v>
      </c>
      <c r="C62" s="278">
        <f t="shared" si="0"/>
        <v>6.0335543065305107E-2</v>
      </c>
      <c r="D62" s="277">
        <f t="shared" si="2"/>
        <v>87</v>
      </c>
      <c r="E62" s="275">
        <f>VLOOKUP(D62,'Data for Q3'!$B$42:$D$92,3,0)</f>
        <v>6.7339999999999997E-2</v>
      </c>
      <c r="F62" s="275">
        <f t="shared" si="3"/>
        <v>0.55585082538227826</v>
      </c>
      <c r="G62" s="275">
        <f t="shared" si="4"/>
        <v>0.57591762066739971</v>
      </c>
      <c r="H62" s="276">
        <f>'Solution for Q3 (d)'!H63</f>
        <v>0</v>
      </c>
      <c r="I62" s="275">
        <f t="shared" si="5"/>
        <v>0.64896546846474334</v>
      </c>
      <c r="J62" s="275">
        <f t="shared" si="6"/>
        <v>0.64896546846474334</v>
      </c>
      <c r="K62" s="274"/>
      <c r="L62" s="272"/>
      <c r="M62" s="272"/>
      <c r="N62" s="272"/>
      <c r="O62" s="273"/>
      <c r="P62" s="272"/>
      <c r="Q62" s="272"/>
      <c r="R62" s="279"/>
    </row>
    <row r="63" spans="1:18">
      <c r="A63" s="8">
        <f t="shared" si="1"/>
        <v>44</v>
      </c>
      <c r="B63" s="279">
        <f>B62*(1+'Data for Q3'!$C$32)</f>
        <v>6047.4440611708151</v>
      </c>
      <c r="C63" s="278">
        <f t="shared" si="0"/>
        <v>5.6388358004958047E-2</v>
      </c>
      <c r="D63" s="277">
        <f t="shared" si="2"/>
        <v>88</v>
      </c>
      <c r="E63" s="275">
        <f>VLOOKUP(D63,'Data for Q3'!$B$42:$D$92,3,0)</f>
        <v>7.7649999999999997E-2</v>
      </c>
      <c r="F63" s="275">
        <f t="shared" si="3"/>
        <v>0.51268900879134438</v>
      </c>
      <c r="G63" s="275">
        <f t="shared" si="4"/>
        <v>0.53426991708681126</v>
      </c>
      <c r="H63" s="276">
        <f>'Solution for Q3 (d)'!H64</f>
        <v>0</v>
      </c>
      <c r="I63" s="275">
        <f t="shared" si="5"/>
        <v>0.64896546846474334</v>
      </c>
      <c r="J63" s="275">
        <f t="shared" si="6"/>
        <v>0.64896546846474334</v>
      </c>
      <c r="K63" s="274"/>
      <c r="L63" s="272"/>
      <c r="M63" s="272"/>
      <c r="N63" s="272"/>
      <c r="O63" s="273"/>
      <c r="P63" s="272"/>
      <c r="Q63" s="272"/>
      <c r="R63" s="279"/>
    </row>
    <row r="64" spans="1:18">
      <c r="A64" s="8">
        <f t="shared" si="1"/>
        <v>45</v>
      </c>
      <c r="B64" s="279">
        <f>B63*(1+'Data for Q3'!$C$32)</f>
        <v>6289.3418236176476</v>
      </c>
      <c r="C64" s="278">
        <f t="shared" si="0"/>
        <v>5.2699400004633683E-2</v>
      </c>
      <c r="D64" s="277">
        <f t="shared" si="2"/>
        <v>89</v>
      </c>
      <c r="E64" s="275">
        <f>VLOOKUP(D64,'Data for Q3'!$B$42:$D$92,3,0)</f>
        <v>8.9319999999999997E-2</v>
      </c>
      <c r="F64" s="275">
        <f t="shared" si="3"/>
        <v>0.4668956265261015</v>
      </c>
      <c r="G64" s="275">
        <f t="shared" si="4"/>
        <v>0.48979231765872294</v>
      </c>
      <c r="H64" s="276">
        <f>'Solution for Q3 (d)'!H65</f>
        <v>0</v>
      </c>
      <c r="I64" s="275">
        <f t="shared" si="5"/>
        <v>0.64896546846474334</v>
      </c>
      <c r="J64" s="275">
        <f t="shared" si="6"/>
        <v>0.64896546846474334</v>
      </c>
      <c r="K64" s="274"/>
      <c r="L64" s="272"/>
      <c r="M64" s="272"/>
      <c r="N64" s="272"/>
      <c r="O64" s="273"/>
      <c r="P64" s="272"/>
      <c r="Q64" s="272"/>
      <c r="R64" s="279"/>
    </row>
    <row r="65" spans="1:18">
      <c r="A65" s="8">
        <f t="shared" si="1"/>
        <v>46</v>
      </c>
      <c r="B65" s="279">
        <f>B64*(1+'Data for Q3'!$C$32)</f>
        <v>6540.9154965623538</v>
      </c>
      <c r="C65" s="278">
        <f t="shared" si="0"/>
        <v>4.9251775705265122E-2</v>
      </c>
      <c r="D65" s="277">
        <f t="shared" si="2"/>
        <v>90</v>
      </c>
      <c r="E65" s="275">
        <f>VLOOKUP(D65,'Data for Q3'!$B$42:$D$92,3,0)</f>
        <v>0.10238</v>
      </c>
      <c r="F65" s="275">
        <f t="shared" si="3"/>
        <v>0.41909485228235921</v>
      </c>
      <c r="G65" s="275">
        <f t="shared" si="4"/>
        <v>0.44299523940423041</v>
      </c>
      <c r="H65" s="276">
        <f>'Solution for Q3 (d)'!H66</f>
        <v>0</v>
      </c>
      <c r="I65" s="275">
        <f t="shared" si="5"/>
        <v>0.64896546846474334</v>
      </c>
      <c r="J65" s="275">
        <f t="shared" si="6"/>
        <v>0.64896546846474334</v>
      </c>
      <c r="K65" s="274"/>
      <c r="L65" s="272"/>
      <c r="M65" s="272"/>
      <c r="N65" s="272"/>
      <c r="O65" s="273"/>
      <c r="P65" s="272"/>
      <c r="Q65" s="272"/>
      <c r="R65" s="279"/>
    </row>
    <row r="66" spans="1:18">
      <c r="A66" s="8"/>
      <c r="B66" s="279"/>
      <c r="C66" s="278"/>
      <c r="D66" s="196"/>
      <c r="E66" s="278"/>
      <c r="G66" s="196"/>
      <c r="H66" s="278"/>
      <c r="I66" s="278"/>
      <c r="J66" s="278"/>
      <c r="L66" s="196"/>
      <c r="M66" s="196"/>
      <c r="N66" s="196"/>
      <c r="O66" s="278"/>
      <c r="P66" s="278"/>
      <c r="Q66" s="278"/>
    </row>
    <row r="76" spans="1:18" ht="15.5">
      <c r="A76" s="269"/>
      <c r="C76" s="268"/>
    </row>
    <row r="78" spans="1:18">
      <c r="A78" s="9"/>
      <c r="C78" s="268"/>
    </row>
  </sheetData>
  <mergeCells count="2">
    <mergeCell ref="D19:J19"/>
    <mergeCell ref="K19:Q19"/>
  </mergeCells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0022C-8687-41FE-9D2F-4843546EBC9D}">
  <dimension ref="A1:R78"/>
  <sheetViews>
    <sheetView showGridLines="0" zoomScale="85" zoomScaleNormal="85" workbookViewId="0">
      <selection activeCell="I13" sqref="I13"/>
    </sheetView>
  </sheetViews>
  <sheetFormatPr baseColWidth="10" defaultColWidth="11.453125" defaultRowHeight="14.5"/>
  <cols>
    <col min="1" max="1" width="17.453125" customWidth="1"/>
    <col min="5" max="5" width="12.453125" customWidth="1"/>
    <col min="6" max="6" width="13.81640625" customWidth="1"/>
    <col min="8" max="9" width="12.54296875" customWidth="1"/>
    <col min="10" max="10" width="13.54296875" customWidth="1"/>
    <col min="15" max="16" width="12.453125" customWidth="1"/>
    <col min="19" max="19" width="44.453125" bestFit="1" customWidth="1"/>
    <col min="22" max="22" width="9.453125" bestFit="1" customWidth="1"/>
    <col min="23" max="23" width="12.54296875" customWidth="1"/>
  </cols>
  <sheetData>
    <row r="1" spans="1:13">
      <c r="A1" s="9" t="s">
        <v>536</v>
      </c>
    </row>
    <row r="3" spans="1:13" ht="15">
      <c r="A3" t="s">
        <v>525</v>
      </c>
      <c r="B3" s="301">
        <v>1000</v>
      </c>
      <c r="E3" s="310"/>
      <c r="K3" s="144"/>
      <c r="L3" s="144"/>
    </row>
    <row r="4" spans="1:13" ht="15.5">
      <c r="A4" t="s">
        <v>533</v>
      </c>
      <c r="B4" s="302">
        <v>0.1</v>
      </c>
      <c r="E4" s="271"/>
      <c r="H4" s="301"/>
      <c r="K4" s="144"/>
    </row>
    <row r="5" spans="1:13" ht="15.5">
      <c r="A5" t="s">
        <v>524</v>
      </c>
      <c r="B5" s="301">
        <f>B3*(1+B4)</f>
        <v>1100</v>
      </c>
      <c r="E5" s="309"/>
      <c r="H5" s="301"/>
      <c r="K5" s="144"/>
    </row>
    <row r="6" spans="1:13" ht="15.5">
      <c r="A6" t="s">
        <v>523</v>
      </c>
      <c r="B6">
        <v>65</v>
      </c>
      <c r="E6" s="271"/>
      <c r="H6" s="301"/>
      <c r="I6" s="302"/>
      <c r="K6" s="144"/>
    </row>
    <row r="7" spans="1:13" ht="15.5">
      <c r="A7" t="s">
        <v>522</v>
      </c>
      <c r="B7">
        <v>90</v>
      </c>
      <c r="E7" s="271"/>
      <c r="H7" s="301"/>
      <c r="K7" s="144"/>
    </row>
    <row r="8" spans="1:13" ht="15.5">
      <c r="A8" t="s">
        <v>521</v>
      </c>
      <c r="B8" s="312">
        <v>0.04</v>
      </c>
      <c r="D8" s="145"/>
      <c r="E8" s="271"/>
      <c r="H8" s="301"/>
      <c r="K8" s="144"/>
    </row>
    <row r="9" spans="1:13">
      <c r="A9" t="s">
        <v>520</v>
      </c>
      <c r="B9" s="145" t="s">
        <v>517</v>
      </c>
      <c r="E9" s="315" t="s">
        <v>530</v>
      </c>
      <c r="H9" s="301">
        <f>G17</f>
        <v>22470.281831572051</v>
      </c>
      <c r="K9" s="144"/>
    </row>
    <row r="10" spans="1:13">
      <c r="A10" t="s">
        <v>519</v>
      </c>
      <c r="B10" s="312">
        <v>0.04</v>
      </c>
      <c r="K10" s="144"/>
    </row>
    <row r="11" spans="1:13" ht="15.5">
      <c r="B11" s="145"/>
      <c r="E11" s="308" t="s">
        <v>529</v>
      </c>
      <c r="F11" s="211"/>
      <c r="G11" s="211"/>
      <c r="H11" s="307">
        <f>H9-'Sol Q3 (e) - Demographic'!H9</f>
        <v>5582.0363888915927</v>
      </c>
      <c r="I11" s="306" t="s">
        <v>539</v>
      </c>
      <c r="J11" s="211"/>
      <c r="K11" s="305"/>
      <c r="L11" s="211"/>
      <c r="M11" s="211"/>
    </row>
    <row r="12" spans="1:13">
      <c r="B12" s="145"/>
      <c r="K12" s="144"/>
    </row>
    <row r="13" spans="1:13" ht="87">
      <c r="A13" s="300" t="s">
        <v>40</v>
      </c>
      <c r="B13" s="299" t="s">
        <v>4</v>
      </c>
      <c r="C13" s="299" t="s">
        <v>516</v>
      </c>
      <c r="D13" s="299" t="s">
        <v>515</v>
      </c>
      <c r="E13" s="299" t="s">
        <v>514</v>
      </c>
      <c r="F13" s="298" t="s">
        <v>513</v>
      </c>
      <c r="G13" s="298" t="s">
        <v>512</v>
      </c>
      <c r="H13" s="297" t="s">
        <v>511</v>
      </c>
    </row>
    <row r="14" spans="1:13">
      <c r="A14" s="70" t="s">
        <v>43</v>
      </c>
      <c r="B14" s="10">
        <v>46</v>
      </c>
      <c r="C14" s="10">
        <v>6</v>
      </c>
      <c r="D14" s="10">
        <f>MAX($B$6-B14,0)</f>
        <v>19</v>
      </c>
      <c r="E14" s="10">
        <f>C14+D14</f>
        <v>25</v>
      </c>
      <c r="F14" s="296">
        <f>SUMPRODUCT(B40:B65,C40:C65,G40:G65,J40:J65)</f>
        <v>14237.018704944068</v>
      </c>
      <c r="G14" s="296">
        <f>F14*C14/E14</f>
        <v>3416.884489186576</v>
      </c>
      <c r="H14" s="295">
        <f>F14/E14</f>
        <v>569.48074819776275</v>
      </c>
    </row>
    <row r="15" spans="1:13">
      <c r="A15" s="241" t="s">
        <v>45</v>
      </c>
      <c r="B15" s="294">
        <v>68</v>
      </c>
      <c r="C15" s="294">
        <v>30</v>
      </c>
      <c r="D15" s="294">
        <f>MAX($B$6-B15,0)</f>
        <v>0</v>
      </c>
      <c r="E15" s="294">
        <f>C15+D15</f>
        <v>30</v>
      </c>
      <c r="F15" s="293">
        <f>SUMPRODUCT(B21:B43,C21:C43,N21:N43,Q21:Q43)</f>
        <v>19053.397342385473</v>
      </c>
      <c r="G15" s="293">
        <f>F15*C15/E15</f>
        <v>19053.397342385473</v>
      </c>
      <c r="H15" s="292">
        <v>0</v>
      </c>
    </row>
    <row r="17" spans="1:18">
      <c r="E17" s="212" t="s">
        <v>379</v>
      </c>
      <c r="F17" s="291">
        <f>SUM(F14:F16)</f>
        <v>33290.416047329541</v>
      </c>
      <c r="G17" s="291">
        <f>SUM(G14:G16)</f>
        <v>22470.281831572051</v>
      </c>
      <c r="H17" s="291">
        <f>SUM(H14:H16)</f>
        <v>569.48074819776275</v>
      </c>
    </row>
    <row r="18" spans="1:18">
      <c r="K18" s="268"/>
      <c r="L18" s="268"/>
      <c r="M18" s="268"/>
      <c r="N18" s="268"/>
    </row>
    <row r="19" spans="1:18">
      <c r="A19" s="290"/>
      <c r="B19" s="289"/>
      <c r="C19" s="289"/>
      <c r="D19" s="345" t="s">
        <v>43</v>
      </c>
      <c r="E19" s="345"/>
      <c r="F19" s="345"/>
      <c r="G19" s="345"/>
      <c r="H19" s="345"/>
      <c r="I19" s="345"/>
      <c r="J19" s="345"/>
      <c r="K19" s="346" t="s">
        <v>45</v>
      </c>
      <c r="L19" s="346"/>
      <c r="M19" s="346"/>
      <c r="N19" s="346"/>
      <c r="O19" s="346"/>
      <c r="P19" s="346"/>
      <c r="Q19" s="347"/>
    </row>
    <row r="20" spans="1:18" ht="29">
      <c r="A20" s="288" t="s">
        <v>47</v>
      </c>
      <c r="B20" s="287" t="s">
        <v>510</v>
      </c>
      <c r="C20" s="287" t="s">
        <v>509</v>
      </c>
      <c r="D20" s="286" t="s">
        <v>4</v>
      </c>
      <c r="E20" s="286" t="s">
        <v>508</v>
      </c>
      <c r="F20" s="286" t="s">
        <v>507</v>
      </c>
      <c r="G20" s="286" t="s">
        <v>505</v>
      </c>
      <c r="H20" s="286" t="s">
        <v>420</v>
      </c>
      <c r="I20" s="286" t="s">
        <v>506</v>
      </c>
      <c r="J20" s="286" t="s">
        <v>505</v>
      </c>
      <c r="K20" s="285" t="s">
        <v>4</v>
      </c>
      <c r="L20" s="285" t="s">
        <v>508</v>
      </c>
      <c r="M20" s="285" t="s">
        <v>507</v>
      </c>
      <c r="N20" s="285" t="s">
        <v>505</v>
      </c>
      <c r="O20" s="285" t="s">
        <v>420</v>
      </c>
      <c r="P20" s="285" t="s">
        <v>506</v>
      </c>
      <c r="Q20" s="284" t="s">
        <v>505</v>
      </c>
      <c r="R20" s="287"/>
    </row>
    <row r="21" spans="1:18">
      <c r="A21" s="283">
        <v>2</v>
      </c>
      <c r="B21" s="282">
        <f>B5</f>
        <v>1100</v>
      </c>
      <c r="C21" s="278">
        <f t="shared" ref="C21:C65" si="0">1/(1+$B$8)^(A21-$A$21+0.5)</f>
        <v>0.98058067569092011</v>
      </c>
      <c r="D21" s="277">
        <v>46</v>
      </c>
      <c r="E21" s="275">
        <f>VLOOKUP(D21,'Data for Q3'!$B$42:$D$92,3,0)</f>
        <v>9.2000000000000003E-4</v>
      </c>
      <c r="F21" s="275">
        <f>(1-E21)</f>
        <v>0.99907999999999997</v>
      </c>
      <c r="G21" s="275">
        <f>(1-E21/2)</f>
        <v>0.99953999999999998</v>
      </c>
      <c r="H21" s="276">
        <f>'Solution for Q3 (d)'!H22</f>
        <v>0.05</v>
      </c>
      <c r="I21" s="275">
        <f>(1-H21)</f>
        <v>0.95</v>
      </c>
      <c r="J21" s="275">
        <f>(1-H21/2)</f>
        <v>0.97499999999999998</v>
      </c>
      <c r="K21" s="274">
        <v>68</v>
      </c>
      <c r="L21" s="272">
        <f>'Data for Q3'!C69</f>
        <v>9.8300000000000002E-3</v>
      </c>
      <c r="M21" s="272">
        <f>(1-L21)</f>
        <v>0.99016999999999999</v>
      </c>
      <c r="N21" s="272">
        <f>(1-L21/2)</f>
        <v>0.995085</v>
      </c>
      <c r="O21" s="281">
        <v>0</v>
      </c>
      <c r="P21" s="272">
        <f>(1-O21)</f>
        <v>1</v>
      </c>
      <c r="Q21" s="280">
        <f>(1-O21/2)</f>
        <v>1</v>
      </c>
      <c r="R21" s="282"/>
    </row>
    <row r="22" spans="1:18">
      <c r="A22" s="66">
        <f t="shared" ref="A22:A65" si="1">A21+1</f>
        <v>3</v>
      </c>
      <c r="B22" s="279">
        <f t="shared" ref="B22:B65" si="2">B21*(1+$B$10)</f>
        <v>1144</v>
      </c>
      <c r="C22" s="278">
        <f t="shared" si="0"/>
        <v>0.94286603431819238</v>
      </c>
      <c r="D22" s="277">
        <f t="shared" ref="D22:D65" si="3">D21+1</f>
        <v>47</v>
      </c>
      <c r="E22" s="275">
        <f>VLOOKUP(D22,'Data for Q3'!$B$42:$D$92,3,0)</f>
        <v>1.01E-3</v>
      </c>
      <c r="F22" s="275">
        <f t="shared" ref="F22:F65" si="4">(1-E22)*F21</f>
        <v>0.99807092920000007</v>
      </c>
      <c r="G22" s="275">
        <f t="shared" ref="G22:G65" si="5">(1-E22/2)*F21</f>
        <v>0.99857546460000002</v>
      </c>
      <c r="H22" s="276">
        <f>'Solution for Q3 (d)'!H23</f>
        <v>0.05</v>
      </c>
      <c r="I22" s="275">
        <f t="shared" ref="I22:I65" si="6">(1-H22)*I21</f>
        <v>0.90249999999999997</v>
      </c>
      <c r="J22" s="275">
        <f t="shared" ref="J22:J65" si="7">(1-H22/2)*I21</f>
        <v>0.92624999999999991</v>
      </c>
      <c r="K22" s="274">
        <f t="shared" ref="K22:K43" si="8">K21+1</f>
        <v>69</v>
      </c>
      <c r="L22" s="272">
        <f>'Data for Q3'!C70</f>
        <v>1.0710000000000001E-2</v>
      </c>
      <c r="M22" s="272">
        <f t="shared" ref="M22:M43" si="9">(1-L22)*M21</f>
        <v>0.97956527930000004</v>
      </c>
      <c r="N22" s="272">
        <f t="shared" ref="N22:N43" si="10">(1-L22/2)*M21</f>
        <v>0.98486763965000002</v>
      </c>
      <c r="O22" s="281">
        <v>0</v>
      </c>
      <c r="P22" s="272">
        <f t="shared" ref="P22:P43" si="11">(1-O22)*P21</f>
        <v>1</v>
      </c>
      <c r="Q22" s="280">
        <f t="shared" ref="Q22:Q43" si="12">(1-O22/2)*P21</f>
        <v>1</v>
      </c>
      <c r="R22" s="279"/>
    </row>
    <row r="23" spans="1:18">
      <c r="A23" s="66">
        <f t="shared" si="1"/>
        <v>4</v>
      </c>
      <c r="B23" s="279">
        <f t="shared" si="2"/>
        <v>1189.76</v>
      </c>
      <c r="C23" s="278">
        <f t="shared" si="0"/>
        <v>0.9066019560751849</v>
      </c>
      <c r="D23" s="277">
        <f t="shared" si="3"/>
        <v>48</v>
      </c>
      <c r="E23" s="275">
        <f>VLOOKUP(D23,'Data for Q3'!$B$42:$D$92,3,0)</f>
        <v>1.09E-3</v>
      </c>
      <c r="F23" s="275">
        <f t="shared" si="4"/>
        <v>0.99698303188717208</v>
      </c>
      <c r="G23" s="275">
        <f t="shared" si="5"/>
        <v>0.99752698054358602</v>
      </c>
      <c r="H23" s="276">
        <f>'Solution for Q3 (d)'!H24</f>
        <v>0.05</v>
      </c>
      <c r="I23" s="275">
        <f t="shared" si="6"/>
        <v>0.85737499999999989</v>
      </c>
      <c r="J23" s="275">
        <f t="shared" si="7"/>
        <v>0.87993749999999993</v>
      </c>
      <c r="K23" s="274">
        <f t="shared" si="8"/>
        <v>70</v>
      </c>
      <c r="L23" s="272">
        <f>'Data for Q3'!C71</f>
        <v>1.175E-2</v>
      </c>
      <c r="M23" s="272">
        <f t="shared" si="9"/>
        <v>0.96805538726822504</v>
      </c>
      <c r="N23" s="272">
        <f t="shared" si="10"/>
        <v>0.97381033328411259</v>
      </c>
      <c r="O23" s="281">
        <v>0</v>
      </c>
      <c r="P23" s="272">
        <f t="shared" si="11"/>
        <v>1</v>
      </c>
      <c r="Q23" s="280">
        <f t="shared" si="12"/>
        <v>1</v>
      </c>
      <c r="R23" s="279"/>
    </row>
    <row r="24" spans="1:18">
      <c r="A24" s="66">
        <f t="shared" si="1"/>
        <v>5</v>
      </c>
      <c r="B24" s="279">
        <f t="shared" si="2"/>
        <v>1237.3504</v>
      </c>
      <c r="C24" s="278">
        <f t="shared" si="0"/>
        <v>0.87173265007229317</v>
      </c>
      <c r="D24" s="277">
        <f t="shared" si="3"/>
        <v>49</v>
      </c>
      <c r="E24" s="275">
        <f>VLOOKUP(D24,'Data for Q3'!$B$42:$D$92,3,0)</f>
        <v>1.1900000000000001E-3</v>
      </c>
      <c r="F24" s="275">
        <f t="shared" si="4"/>
        <v>0.99579662207922637</v>
      </c>
      <c r="G24" s="275">
        <f t="shared" si="5"/>
        <v>0.99638982698319922</v>
      </c>
      <c r="H24" s="276">
        <f>'Solution for Q3 (d)'!H25</f>
        <v>2.5000000000000001E-2</v>
      </c>
      <c r="I24" s="275">
        <f t="shared" si="6"/>
        <v>0.83594062499999988</v>
      </c>
      <c r="J24" s="275">
        <f t="shared" si="7"/>
        <v>0.84665781249999994</v>
      </c>
      <c r="K24" s="274">
        <f t="shared" si="8"/>
        <v>71</v>
      </c>
      <c r="L24" s="272">
        <f>'Data for Q3'!C72</f>
        <v>1.2959999999999999E-2</v>
      </c>
      <c r="M24" s="272">
        <f t="shared" si="9"/>
        <v>0.95550938944922892</v>
      </c>
      <c r="N24" s="272">
        <f t="shared" si="10"/>
        <v>0.96178238835872687</v>
      </c>
      <c r="O24" s="281">
        <v>0</v>
      </c>
      <c r="P24" s="272">
        <f t="shared" si="11"/>
        <v>1</v>
      </c>
      <c r="Q24" s="280">
        <f t="shared" si="12"/>
        <v>1</v>
      </c>
      <c r="R24" s="279"/>
    </row>
    <row r="25" spans="1:18">
      <c r="A25" s="66">
        <f t="shared" si="1"/>
        <v>6</v>
      </c>
      <c r="B25" s="279">
        <f t="shared" si="2"/>
        <v>1286.8444160000001</v>
      </c>
      <c r="C25" s="278">
        <f t="shared" si="0"/>
        <v>0.83820447122335884</v>
      </c>
      <c r="D25" s="277">
        <f t="shared" si="3"/>
        <v>50</v>
      </c>
      <c r="E25" s="275">
        <f>VLOOKUP(D25,'Data for Q3'!$B$42:$D$92,3,0)</f>
        <v>1.2899999999999999E-3</v>
      </c>
      <c r="F25" s="275">
        <f t="shared" si="4"/>
        <v>0.99451204443674412</v>
      </c>
      <c r="G25" s="275">
        <f t="shared" si="5"/>
        <v>0.9951543332579853</v>
      </c>
      <c r="H25" s="276">
        <f>'Solution for Q3 (d)'!H26</f>
        <v>2.5000000000000001E-2</v>
      </c>
      <c r="I25" s="275">
        <f t="shared" si="6"/>
        <v>0.81504210937499988</v>
      </c>
      <c r="J25" s="275">
        <f t="shared" si="7"/>
        <v>0.82549136718749994</v>
      </c>
      <c r="K25" s="274">
        <f t="shared" si="8"/>
        <v>72</v>
      </c>
      <c r="L25" s="272">
        <f>'Data for Q3'!C73</f>
        <v>1.4330000000000001E-2</v>
      </c>
      <c r="M25" s="272">
        <f t="shared" si="9"/>
        <v>0.94181693989842152</v>
      </c>
      <c r="N25" s="272">
        <f t="shared" si="10"/>
        <v>0.94866316467382517</v>
      </c>
      <c r="O25" s="281">
        <v>0</v>
      </c>
      <c r="P25" s="272">
        <f t="shared" si="11"/>
        <v>1</v>
      </c>
      <c r="Q25" s="280">
        <f t="shared" si="12"/>
        <v>1</v>
      </c>
      <c r="R25" s="279"/>
    </row>
    <row r="26" spans="1:18">
      <c r="A26" s="66">
        <f t="shared" si="1"/>
        <v>7</v>
      </c>
      <c r="B26" s="279">
        <f t="shared" si="2"/>
        <v>1338.3181926400002</v>
      </c>
      <c r="C26" s="278">
        <f t="shared" si="0"/>
        <v>0.80596583771476804</v>
      </c>
      <c r="D26" s="277">
        <f t="shared" si="3"/>
        <v>51</v>
      </c>
      <c r="E26" s="275">
        <f>VLOOKUP(D26,'Data for Q3'!$B$42:$D$92,3,0)</f>
        <v>1.41E-3</v>
      </c>
      <c r="F26" s="275">
        <f t="shared" si="4"/>
        <v>0.99310978245408832</v>
      </c>
      <c r="G26" s="275">
        <f t="shared" si="5"/>
        <v>0.99381091344541628</v>
      </c>
      <c r="H26" s="276">
        <f>'Solution for Q3 (d)'!H27</f>
        <v>2.5000000000000001E-2</v>
      </c>
      <c r="I26" s="275">
        <f t="shared" si="6"/>
        <v>0.79466605664062484</v>
      </c>
      <c r="J26" s="275">
        <f t="shared" si="7"/>
        <v>0.80485408300781247</v>
      </c>
      <c r="K26" s="274">
        <f t="shared" si="8"/>
        <v>73</v>
      </c>
      <c r="L26" s="272">
        <f>'Data for Q3'!C74</f>
        <v>1.5900000000000001E-2</v>
      </c>
      <c r="M26" s="272">
        <f t="shared" si="9"/>
        <v>0.92684205055403657</v>
      </c>
      <c r="N26" s="272">
        <f t="shared" si="10"/>
        <v>0.9343294952262291</v>
      </c>
      <c r="O26" s="281">
        <v>0</v>
      </c>
      <c r="P26" s="272">
        <f t="shared" si="11"/>
        <v>1</v>
      </c>
      <c r="Q26" s="280">
        <f t="shared" si="12"/>
        <v>1</v>
      </c>
      <c r="R26" s="279"/>
    </row>
    <row r="27" spans="1:18">
      <c r="A27" s="66">
        <f t="shared" si="1"/>
        <v>8</v>
      </c>
      <c r="B27" s="279">
        <f t="shared" si="2"/>
        <v>1391.8509203456003</v>
      </c>
      <c r="C27" s="278">
        <f t="shared" si="0"/>
        <v>0.77496715164881547</v>
      </c>
      <c r="D27" s="277">
        <f t="shared" si="3"/>
        <v>52</v>
      </c>
      <c r="E27" s="275">
        <f>VLOOKUP(D27,'Data for Q3'!$B$42:$D$92,3,0)</f>
        <v>1.5299999999999999E-3</v>
      </c>
      <c r="F27" s="275">
        <f t="shared" si="4"/>
        <v>0.99159032448693352</v>
      </c>
      <c r="G27" s="275">
        <f t="shared" si="5"/>
        <v>0.99235005347051097</v>
      </c>
      <c r="H27" s="276">
        <f>'Solution for Q3 (d)'!H28</f>
        <v>2.5000000000000001E-2</v>
      </c>
      <c r="I27" s="275">
        <f t="shared" si="6"/>
        <v>0.77479940522460922</v>
      </c>
      <c r="J27" s="275">
        <f t="shared" si="7"/>
        <v>0.78473273093261708</v>
      </c>
      <c r="K27" s="274">
        <f t="shared" si="8"/>
        <v>74</v>
      </c>
      <c r="L27" s="272">
        <f>'Data for Q3'!C75</f>
        <v>1.7670000000000002E-2</v>
      </c>
      <c r="M27" s="272">
        <f t="shared" si="9"/>
        <v>0.9104647515207468</v>
      </c>
      <c r="N27" s="272">
        <f t="shared" si="10"/>
        <v>0.91865340103739157</v>
      </c>
      <c r="O27" s="281">
        <v>0</v>
      </c>
      <c r="P27" s="272">
        <f t="shared" si="11"/>
        <v>1</v>
      </c>
      <c r="Q27" s="280">
        <f t="shared" si="12"/>
        <v>1</v>
      </c>
      <c r="R27" s="279"/>
    </row>
    <row r="28" spans="1:18">
      <c r="A28" s="66">
        <f t="shared" si="1"/>
        <v>9</v>
      </c>
      <c r="B28" s="279">
        <f t="shared" si="2"/>
        <v>1447.5249571594245</v>
      </c>
      <c r="C28" s="278">
        <f t="shared" si="0"/>
        <v>0.74516072273924561</v>
      </c>
      <c r="D28" s="277">
        <f t="shared" si="3"/>
        <v>53</v>
      </c>
      <c r="E28" s="275">
        <f>VLOOKUP(D28,'Data for Q3'!$B$42:$D$92,3,0)</f>
        <v>1.6800000000000001E-3</v>
      </c>
      <c r="F28" s="275">
        <f t="shared" si="4"/>
        <v>0.98992445274179541</v>
      </c>
      <c r="G28" s="275">
        <f t="shared" si="5"/>
        <v>0.99075738861436458</v>
      </c>
      <c r="H28" s="276">
        <f>'Solution for Q3 (d)'!H29</f>
        <v>2.5000000000000001E-2</v>
      </c>
      <c r="I28" s="275">
        <f t="shared" si="6"/>
        <v>0.75542942009399394</v>
      </c>
      <c r="J28" s="275">
        <f t="shared" si="7"/>
        <v>0.76511441265930169</v>
      </c>
      <c r="K28" s="274">
        <f t="shared" si="8"/>
        <v>75</v>
      </c>
      <c r="L28" s="272">
        <f>'Data for Q3'!C76</f>
        <v>1.9640000000000001E-2</v>
      </c>
      <c r="M28" s="272">
        <f t="shared" si="9"/>
        <v>0.89258322380087929</v>
      </c>
      <c r="N28" s="272">
        <f t="shared" si="10"/>
        <v>0.90152398766081299</v>
      </c>
      <c r="O28" s="281">
        <v>0</v>
      </c>
      <c r="P28" s="272">
        <f t="shared" si="11"/>
        <v>1</v>
      </c>
      <c r="Q28" s="280">
        <f t="shared" si="12"/>
        <v>1</v>
      </c>
      <c r="R28" s="279"/>
    </row>
    <row r="29" spans="1:18">
      <c r="A29" s="66">
        <f t="shared" si="1"/>
        <v>10</v>
      </c>
      <c r="B29" s="279">
        <f t="shared" si="2"/>
        <v>1505.4259554458015</v>
      </c>
      <c r="C29" s="278">
        <f t="shared" si="0"/>
        <v>0.71650069494158231</v>
      </c>
      <c r="D29" s="277">
        <f t="shared" si="3"/>
        <v>54</v>
      </c>
      <c r="E29" s="275">
        <f>VLOOKUP(D29,'Data for Q3'!$B$42:$D$92,3,0)</f>
        <v>1.8600000000000001E-3</v>
      </c>
      <c r="F29" s="275">
        <f t="shared" si="4"/>
        <v>0.98808319325969574</v>
      </c>
      <c r="G29" s="275">
        <f t="shared" si="5"/>
        <v>0.98900382300074552</v>
      </c>
      <c r="H29" s="276">
        <f>'Solution for Q3 (d)'!H30</f>
        <v>2.5000000000000001E-2</v>
      </c>
      <c r="I29" s="275">
        <f t="shared" si="6"/>
        <v>0.7365436845916441</v>
      </c>
      <c r="J29" s="275">
        <f t="shared" si="7"/>
        <v>0.74598655234281908</v>
      </c>
      <c r="K29" s="274">
        <f t="shared" si="8"/>
        <v>76</v>
      </c>
      <c r="L29" s="272">
        <f>'Data for Q3'!C77</f>
        <v>2.1819999999999999E-2</v>
      </c>
      <c r="M29" s="272">
        <f t="shared" si="9"/>
        <v>0.87310705785754417</v>
      </c>
      <c r="N29" s="272">
        <f t="shared" si="10"/>
        <v>0.88284514082921173</v>
      </c>
      <c r="O29" s="281">
        <v>0</v>
      </c>
      <c r="P29" s="272">
        <f t="shared" si="11"/>
        <v>1</v>
      </c>
      <c r="Q29" s="280">
        <f t="shared" si="12"/>
        <v>1</v>
      </c>
      <c r="R29" s="279"/>
    </row>
    <row r="30" spans="1:18">
      <c r="A30" s="66">
        <f t="shared" si="1"/>
        <v>11</v>
      </c>
      <c r="B30" s="279">
        <f t="shared" si="2"/>
        <v>1565.6429936636337</v>
      </c>
      <c r="C30" s="278">
        <f t="shared" si="0"/>
        <v>0.68894297590536757</v>
      </c>
      <c r="D30" s="277">
        <f t="shared" si="3"/>
        <v>55</v>
      </c>
      <c r="E30" s="275">
        <f>VLOOKUP(D30,'Data for Q3'!$B$42:$D$92,3,0)</f>
        <v>2.0699999999999998E-3</v>
      </c>
      <c r="F30" s="275">
        <f t="shared" si="4"/>
        <v>0.98603786104964819</v>
      </c>
      <c r="G30" s="275">
        <f t="shared" si="5"/>
        <v>0.98706052715467196</v>
      </c>
      <c r="H30" s="276">
        <f>'Solution for Q3 (d)'!H31</f>
        <v>2.5000000000000001E-2</v>
      </c>
      <c r="I30" s="275">
        <f t="shared" si="6"/>
        <v>0.718130092476853</v>
      </c>
      <c r="J30" s="275">
        <f t="shared" si="7"/>
        <v>0.7273368885342486</v>
      </c>
      <c r="K30" s="274">
        <f t="shared" si="8"/>
        <v>77</v>
      </c>
      <c r="L30" s="272">
        <f>'Data for Q3'!C78</f>
        <v>2.4299999999999999E-2</v>
      </c>
      <c r="M30" s="272">
        <f t="shared" si="9"/>
        <v>0.85189055635160582</v>
      </c>
      <c r="N30" s="272">
        <f t="shared" si="10"/>
        <v>0.86249880710457505</v>
      </c>
      <c r="O30" s="281">
        <v>0</v>
      </c>
      <c r="P30" s="272">
        <f t="shared" si="11"/>
        <v>1</v>
      </c>
      <c r="Q30" s="280">
        <f t="shared" si="12"/>
        <v>1</v>
      </c>
      <c r="R30" s="279"/>
    </row>
    <row r="31" spans="1:18">
      <c r="A31" s="66">
        <f t="shared" si="1"/>
        <v>12</v>
      </c>
      <c r="B31" s="279">
        <f t="shared" si="2"/>
        <v>1628.2687134101791</v>
      </c>
      <c r="C31" s="278">
        <f t="shared" si="0"/>
        <v>0.66244516913977647</v>
      </c>
      <c r="D31" s="277">
        <f t="shared" si="3"/>
        <v>56</v>
      </c>
      <c r="E31" s="275">
        <f>VLOOKUP(D31,'Data for Q3'!$B$42:$D$92,3,0)</f>
        <v>2.31E-3</v>
      </c>
      <c r="F31" s="275">
        <f t="shared" si="4"/>
        <v>0.98376011359062343</v>
      </c>
      <c r="G31" s="275">
        <f t="shared" si="5"/>
        <v>0.98489898732013581</v>
      </c>
      <c r="H31" s="276">
        <f>'Solution for Q3 (d)'!H32</f>
        <v>2.5000000000000001E-2</v>
      </c>
      <c r="I31" s="275">
        <f t="shared" si="6"/>
        <v>0.70017684016493165</v>
      </c>
      <c r="J31" s="275">
        <f t="shared" si="7"/>
        <v>0.70915346632089238</v>
      </c>
      <c r="K31" s="274">
        <f t="shared" si="8"/>
        <v>78</v>
      </c>
      <c r="L31" s="272">
        <f>'Data for Q3'!C79</f>
        <v>2.7150000000000001E-2</v>
      </c>
      <c r="M31" s="272">
        <f t="shared" si="9"/>
        <v>0.82876172774665968</v>
      </c>
      <c r="N31" s="272">
        <f t="shared" si="10"/>
        <v>0.84032614204913281</v>
      </c>
      <c r="O31" s="281">
        <v>0</v>
      </c>
      <c r="P31" s="272">
        <f t="shared" si="11"/>
        <v>1</v>
      </c>
      <c r="Q31" s="280">
        <f t="shared" si="12"/>
        <v>1</v>
      </c>
      <c r="R31" s="279"/>
    </row>
    <row r="32" spans="1:18">
      <c r="A32" s="66">
        <f t="shared" si="1"/>
        <v>13</v>
      </c>
      <c r="B32" s="279">
        <f t="shared" si="2"/>
        <v>1693.3994619465864</v>
      </c>
      <c r="C32" s="278">
        <f t="shared" si="0"/>
        <v>0.63696650878824657</v>
      </c>
      <c r="D32" s="277">
        <f t="shared" si="3"/>
        <v>57</v>
      </c>
      <c r="E32" s="275">
        <f>VLOOKUP(D32,'Data for Q3'!$B$42:$D$92,3,0)</f>
        <v>2.5799999999999998E-3</v>
      </c>
      <c r="F32" s="275">
        <f t="shared" si="4"/>
        <v>0.98122201249755958</v>
      </c>
      <c r="G32" s="275">
        <f t="shared" si="5"/>
        <v>0.98249106304409151</v>
      </c>
      <c r="H32" s="276">
        <f>'Solution for Q3 (d)'!H33</f>
        <v>2.5000000000000001E-2</v>
      </c>
      <c r="I32" s="275">
        <f t="shared" si="6"/>
        <v>0.68267241916080834</v>
      </c>
      <c r="J32" s="275">
        <f t="shared" si="7"/>
        <v>0.69142462966286999</v>
      </c>
      <c r="K32" s="274">
        <f t="shared" si="8"/>
        <v>79</v>
      </c>
      <c r="L32" s="272">
        <f>'Data for Q3'!C80</f>
        <v>3.0470000000000001E-2</v>
      </c>
      <c r="M32" s="272">
        <f t="shared" si="9"/>
        <v>0.803509357902219</v>
      </c>
      <c r="N32" s="272">
        <f t="shared" si="10"/>
        <v>0.81613554282443934</v>
      </c>
      <c r="O32" s="281">
        <v>0</v>
      </c>
      <c r="P32" s="272">
        <f t="shared" si="11"/>
        <v>1</v>
      </c>
      <c r="Q32" s="280">
        <f t="shared" si="12"/>
        <v>1</v>
      </c>
      <c r="R32" s="279"/>
    </row>
    <row r="33" spans="1:18">
      <c r="A33" s="66">
        <f t="shared" si="1"/>
        <v>14</v>
      </c>
      <c r="B33" s="279">
        <f t="shared" si="2"/>
        <v>1761.1354404244498</v>
      </c>
      <c r="C33" s="278">
        <f t="shared" si="0"/>
        <v>0.61246779691177555</v>
      </c>
      <c r="D33" s="277">
        <f t="shared" si="3"/>
        <v>58</v>
      </c>
      <c r="E33" s="275">
        <f>VLOOKUP(D33,'Data for Q3'!$B$42:$D$92,3,0)</f>
        <v>2.8700000000000002E-3</v>
      </c>
      <c r="F33" s="275">
        <f t="shared" si="4"/>
        <v>0.97840590532169158</v>
      </c>
      <c r="G33" s="275">
        <f t="shared" si="5"/>
        <v>0.97981395890962564</v>
      </c>
      <c r="H33" s="276">
        <f>'Solution for Q3 (d)'!H34</f>
        <v>2.5000000000000001E-2</v>
      </c>
      <c r="I33" s="275">
        <f t="shared" si="6"/>
        <v>0.66560560868178809</v>
      </c>
      <c r="J33" s="275">
        <f t="shared" si="7"/>
        <v>0.67413901392129827</v>
      </c>
      <c r="K33" s="274">
        <f t="shared" si="8"/>
        <v>80</v>
      </c>
      <c r="L33" s="272">
        <f>'Data for Q3'!C81</f>
        <v>3.4349999999999999E-2</v>
      </c>
      <c r="M33" s="272">
        <f t="shared" si="9"/>
        <v>0.77590881145827784</v>
      </c>
      <c r="N33" s="272">
        <f t="shared" si="10"/>
        <v>0.78970908468024836</v>
      </c>
      <c r="O33" s="281">
        <v>0</v>
      </c>
      <c r="P33" s="272">
        <f t="shared" si="11"/>
        <v>1</v>
      </c>
      <c r="Q33" s="280">
        <f t="shared" si="12"/>
        <v>1</v>
      </c>
      <c r="R33" s="279"/>
    </row>
    <row r="34" spans="1:18">
      <c r="A34" s="66">
        <f t="shared" si="1"/>
        <v>15</v>
      </c>
      <c r="B34" s="279">
        <f t="shared" si="2"/>
        <v>1831.580858041428</v>
      </c>
      <c r="C34" s="278">
        <f t="shared" si="0"/>
        <v>0.58891134318439953</v>
      </c>
      <c r="D34" s="277">
        <f t="shared" si="3"/>
        <v>59</v>
      </c>
      <c r="E34" s="275">
        <f>VLOOKUP(D34,'Data for Q3'!$B$42:$D$92,3,0)</f>
        <v>3.1800000000000001E-3</v>
      </c>
      <c r="F34" s="275">
        <f t="shared" si="4"/>
        <v>0.97529457454276869</v>
      </c>
      <c r="G34" s="275">
        <f t="shared" si="5"/>
        <v>0.97685023993223008</v>
      </c>
      <c r="H34" s="276">
        <f>'Solution for Q3 (d)'!H35</f>
        <v>2.5000000000000001E-2</v>
      </c>
      <c r="I34" s="275">
        <f t="shared" si="6"/>
        <v>0.64896546846474334</v>
      </c>
      <c r="J34" s="275">
        <f t="shared" si="7"/>
        <v>0.65728553857326577</v>
      </c>
      <c r="K34" s="274">
        <f t="shared" si="8"/>
        <v>81</v>
      </c>
      <c r="L34" s="272">
        <f>'Data for Q3'!C82</f>
        <v>3.8899999999999997E-2</v>
      </c>
      <c r="M34" s="272">
        <f t="shared" si="9"/>
        <v>0.74572595869255076</v>
      </c>
      <c r="N34" s="272">
        <f t="shared" si="10"/>
        <v>0.76081738507541441</v>
      </c>
      <c r="O34" s="281">
        <v>0</v>
      </c>
      <c r="P34" s="272">
        <f t="shared" si="11"/>
        <v>1</v>
      </c>
      <c r="Q34" s="280">
        <f t="shared" si="12"/>
        <v>1</v>
      </c>
      <c r="R34" s="279"/>
    </row>
    <row r="35" spans="1:18">
      <c r="A35" s="66">
        <f t="shared" si="1"/>
        <v>16</v>
      </c>
      <c r="B35" s="279">
        <f t="shared" si="2"/>
        <v>1904.8440923630851</v>
      </c>
      <c r="C35" s="278">
        <f t="shared" si="0"/>
        <v>0.56626090690807651</v>
      </c>
      <c r="D35" s="277">
        <f t="shared" si="3"/>
        <v>60</v>
      </c>
      <c r="E35" s="275">
        <f>VLOOKUP(D35,'Data for Q3'!$B$42:$D$92,3,0)</f>
        <v>3.5000000000000001E-3</v>
      </c>
      <c r="F35" s="275">
        <f t="shared" si="4"/>
        <v>0.9718810435318691</v>
      </c>
      <c r="G35" s="275">
        <f t="shared" si="5"/>
        <v>0.97358780903731879</v>
      </c>
      <c r="H35" s="276">
        <f>'Solution for Q3 (d)'!H36</f>
        <v>0</v>
      </c>
      <c r="I35" s="275">
        <f t="shared" si="6"/>
        <v>0.64896546846474334</v>
      </c>
      <c r="J35" s="275">
        <f t="shared" si="7"/>
        <v>0.64896546846474334</v>
      </c>
      <c r="K35" s="274">
        <f t="shared" si="8"/>
        <v>82</v>
      </c>
      <c r="L35" s="272">
        <f>'Data for Q3'!C83</f>
        <v>4.4220000000000002E-2</v>
      </c>
      <c r="M35" s="272">
        <f t="shared" si="9"/>
        <v>0.71274995679916608</v>
      </c>
      <c r="N35" s="272">
        <f t="shared" si="10"/>
        <v>0.72923795774585853</v>
      </c>
      <c r="O35" s="281">
        <v>0</v>
      </c>
      <c r="P35" s="272">
        <f t="shared" si="11"/>
        <v>1</v>
      </c>
      <c r="Q35" s="280">
        <f t="shared" si="12"/>
        <v>1</v>
      </c>
      <c r="R35" s="279"/>
    </row>
    <row r="36" spans="1:18">
      <c r="A36" s="66">
        <f t="shared" si="1"/>
        <v>17</v>
      </c>
      <c r="B36" s="279">
        <f t="shared" si="2"/>
        <v>1981.0378560576087</v>
      </c>
      <c r="C36" s="278">
        <f t="shared" si="0"/>
        <v>0.54448164125776588</v>
      </c>
      <c r="D36" s="277">
        <f t="shared" si="3"/>
        <v>61</v>
      </c>
      <c r="E36" s="275">
        <f>VLOOKUP(D36,'Data for Q3'!$B$42:$D$92,3,0)</f>
        <v>3.8400000000000001E-3</v>
      </c>
      <c r="F36" s="275">
        <f t="shared" si="4"/>
        <v>0.96814902032470673</v>
      </c>
      <c r="G36" s="275">
        <f t="shared" si="5"/>
        <v>0.97001503192828786</v>
      </c>
      <c r="H36" s="276">
        <f>'Solution for Q3 (d)'!H37</f>
        <v>0</v>
      </c>
      <c r="I36" s="275">
        <f t="shared" si="6"/>
        <v>0.64896546846474334</v>
      </c>
      <c r="J36" s="275">
        <f t="shared" si="7"/>
        <v>0.64896546846474334</v>
      </c>
      <c r="K36" s="274">
        <f t="shared" si="8"/>
        <v>83</v>
      </c>
      <c r="L36" s="272">
        <f>'Data for Q3'!C84</f>
        <v>5.0389999999999997E-2</v>
      </c>
      <c r="M36" s="272">
        <f t="shared" si="9"/>
        <v>0.67683448647605604</v>
      </c>
      <c r="N36" s="272">
        <f t="shared" si="10"/>
        <v>0.69479222163761112</v>
      </c>
      <c r="O36" s="281">
        <v>0</v>
      </c>
      <c r="P36" s="272">
        <f t="shared" si="11"/>
        <v>1</v>
      </c>
      <c r="Q36" s="280">
        <f t="shared" si="12"/>
        <v>1</v>
      </c>
      <c r="R36" s="279"/>
    </row>
    <row r="37" spans="1:18">
      <c r="A37" s="66">
        <f t="shared" si="1"/>
        <v>18</v>
      </c>
      <c r="B37" s="279">
        <f t="shared" si="2"/>
        <v>2060.2793702999129</v>
      </c>
      <c r="C37" s="278">
        <f t="shared" si="0"/>
        <v>0.52354003967092866</v>
      </c>
      <c r="D37" s="277">
        <f t="shared" si="3"/>
        <v>62</v>
      </c>
      <c r="E37" s="275">
        <f>VLOOKUP(D37,'Data for Q3'!$B$42:$D$92,3,0)</f>
        <v>4.2100000000000002E-3</v>
      </c>
      <c r="F37" s="275">
        <f t="shared" si="4"/>
        <v>0.96407311294913967</v>
      </c>
      <c r="G37" s="275">
        <f t="shared" si="5"/>
        <v>0.96611106663692325</v>
      </c>
      <c r="H37" s="276">
        <f>'Solution for Q3 (d)'!H38</f>
        <v>0</v>
      </c>
      <c r="I37" s="275">
        <f t="shared" si="6"/>
        <v>0.64896546846474334</v>
      </c>
      <c r="J37" s="275">
        <f t="shared" si="7"/>
        <v>0.64896546846474334</v>
      </c>
      <c r="K37" s="274">
        <f t="shared" si="8"/>
        <v>84</v>
      </c>
      <c r="L37" s="272">
        <f>'Data for Q3'!C85</f>
        <v>5.7489999999999999E-2</v>
      </c>
      <c r="M37" s="272">
        <f t="shared" si="9"/>
        <v>0.63792327184854758</v>
      </c>
      <c r="N37" s="272">
        <f t="shared" si="10"/>
        <v>0.65737887916230175</v>
      </c>
      <c r="O37" s="281">
        <v>0</v>
      </c>
      <c r="P37" s="272">
        <f t="shared" si="11"/>
        <v>1</v>
      </c>
      <c r="Q37" s="280">
        <f t="shared" si="12"/>
        <v>1</v>
      </c>
      <c r="R37" s="279"/>
    </row>
    <row r="38" spans="1:18">
      <c r="A38" s="66">
        <f t="shared" si="1"/>
        <v>19</v>
      </c>
      <c r="B38" s="279">
        <f t="shared" si="2"/>
        <v>2142.6905451119096</v>
      </c>
      <c r="C38" s="278">
        <f t="shared" si="0"/>
        <v>0.50340388429896976</v>
      </c>
      <c r="D38" s="277">
        <f t="shared" si="3"/>
        <v>63</v>
      </c>
      <c r="E38" s="275">
        <f>VLOOKUP(D38,'Data for Q3'!$B$42:$D$92,3,0)</f>
        <v>4.64E-3</v>
      </c>
      <c r="F38" s="275">
        <f t="shared" si="4"/>
        <v>0.95959981370505565</v>
      </c>
      <c r="G38" s="275">
        <f t="shared" si="5"/>
        <v>0.96183646332709771</v>
      </c>
      <c r="H38" s="276">
        <f>'Solution for Q3 (d)'!H39</f>
        <v>0</v>
      </c>
      <c r="I38" s="275">
        <f t="shared" si="6"/>
        <v>0.64896546846474334</v>
      </c>
      <c r="J38" s="275">
        <f t="shared" si="7"/>
        <v>0.64896546846474334</v>
      </c>
      <c r="K38" s="274">
        <f t="shared" si="8"/>
        <v>85</v>
      </c>
      <c r="L38" s="272">
        <f>'Data for Q3'!C86</f>
        <v>6.5570000000000003E-2</v>
      </c>
      <c r="M38" s="272">
        <f t="shared" si="9"/>
        <v>0.59609464291343828</v>
      </c>
      <c r="N38" s="272">
        <f t="shared" si="10"/>
        <v>0.61700895738099293</v>
      </c>
      <c r="O38" s="281">
        <v>0</v>
      </c>
      <c r="P38" s="272">
        <f t="shared" si="11"/>
        <v>1</v>
      </c>
      <c r="Q38" s="280">
        <f t="shared" si="12"/>
        <v>1</v>
      </c>
      <c r="R38" s="279"/>
    </row>
    <row r="39" spans="1:18">
      <c r="A39" s="66">
        <f t="shared" si="1"/>
        <v>20</v>
      </c>
      <c r="B39" s="279">
        <f t="shared" si="2"/>
        <v>2228.3981669163859</v>
      </c>
      <c r="C39" s="278">
        <f t="shared" si="0"/>
        <v>0.48404219644131707</v>
      </c>
      <c r="D39" s="277">
        <f t="shared" si="3"/>
        <v>64</v>
      </c>
      <c r="E39" s="275">
        <f>VLOOKUP(D39,'Data for Q3'!$B$42:$D$92,3,0)</f>
        <v>5.11E-3</v>
      </c>
      <c r="F39" s="275">
        <f t="shared" si="4"/>
        <v>0.9546962586570229</v>
      </c>
      <c r="G39" s="275">
        <f t="shared" si="5"/>
        <v>0.95714803618103927</v>
      </c>
      <c r="H39" s="276">
        <f>'Solution for Q3 (d)'!H40</f>
        <v>0</v>
      </c>
      <c r="I39" s="275">
        <f t="shared" si="6"/>
        <v>0.64896546846474334</v>
      </c>
      <c r="J39" s="275">
        <f t="shared" si="7"/>
        <v>0.64896546846474334</v>
      </c>
      <c r="K39" s="274">
        <f t="shared" si="8"/>
        <v>86</v>
      </c>
      <c r="L39" s="272">
        <f>'Data for Q3'!C87</f>
        <v>7.4700000000000003E-2</v>
      </c>
      <c r="M39" s="272">
        <f t="shared" si="9"/>
        <v>0.55156637308780443</v>
      </c>
      <c r="N39" s="272">
        <f t="shared" si="10"/>
        <v>0.57383050800062141</v>
      </c>
      <c r="O39" s="281">
        <v>0</v>
      </c>
      <c r="P39" s="272">
        <f t="shared" si="11"/>
        <v>1</v>
      </c>
      <c r="Q39" s="280">
        <f t="shared" si="12"/>
        <v>1</v>
      </c>
      <c r="R39" s="279"/>
    </row>
    <row r="40" spans="1:18">
      <c r="A40" s="66">
        <f t="shared" si="1"/>
        <v>21</v>
      </c>
      <c r="B40" s="279">
        <f t="shared" si="2"/>
        <v>2317.5340935930412</v>
      </c>
      <c r="C40" s="278">
        <f t="shared" si="0"/>
        <v>0.46542518888588186</v>
      </c>
      <c r="D40" s="277">
        <f t="shared" si="3"/>
        <v>65</v>
      </c>
      <c r="E40" s="275">
        <f>VLOOKUP(D40,'Data for Q3'!$B$42:$D$92,3,0)</f>
        <v>5.62E-3</v>
      </c>
      <c r="F40" s="275">
        <f t="shared" si="4"/>
        <v>0.94933086568337044</v>
      </c>
      <c r="G40" s="275">
        <f t="shared" si="5"/>
        <v>0.95201356217019673</v>
      </c>
      <c r="H40" s="276">
        <f>'Solution for Q3 (d)'!H41</f>
        <v>0</v>
      </c>
      <c r="I40" s="275">
        <f t="shared" si="6"/>
        <v>0.64896546846474334</v>
      </c>
      <c r="J40" s="275">
        <f t="shared" si="7"/>
        <v>0.64896546846474334</v>
      </c>
      <c r="K40" s="274">
        <f t="shared" si="8"/>
        <v>87</v>
      </c>
      <c r="L40" s="272">
        <f>'Data for Q3'!C88</f>
        <v>8.4949999999999998E-2</v>
      </c>
      <c r="M40" s="272">
        <f t="shared" si="9"/>
        <v>0.50471080969399551</v>
      </c>
      <c r="N40" s="272">
        <f t="shared" si="10"/>
        <v>0.52813859139089991</v>
      </c>
      <c r="O40" s="281">
        <v>0</v>
      </c>
      <c r="P40" s="272">
        <f t="shared" si="11"/>
        <v>1</v>
      </c>
      <c r="Q40" s="280">
        <f t="shared" si="12"/>
        <v>1</v>
      </c>
      <c r="R40" s="279"/>
    </row>
    <row r="41" spans="1:18">
      <c r="A41" s="66">
        <f t="shared" si="1"/>
        <v>22</v>
      </c>
      <c r="B41" s="279">
        <f t="shared" si="2"/>
        <v>2410.2354573367629</v>
      </c>
      <c r="C41" s="278">
        <f t="shared" si="0"/>
        <v>0.44752422008257869</v>
      </c>
      <c r="D41" s="277">
        <f t="shared" si="3"/>
        <v>66</v>
      </c>
      <c r="E41" s="275">
        <f>VLOOKUP(D41,'Data for Q3'!$B$42:$D$92,3,0)</f>
        <v>6.1999999999999998E-3</v>
      </c>
      <c r="F41" s="275">
        <f t="shared" si="4"/>
        <v>0.94344501431613359</v>
      </c>
      <c r="G41" s="275">
        <f t="shared" si="5"/>
        <v>0.94638793999975201</v>
      </c>
      <c r="H41" s="276">
        <f>'Solution for Q3 (d)'!H42</f>
        <v>0</v>
      </c>
      <c r="I41" s="275">
        <f t="shared" si="6"/>
        <v>0.64896546846474334</v>
      </c>
      <c r="J41" s="275">
        <f t="shared" si="7"/>
        <v>0.64896546846474334</v>
      </c>
      <c r="K41" s="274">
        <f t="shared" si="8"/>
        <v>88</v>
      </c>
      <c r="L41" s="272">
        <f>'Data for Q3'!C89</f>
        <v>9.6379999999999993E-2</v>
      </c>
      <c r="M41" s="272">
        <f t="shared" si="9"/>
        <v>0.45606678185568822</v>
      </c>
      <c r="N41" s="272">
        <f t="shared" si="10"/>
        <v>0.48038879577484189</v>
      </c>
      <c r="O41" s="281">
        <v>0</v>
      </c>
      <c r="P41" s="272">
        <f t="shared" si="11"/>
        <v>1</v>
      </c>
      <c r="Q41" s="280">
        <f t="shared" si="12"/>
        <v>1</v>
      </c>
      <c r="R41" s="279"/>
    </row>
    <row r="42" spans="1:18">
      <c r="A42" s="66">
        <f t="shared" si="1"/>
        <v>23</v>
      </c>
      <c r="B42" s="279">
        <f t="shared" si="2"/>
        <v>2506.6448756302334</v>
      </c>
      <c r="C42" s="278">
        <f t="shared" si="0"/>
        <v>0.43031175007940259</v>
      </c>
      <c r="D42" s="277">
        <f t="shared" si="3"/>
        <v>67</v>
      </c>
      <c r="E42" s="275">
        <f>VLOOKUP(D42,'Data for Q3'!$B$42:$D$92,3,0)</f>
        <v>6.8599999999999998E-3</v>
      </c>
      <c r="F42" s="275">
        <f t="shared" si="4"/>
        <v>0.93697298151792496</v>
      </c>
      <c r="G42" s="275">
        <f t="shared" si="5"/>
        <v>0.94020899791702917</v>
      </c>
      <c r="H42" s="276">
        <f>'Solution for Q3 (d)'!H43</f>
        <v>0</v>
      </c>
      <c r="I42" s="275">
        <f t="shared" si="6"/>
        <v>0.64896546846474334</v>
      </c>
      <c r="J42" s="275">
        <f t="shared" si="7"/>
        <v>0.64896546846474334</v>
      </c>
      <c r="K42" s="274">
        <f t="shared" si="8"/>
        <v>89</v>
      </c>
      <c r="L42" s="272">
        <f>'Data for Q3'!C90</f>
        <v>0.1091</v>
      </c>
      <c r="M42" s="272">
        <f t="shared" si="9"/>
        <v>0.40630989595523265</v>
      </c>
      <c r="N42" s="272">
        <f t="shared" si="10"/>
        <v>0.43118833890546043</v>
      </c>
      <c r="O42" s="281">
        <v>0</v>
      </c>
      <c r="P42" s="272">
        <f t="shared" si="11"/>
        <v>1</v>
      </c>
      <c r="Q42" s="280">
        <f t="shared" si="12"/>
        <v>1</v>
      </c>
      <c r="R42" s="279"/>
    </row>
    <row r="43" spans="1:18">
      <c r="A43" s="66">
        <f t="shared" si="1"/>
        <v>24</v>
      </c>
      <c r="B43" s="279">
        <f t="shared" si="2"/>
        <v>2606.910670655443</v>
      </c>
      <c r="C43" s="278">
        <f t="shared" si="0"/>
        <v>0.41376129815327167</v>
      </c>
      <c r="D43" s="277">
        <f t="shared" si="3"/>
        <v>68</v>
      </c>
      <c r="E43" s="275">
        <f>VLOOKUP(D43,'Data for Q3'!$B$42:$D$92,3,0)</f>
        <v>7.6099999999999996E-3</v>
      </c>
      <c r="F43" s="275">
        <f t="shared" si="4"/>
        <v>0.92984261712857352</v>
      </c>
      <c r="G43" s="275">
        <f t="shared" si="5"/>
        <v>0.93340779932324935</v>
      </c>
      <c r="H43" s="276">
        <f>'Solution for Q3 (d)'!H44</f>
        <v>0</v>
      </c>
      <c r="I43" s="275">
        <f t="shared" si="6"/>
        <v>0.64896546846474334</v>
      </c>
      <c r="J43" s="275">
        <f t="shared" si="7"/>
        <v>0.64896546846474334</v>
      </c>
      <c r="K43" s="274">
        <f t="shared" si="8"/>
        <v>90</v>
      </c>
      <c r="L43" s="272">
        <f>'Data for Q3'!C91</f>
        <v>0.12317</v>
      </c>
      <c r="M43" s="272">
        <f t="shared" si="9"/>
        <v>0.35626470607042665</v>
      </c>
      <c r="N43" s="272">
        <f t="shared" si="10"/>
        <v>0.38128730101282965</v>
      </c>
      <c r="O43" s="281">
        <v>0</v>
      </c>
      <c r="P43" s="272">
        <f t="shared" si="11"/>
        <v>1</v>
      </c>
      <c r="Q43" s="280">
        <f t="shared" si="12"/>
        <v>1</v>
      </c>
      <c r="R43" s="279"/>
    </row>
    <row r="44" spans="1:18">
      <c r="A44" s="66">
        <f t="shared" si="1"/>
        <v>25</v>
      </c>
      <c r="B44" s="279">
        <f t="shared" si="2"/>
        <v>2711.1870974816607</v>
      </c>
      <c r="C44" s="278">
        <f t="shared" si="0"/>
        <v>0.39784740207045349</v>
      </c>
      <c r="D44" s="277">
        <f t="shared" si="3"/>
        <v>69</v>
      </c>
      <c r="E44" s="275">
        <f>VLOOKUP(D44,'Data for Q3'!$B$42:$D$92,3,0)</f>
        <v>8.4399999999999996E-3</v>
      </c>
      <c r="F44" s="275">
        <f t="shared" si="4"/>
        <v>0.92199474544000837</v>
      </c>
      <c r="G44" s="275">
        <f t="shared" si="5"/>
        <v>0.92591868128429089</v>
      </c>
      <c r="H44" s="276">
        <f>'Solution for Q3 (d)'!H45</f>
        <v>0</v>
      </c>
      <c r="I44" s="275">
        <f t="shared" si="6"/>
        <v>0.64896546846474334</v>
      </c>
      <c r="J44" s="275">
        <f t="shared" si="7"/>
        <v>0.64896546846474334</v>
      </c>
      <c r="K44" s="274"/>
      <c r="L44" s="272"/>
      <c r="M44" s="272"/>
      <c r="N44" s="272"/>
      <c r="O44" s="281"/>
      <c r="P44" s="272"/>
      <c r="Q44" s="280"/>
      <c r="R44" s="279"/>
    </row>
    <row r="45" spans="1:18">
      <c r="A45" s="66">
        <f t="shared" si="1"/>
        <v>26</v>
      </c>
      <c r="B45" s="279">
        <f t="shared" si="2"/>
        <v>2819.6345813809271</v>
      </c>
      <c r="C45" s="278">
        <f t="shared" si="0"/>
        <v>0.38254557891389762</v>
      </c>
      <c r="D45" s="277">
        <f t="shared" si="3"/>
        <v>70</v>
      </c>
      <c r="E45" s="275">
        <f>VLOOKUP(D45,'Data for Q3'!$B$42:$D$92,3,0)</f>
        <v>9.3399999999999993E-3</v>
      </c>
      <c r="F45" s="275">
        <f t="shared" si="4"/>
        <v>0.91338331451759869</v>
      </c>
      <c r="G45" s="275">
        <f t="shared" si="5"/>
        <v>0.91768902997880353</v>
      </c>
      <c r="H45" s="276">
        <f>'Solution for Q3 (d)'!H46</f>
        <v>0</v>
      </c>
      <c r="I45" s="275">
        <f t="shared" si="6"/>
        <v>0.64896546846474334</v>
      </c>
      <c r="J45" s="275">
        <f t="shared" si="7"/>
        <v>0.64896546846474334</v>
      </c>
      <c r="K45" s="274"/>
      <c r="L45" s="272"/>
      <c r="M45" s="272"/>
      <c r="N45" s="272"/>
      <c r="O45" s="273"/>
      <c r="P45" s="272"/>
      <c r="Q45" s="280"/>
      <c r="R45" s="279"/>
    </row>
    <row r="46" spans="1:18">
      <c r="A46" s="8">
        <f t="shared" si="1"/>
        <v>27</v>
      </c>
      <c r="B46" s="279">
        <f t="shared" si="2"/>
        <v>2932.4199646361644</v>
      </c>
      <c r="C46" s="278">
        <f t="shared" si="0"/>
        <v>0.36783228741720919</v>
      </c>
      <c r="D46" s="277">
        <f t="shared" si="3"/>
        <v>71</v>
      </c>
      <c r="E46" s="275">
        <f>VLOOKUP(D46,'Data for Q3'!$B$42:$D$92,3,0)</f>
        <v>1.031E-2</v>
      </c>
      <c r="F46" s="275">
        <f t="shared" si="4"/>
        <v>0.9039663325449222</v>
      </c>
      <c r="G46" s="275">
        <f t="shared" si="5"/>
        <v>0.9086748235312605</v>
      </c>
      <c r="H46" s="276">
        <f>'Solution for Q3 (d)'!H47</f>
        <v>0</v>
      </c>
      <c r="I46" s="275">
        <f t="shared" si="6"/>
        <v>0.64896546846474334</v>
      </c>
      <c r="J46" s="275">
        <f t="shared" si="7"/>
        <v>0.64896546846474334</v>
      </c>
      <c r="K46" s="274"/>
      <c r="L46" s="272"/>
      <c r="M46" s="272"/>
      <c r="N46" s="272"/>
      <c r="O46" s="273"/>
      <c r="P46" s="272"/>
      <c r="Q46" s="272"/>
      <c r="R46" s="279"/>
    </row>
    <row r="47" spans="1:18">
      <c r="A47" s="8">
        <f t="shared" si="1"/>
        <v>28</v>
      </c>
      <c r="B47" s="279">
        <f t="shared" si="2"/>
        <v>3049.716763221611</v>
      </c>
      <c r="C47" s="278">
        <f t="shared" si="0"/>
        <v>0.35368489174731654</v>
      </c>
      <c r="D47" s="277">
        <f t="shared" si="3"/>
        <v>72</v>
      </c>
      <c r="E47" s="275">
        <f>VLOOKUP(D47,'Data for Q3'!$B$42:$D$92,3,0)</f>
        <v>1.1339999999999999E-2</v>
      </c>
      <c r="F47" s="275">
        <f t="shared" si="4"/>
        <v>0.89371535433386273</v>
      </c>
      <c r="G47" s="275">
        <f t="shared" si="5"/>
        <v>0.89884084343939252</v>
      </c>
      <c r="H47" s="276">
        <f>'Solution for Q3 (d)'!H48</f>
        <v>0</v>
      </c>
      <c r="I47" s="275">
        <f t="shared" si="6"/>
        <v>0.64896546846474334</v>
      </c>
      <c r="J47" s="275">
        <f t="shared" si="7"/>
        <v>0.64896546846474334</v>
      </c>
      <c r="K47" s="274"/>
      <c r="L47" s="272"/>
      <c r="M47" s="272"/>
      <c r="N47" s="272"/>
      <c r="O47" s="273"/>
      <c r="P47" s="272"/>
      <c r="Q47" s="272"/>
      <c r="R47" s="279"/>
    </row>
    <row r="48" spans="1:18">
      <c r="A48" s="8">
        <f t="shared" si="1"/>
        <v>29</v>
      </c>
      <c r="B48" s="279">
        <f t="shared" si="2"/>
        <v>3171.7054337504755</v>
      </c>
      <c r="C48" s="278">
        <f t="shared" si="0"/>
        <v>0.34008162668011205</v>
      </c>
      <c r="D48" s="277">
        <f t="shared" si="3"/>
        <v>73</v>
      </c>
      <c r="E48" s="275">
        <f>VLOOKUP(D48,'Data for Q3'!$B$42:$D$92,3,0)</f>
        <v>1.244E-2</v>
      </c>
      <c r="F48" s="275">
        <f t="shared" si="4"/>
        <v>0.88259753532594942</v>
      </c>
      <c r="G48" s="275">
        <f t="shared" si="5"/>
        <v>0.88815644482990608</v>
      </c>
      <c r="H48" s="276">
        <f>'Solution for Q3 (d)'!H49</f>
        <v>0</v>
      </c>
      <c r="I48" s="275">
        <f t="shared" si="6"/>
        <v>0.64896546846474334</v>
      </c>
      <c r="J48" s="275">
        <f t="shared" si="7"/>
        <v>0.64896546846474334</v>
      </c>
      <c r="K48" s="274"/>
      <c r="L48" s="272"/>
      <c r="M48" s="272"/>
      <c r="N48" s="272"/>
      <c r="O48" s="273"/>
      <c r="P48" s="272"/>
      <c r="Q48" s="272"/>
      <c r="R48" s="279"/>
    </row>
    <row r="49" spans="1:18">
      <c r="A49" s="8">
        <f t="shared" si="1"/>
        <v>30</v>
      </c>
      <c r="B49" s="279">
        <f t="shared" si="2"/>
        <v>3298.5736511004948</v>
      </c>
      <c r="C49" s="278">
        <f t="shared" si="0"/>
        <v>0.3270015641154923</v>
      </c>
      <c r="D49" s="277">
        <f t="shared" si="3"/>
        <v>74</v>
      </c>
      <c r="E49" s="275">
        <f>VLOOKUP(D49,'Data for Q3'!$B$42:$D$92,3,0)</f>
        <v>1.366E-2</v>
      </c>
      <c r="F49" s="275">
        <f t="shared" si="4"/>
        <v>0.87054125299339691</v>
      </c>
      <c r="G49" s="275">
        <f t="shared" si="5"/>
        <v>0.87656939415967317</v>
      </c>
      <c r="H49" s="276">
        <f>'Solution for Q3 (d)'!H50</f>
        <v>0</v>
      </c>
      <c r="I49" s="275">
        <f t="shared" si="6"/>
        <v>0.64896546846474334</v>
      </c>
      <c r="J49" s="275">
        <f t="shared" si="7"/>
        <v>0.64896546846474334</v>
      </c>
      <c r="K49" s="274"/>
      <c r="L49" s="272"/>
      <c r="M49" s="272"/>
      <c r="N49" s="272"/>
      <c r="O49" s="273"/>
      <c r="P49" s="272"/>
      <c r="Q49" s="272"/>
      <c r="R49" s="279"/>
    </row>
    <row r="50" spans="1:18">
      <c r="A50" s="8">
        <f t="shared" si="1"/>
        <v>31</v>
      </c>
      <c r="B50" s="279">
        <f t="shared" si="2"/>
        <v>3430.5165971445149</v>
      </c>
      <c r="C50" s="278">
        <f t="shared" si="0"/>
        <v>0.31442458088028108</v>
      </c>
      <c r="D50" s="277">
        <f t="shared" si="3"/>
        <v>75</v>
      </c>
      <c r="E50" s="275">
        <f>VLOOKUP(D50,'Data for Q3'!$B$42:$D$92,3,0)</f>
        <v>1.502E-2</v>
      </c>
      <c r="F50" s="275">
        <f t="shared" si="4"/>
        <v>0.85746572337343607</v>
      </c>
      <c r="G50" s="275">
        <f t="shared" si="5"/>
        <v>0.86400348818341643</v>
      </c>
      <c r="H50" s="276">
        <f>'Solution for Q3 (d)'!H51</f>
        <v>0</v>
      </c>
      <c r="I50" s="275">
        <f t="shared" si="6"/>
        <v>0.64896546846474334</v>
      </c>
      <c r="J50" s="275">
        <f t="shared" si="7"/>
        <v>0.64896546846474334</v>
      </c>
      <c r="K50" s="274"/>
      <c r="L50" s="272"/>
      <c r="M50" s="272"/>
      <c r="N50" s="272"/>
      <c r="O50" s="273"/>
      <c r="P50" s="272"/>
      <c r="Q50" s="272"/>
      <c r="R50" s="279"/>
    </row>
    <row r="51" spans="1:18">
      <c r="A51" s="8">
        <f t="shared" si="1"/>
        <v>32</v>
      </c>
      <c r="B51" s="279">
        <f t="shared" si="2"/>
        <v>3567.7372610302955</v>
      </c>
      <c r="C51" s="278">
        <f t="shared" si="0"/>
        <v>0.30233132776950106</v>
      </c>
      <c r="D51" s="277">
        <f t="shared" si="3"/>
        <v>76</v>
      </c>
      <c r="E51" s="275">
        <f>VLOOKUP(D51,'Data for Q3'!$B$42:$D$92,3,0)</f>
        <v>1.6559999999999998E-2</v>
      </c>
      <c r="F51" s="275">
        <f t="shared" si="4"/>
        <v>0.843266090994372</v>
      </c>
      <c r="G51" s="275">
        <f t="shared" si="5"/>
        <v>0.85036590718390404</v>
      </c>
      <c r="H51" s="276">
        <f>'Solution for Q3 (d)'!H52</f>
        <v>0</v>
      </c>
      <c r="I51" s="275">
        <f t="shared" si="6"/>
        <v>0.64896546846474334</v>
      </c>
      <c r="J51" s="275">
        <f t="shared" si="7"/>
        <v>0.64896546846474334</v>
      </c>
      <c r="K51" s="274"/>
      <c r="L51" s="272"/>
      <c r="M51" s="272"/>
      <c r="N51" s="272"/>
      <c r="O51" s="273"/>
      <c r="P51" s="272"/>
      <c r="Q51" s="272"/>
      <c r="R51" s="279"/>
    </row>
    <row r="52" spans="1:18">
      <c r="A52" s="8">
        <f t="shared" si="1"/>
        <v>33</v>
      </c>
      <c r="B52" s="279">
        <f t="shared" si="2"/>
        <v>3710.4467514715075</v>
      </c>
      <c r="C52" s="278">
        <f t="shared" si="0"/>
        <v>0.29070319977836634</v>
      </c>
      <c r="D52" s="277">
        <f t="shared" si="3"/>
        <v>77</v>
      </c>
      <c r="E52" s="275">
        <f>VLOOKUP(D52,'Data for Q3'!$B$42:$D$92,3,0)</f>
        <v>1.8339999999999999E-2</v>
      </c>
      <c r="F52" s="275">
        <f t="shared" si="4"/>
        <v>0.82780059088553515</v>
      </c>
      <c r="G52" s="275">
        <f t="shared" si="5"/>
        <v>0.83553334093995357</v>
      </c>
      <c r="H52" s="276">
        <f>'Solution for Q3 (d)'!H53</f>
        <v>0</v>
      </c>
      <c r="I52" s="275">
        <f t="shared" si="6"/>
        <v>0.64896546846474334</v>
      </c>
      <c r="J52" s="275">
        <f t="shared" si="7"/>
        <v>0.64896546846474334</v>
      </c>
      <c r="K52" s="274"/>
      <c r="L52" s="272"/>
      <c r="M52" s="272"/>
      <c r="N52" s="272"/>
      <c r="O52" s="273"/>
      <c r="P52" s="272"/>
      <c r="Q52" s="272"/>
      <c r="R52" s="279"/>
    </row>
    <row r="53" spans="1:18">
      <c r="A53" s="8">
        <f t="shared" si="1"/>
        <v>34</v>
      </c>
      <c r="B53" s="279">
        <f t="shared" si="2"/>
        <v>3858.8646215303679</v>
      </c>
      <c r="C53" s="278">
        <f t="shared" si="0"/>
        <v>0.27952230747919848</v>
      </c>
      <c r="D53" s="277">
        <f t="shared" si="3"/>
        <v>78</v>
      </c>
      <c r="E53" s="275">
        <f>VLOOKUP(D53,'Data for Q3'!$B$42:$D$92,3,0)</f>
        <v>2.0410000000000001E-2</v>
      </c>
      <c r="F53" s="275">
        <f t="shared" si="4"/>
        <v>0.81090518082556129</v>
      </c>
      <c r="G53" s="275">
        <f t="shared" si="5"/>
        <v>0.81935288585554822</v>
      </c>
      <c r="H53" s="276">
        <f>'Solution for Q3 (d)'!H54</f>
        <v>0</v>
      </c>
      <c r="I53" s="275">
        <f t="shared" si="6"/>
        <v>0.64896546846474334</v>
      </c>
      <c r="J53" s="275">
        <f t="shared" si="7"/>
        <v>0.64896546846474334</v>
      </c>
      <c r="K53" s="274"/>
      <c r="L53" s="272"/>
      <c r="M53" s="272"/>
      <c r="N53" s="272"/>
      <c r="O53" s="273"/>
      <c r="P53" s="272"/>
      <c r="Q53" s="272"/>
      <c r="R53" s="279"/>
    </row>
    <row r="54" spans="1:18">
      <c r="A54" s="8">
        <f t="shared" si="1"/>
        <v>35</v>
      </c>
      <c r="B54" s="279">
        <f t="shared" si="2"/>
        <v>4013.2192063915827</v>
      </c>
      <c r="C54" s="278">
        <f t="shared" si="0"/>
        <v>0.26877144949922926</v>
      </c>
      <c r="D54" s="277">
        <f t="shared" si="3"/>
        <v>79</v>
      </c>
      <c r="E54" s="275">
        <f>VLOOKUP(D54,'Data for Q3'!$B$42:$D$92,3,0)</f>
        <v>2.2839999999999999E-2</v>
      </c>
      <c r="F54" s="275">
        <f t="shared" si="4"/>
        <v>0.7923841064955055</v>
      </c>
      <c r="G54" s="275">
        <f t="shared" si="5"/>
        <v>0.80164464366053334</v>
      </c>
      <c r="H54" s="276">
        <f>'Solution for Q3 (d)'!H55</f>
        <v>0</v>
      </c>
      <c r="I54" s="275">
        <f t="shared" si="6"/>
        <v>0.64896546846474334</v>
      </c>
      <c r="J54" s="275">
        <f t="shared" si="7"/>
        <v>0.64896546846474334</v>
      </c>
      <c r="K54" s="274"/>
      <c r="L54" s="272"/>
      <c r="M54" s="272"/>
      <c r="N54" s="272"/>
      <c r="O54" s="273"/>
      <c r="P54" s="272"/>
      <c r="Q54" s="272"/>
      <c r="R54" s="279"/>
    </row>
    <row r="55" spans="1:18">
      <c r="A55" s="8">
        <f t="shared" si="1"/>
        <v>36</v>
      </c>
      <c r="B55" s="279">
        <f t="shared" si="2"/>
        <v>4173.7479746472463</v>
      </c>
      <c r="C55" s="278">
        <f t="shared" si="0"/>
        <v>0.25843408605695123</v>
      </c>
      <c r="D55" s="277">
        <f t="shared" si="3"/>
        <v>80</v>
      </c>
      <c r="E55" s="275">
        <f>VLOOKUP(D55,'Data for Q3'!$B$42:$D$92,3,0)</f>
        <v>2.571E-2</v>
      </c>
      <c r="F55" s="275">
        <f t="shared" si="4"/>
        <v>0.772011911117506</v>
      </c>
      <c r="G55" s="275">
        <f t="shared" si="5"/>
        <v>0.78219800880650581</v>
      </c>
      <c r="H55" s="276">
        <f>'Solution for Q3 (d)'!H56</f>
        <v>0</v>
      </c>
      <c r="I55" s="275">
        <f t="shared" si="6"/>
        <v>0.64896546846474334</v>
      </c>
      <c r="J55" s="275">
        <f t="shared" si="7"/>
        <v>0.64896546846474334</v>
      </c>
      <c r="K55" s="274"/>
      <c r="L55" s="272"/>
      <c r="M55" s="272"/>
      <c r="N55" s="272"/>
      <c r="O55" s="273"/>
      <c r="P55" s="272"/>
      <c r="Q55" s="272"/>
      <c r="R55" s="279"/>
    </row>
    <row r="56" spans="1:18">
      <c r="A56" s="8">
        <f t="shared" si="1"/>
        <v>37</v>
      </c>
      <c r="B56" s="279">
        <f t="shared" si="2"/>
        <v>4340.6978936331361</v>
      </c>
      <c r="C56" s="278">
        <f t="shared" si="0"/>
        <v>0.24849431351629925</v>
      </c>
      <c r="D56" s="277">
        <f t="shared" si="3"/>
        <v>81</v>
      </c>
      <c r="E56" s="275">
        <f>VLOOKUP(D56,'Data for Q3'!$B$42:$D$92,3,0)</f>
        <v>2.913E-2</v>
      </c>
      <c r="F56" s="275">
        <f t="shared" si="4"/>
        <v>0.74952320414665308</v>
      </c>
      <c r="G56" s="275">
        <f t="shared" si="5"/>
        <v>0.76076755763207948</v>
      </c>
      <c r="H56" s="276">
        <f>'Solution for Q3 (d)'!H57</f>
        <v>0</v>
      </c>
      <c r="I56" s="275">
        <f t="shared" si="6"/>
        <v>0.64896546846474334</v>
      </c>
      <c r="J56" s="275">
        <f t="shared" si="7"/>
        <v>0.64896546846474334</v>
      </c>
      <c r="K56" s="274"/>
      <c r="L56" s="272"/>
      <c r="M56" s="272"/>
      <c r="N56" s="272"/>
      <c r="O56" s="273"/>
      <c r="P56" s="272"/>
      <c r="Q56" s="272"/>
      <c r="R56" s="279"/>
    </row>
    <row r="57" spans="1:18">
      <c r="A57" s="8">
        <f t="shared" si="1"/>
        <v>38</v>
      </c>
      <c r="B57" s="279">
        <f t="shared" si="2"/>
        <v>4514.3258093784616</v>
      </c>
      <c r="C57" s="278">
        <f t="shared" si="0"/>
        <v>0.23893683991951847</v>
      </c>
      <c r="D57" s="277">
        <f t="shared" si="3"/>
        <v>82</v>
      </c>
      <c r="E57" s="275">
        <f>VLOOKUP(D57,'Data for Q3'!$B$42:$D$92,3,0)</f>
        <v>3.32E-2</v>
      </c>
      <c r="F57" s="275">
        <f t="shared" si="4"/>
        <v>0.7246390337689842</v>
      </c>
      <c r="G57" s="275">
        <f t="shared" si="5"/>
        <v>0.73708111895781869</v>
      </c>
      <c r="H57" s="276">
        <f>'Solution for Q3 (d)'!H58</f>
        <v>0</v>
      </c>
      <c r="I57" s="275">
        <f t="shared" si="6"/>
        <v>0.64896546846474334</v>
      </c>
      <c r="J57" s="275">
        <f t="shared" si="7"/>
        <v>0.64896546846474334</v>
      </c>
      <c r="K57" s="274"/>
      <c r="L57" s="272"/>
      <c r="M57" s="272"/>
      <c r="N57" s="272"/>
      <c r="O57" s="273"/>
      <c r="P57" s="272"/>
      <c r="Q57" s="272"/>
      <c r="R57" s="279"/>
    </row>
    <row r="58" spans="1:18">
      <c r="A58" s="8">
        <f t="shared" si="1"/>
        <v>39</v>
      </c>
      <c r="B58" s="279">
        <f t="shared" si="2"/>
        <v>4694.8988417536002</v>
      </c>
      <c r="C58" s="278">
        <f t="shared" si="0"/>
        <v>0.22974696146107546</v>
      </c>
      <c r="D58" s="277">
        <f t="shared" si="3"/>
        <v>83</v>
      </c>
      <c r="E58" s="275">
        <f>VLOOKUP(D58,'Data for Q3'!$B$42:$D$92,3,0)</f>
        <v>3.805E-2</v>
      </c>
      <c r="F58" s="275">
        <f t="shared" si="4"/>
        <v>0.69706651853407431</v>
      </c>
      <c r="G58" s="275">
        <f t="shared" si="5"/>
        <v>0.71085277615152931</v>
      </c>
      <c r="H58" s="276">
        <f>'Solution for Q3 (d)'!H59</f>
        <v>0</v>
      </c>
      <c r="I58" s="275">
        <f t="shared" si="6"/>
        <v>0.64896546846474334</v>
      </c>
      <c r="J58" s="275">
        <f t="shared" si="7"/>
        <v>0.64896546846474334</v>
      </c>
      <c r="K58" s="274"/>
      <c r="L58" s="272"/>
      <c r="M58" s="272"/>
      <c r="N58" s="272"/>
      <c r="O58" s="273"/>
      <c r="P58" s="272"/>
      <c r="Q58" s="272"/>
      <c r="R58" s="279"/>
    </row>
    <row r="59" spans="1:18">
      <c r="A59" s="8">
        <f t="shared" si="1"/>
        <v>40</v>
      </c>
      <c r="B59" s="279">
        <f t="shared" si="2"/>
        <v>4882.6947954237448</v>
      </c>
      <c r="C59" s="278">
        <f t="shared" si="0"/>
        <v>0.22091053986641868</v>
      </c>
      <c r="D59" s="277">
        <f t="shared" si="3"/>
        <v>84</v>
      </c>
      <c r="E59" s="275">
        <f>VLOOKUP(D59,'Data for Q3'!$B$42:$D$92,3,0)</f>
        <v>4.3770000000000003E-2</v>
      </c>
      <c r="F59" s="275">
        <f t="shared" si="4"/>
        <v>0.6665559170178379</v>
      </c>
      <c r="G59" s="275">
        <f t="shared" si="5"/>
        <v>0.6818112177759561</v>
      </c>
      <c r="H59" s="276">
        <f>'Solution for Q3 (d)'!H60</f>
        <v>0</v>
      </c>
      <c r="I59" s="275">
        <f t="shared" si="6"/>
        <v>0.64896546846474334</v>
      </c>
      <c r="J59" s="275">
        <f t="shared" si="7"/>
        <v>0.64896546846474334</v>
      </c>
      <c r="K59" s="274"/>
      <c r="L59" s="272"/>
      <c r="M59" s="272"/>
      <c r="N59" s="272"/>
      <c r="O59" s="273"/>
      <c r="P59" s="272"/>
      <c r="Q59" s="272"/>
      <c r="R59" s="279"/>
    </row>
    <row r="60" spans="1:18">
      <c r="A60" s="8">
        <f t="shared" si="1"/>
        <v>41</v>
      </c>
      <c r="B60" s="279">
        <f t="shared" si="2"/>
        <v>5078.002587240695</v>
      </c>
      <c r="C60" s="278">
        <f t="shared" si="0"/>
        <v>0.2124139806407872</v>
      </c>
      <c r="D60" s="277">
        <f t="shared" si="3"/>
        <v>85</v>
      </c>
      <c r="E60" s="275">
        <f>VLOOKUP(D60,'Data for Q3'!$B$42:$D$92,3,0)</f>
        <v>5.0500000000000003E-2</v>
      </c>
      <c r="F60" s="275">
        <f t="shared" si="4"/>
        <v>0.63289484320843714</v>
      </c>
      <c r="G60" s="275">
        <f t="shared" si="5"/>
        <v>0.64972538011313752</v>
      </c>
      <c r="H60" s="276">
        <f>'Solution for Q3 (d)'!H61</f>
        <v>0</v>
      </c>
      <c r="I60" s="275">
        <f t="shared" si="6"/>
        <v>0.64896546846474334</v>
      </c>
      <c r="J60" s="275">
        <f t="shared" si="7"/>
        <v>0.64896546846474334</v>
      </c>
      <c r="K60" s="274"/>
      <c r="L60" s="272"/>
      <c r="M60" s="272"/>
      <c r="N60" s="272"/>
      <c r="O60" s="273"/>
      <c r="P60" s="272"/>
      <c r="Q60" s="272"/>
      <c r="R60" s="279"/>
    </row>
    <row r="61" spans="1:18">
      <c r="A61" s="8">
        <f t="shared" si="1"/>
        <v>42</v>
      </c>
      <c r="B61" s="279">
        <f t="shared" si="2"/>
        <v>5281.1226907303226</v>
      </c>
      <c r="C61" s="278">
        <f t="shared" si="0"/>
        <v>0.20424421215460306</v>
      </c>
      <c r="D61" s="277">
        <f t="shared" si="3"/>
        <v>86</v>
      </c>
      <c r="E61" s="275">
        <f>VLOOKUP(D61,'Data for Q3'!$B$42:$D$92,3,0)</f>
        <v>5.8319999999999997E-2</v>
      </c>
      <c r="F61" s="275">
        <f t="shared" si="4"/>
        <v>0.59598441595252105</v>
      </c>
      <c r="G61" s="275">
        <f t="shared" si="5"/>
        <v>0.61443962958047915</v>
      </c>
      <c r="H61" s="276">
        <f>'Solution for Q3 (d)'!H62</f>
        <v>0</v>
      </c>
      <c r="I61" s="275">
        <f t="shared" si="6"/>
        <v>0.64896546846474334</v>
      </c>
      <c r="J61" s="275">
        <f t="shared" si="7"/>
        <v>0.64896546846474334</v>
      </c>
      <c r="K61" s="274"/>
      <c r="L61" s="272"/>
      <c r="M61" s="272"/>
      <c r="N61" s="272"/>
      <c r="O61" s="273"/>
      <c r="P61" s="272"/>
      <c r="Q61" s="272"/>
      <c r="R61" s="279"/>
    </row>
    <row r="62" spans="1:18">
      <c r="A62" s="8">
        <f t="shared" si="1"/>
        <v>43</v>
      </c>
      <c r="B62" s="279">
        <f t="shared" si="2"/>
        <v>5492.3675983595358</v>
      </c>
      <c r="C62" s="278">
        <f t="shared" si="0"/>
        <v>0.19638866553327217</v>
      </c>
      <c r="D62" s="277">
        <f t="shared" si="3"/>
        <v>87</v>
      </c>
      <c r="E62" s="275">
        <f>VLOOKUP(D62,'Data for Q3'!$B$42:$D$92,3,0)</f>
        <v>6.7339999999999997E-2</v>
      </c>
      <c r="F62" s="275">
        <f t="shared" si="4"/>
        <v>0.55585082538227826</v>
      </c>
      <c r="G62" s="275">
        <f t="shared" si="5"/>
        <v>0.57591762066739971</v>
      </c>
      <c r="H62" s="276">
        <f>'Solution for Q3 (d)'!H63</f>
        <v>0</v>
      </c>
      <c r="I62" s="275">
        <f t="shared" si="6"/>
        <v>0.64896546846474334</v>
      </c>
      <c r="J62" s="275">
        <f t="shared" si="7"/>
        <v>0.64896546846474334</v>
      </c>
      <c r="K62" s="274"/>
      <c r="L62" s="272"/>
      <c r="M62" s="272"/>
      <c r="N62" s="272"/>
      <c r="O62" s="273"/>
      <c r="P62" s="272"/>
      <c r="Q62" s="272"/>
      <c r="R62" s="279"/>
    </row>
    <row r="63" spans="1:18">
      <c r="A63" s="8">
        <f t="shared" si="1"/>
        <v>44</v>
      </c>
      <c r="B63" s="279">
        <f t="shared" si="2"/>
        <v>5712.0623022939171</v>
      </c>
      <c r="C63" s="278">
        <f t="shared" si="0"/>
        <v>0.18883525532045398</v>
      </c>
      <c r="D63" s="277">
        <f t="shared" si="3"/>
        <v>88</v>
      </c>
      <c r="E63" s="275">
        <f>VLOOKUP(D63,'Data for Q3'!$B$42:$D$92,3,0)</f>
        <v>7.7649999999999997E-2</v>
      </c>
      <c r="F63" s="275">
        <f t="shared" si="4"/>
        <v>0.51268900879134438</v>
      </c>
      <c r="G63" s="275">
        <f t="shared" si="5"/>
        <v>0.53426991708681126</v>
      </c>
      <c r="H63" s="276">
        <f>'Solution for Q3 (d)'!H64</f>
        <v>0</v>
      </c>
      <c r="I63" s="275">
        <f t="shared" si="6"/>
        <v>0.64896546846474334</v>
      </c>
      <c r="J63" s="275">
        <f t="shared" si="7"/>
        <v>0.64896546846474334</v>
      </c>
      <c r="K63" s="274"/>
      <c r="L63" s="272"/>
      <c r="M63" s="272"/>
      <c r="N63" s="272"/>
      <c r="O63" s="273"/>
      <c r="P63" s="272"/>
      <c r="Q63" s="272"/>
      <c r="R63" s="279"/>
    </row>
    <row r="64" spans="1:18">
      <c r="A64" s="8">
        <f t="shared" si="1"/>
        <v>45</v>
      </c>
      <c r="B64" s="279">
        <f t="shared" si="2"/>
        <v>5940.5447943856743</v>
      </c>
      <c r="C64" s="278">
        <f t="shared" si="0"/>
        <v>0.18157236088505194</v>
      </c>
      <c r="D64" s="277">
        <f t="shared" si="3"/>
        <v>89</v>
      </c>
      <c r="E64" s="275">
        <f>VLOOKUP(D64,'Data for Q3'!$B$42:$D$92,3,0)</f>
        <v>8.9319999999999997E-2</v>
      </c>
      <c r="F64" s="275">
        <f t="shared" si="4"/>
        <v>0.4668956265261015</v>
      </c>
      <c r="G64" s="275">
        <f t="shared" si="5"/>
        <v>0.48979231765872294</v>
      </c>
      <c r="H64" s="276">
        <f>'Solution for Q3 (d)'!H65</f>
        <v>0</v>
      </c>
      <c r="I64" s="275">
        <f t="shared" si="6"/>
        <v>0.64896546846474334</v>
      </c>
      <c r="J64" s="275">
        <f t="shared" si="7"/>
        <v>0.64896546846474334</v>
      </c>
      <c r="K64" s="274"/>
      <c r="L64" s="272"/>
      <c r="M64" s="272"/>
      <c r="N64" s="272"/>
      <c r="O64" s="273"/>
      <c r="P64" s="272"/>
      <c r="Q64" s="272"/>
      <c r="R64" s="279"/>
    </row>
    <row r="65" spans="1:18">
      <c r="A65" s="8">
        <f t="shared" si="1"/>
        <v>46</v>
      </c>
      <c r="B65" s="279">
        <f t="shared" si="2"/>
        <v>6178.1665861611018</v>
      </c>
      <c r="C65" s="278">
        <f t="shared" si="0"/>
        <v>0.17458880854331918</v>
      </c>
      <c r="D65" s="277">
        <f t="shared" si="3"/>
        <v>90</v>
      </c>
      <c r="E65" s="275">
        <f>VLOOKUP(D65,'Data for Q3'!$B$42:$D$92,3,0)</f>
        <v>0.10238</v>
      </c>
      <c r="F65" s="275">
        <f t="shared" si="4"/>
        <v>0.41909485228235921</v>
      </c>
      <c r="G65" s="275">
        <f t="shared" si="5"/>
        <v>0.44299523940423041</v>
      </c>
      <c r="H65" s="276">
        <f>'Solution for Q3 (d)'!H66</f>
        <v>0</v>
      </c>
      <c r="I65" s="275">
        <f t="shared" si="6"/>
        <v>0.64896546846474334</v>
      </c>
      <c r="J65" s="275">
        <f t="shared" si="7"/>
        <v>0.64896546846474334</v>
      </c>
      <c r="K65" s="274"/>
      <c r="L65" s="272"/>
      <c r="M65" s="272"/>
      <c r="N65" s="272"/>
      <c r="O65" s="273"/>
      <c r="P65" s="272"/>
      <c r="Q65" s="272"/>
      <c r="R65" s="279"/>
    </row>
    <row r="66" spans="1:18">
      <c r="A66" s="8"/>
      <c r="B66" s="279"/>
      <c r="C66" s="278"/>
      <c r="D66" s="196"/>
      <c r="E66" s="278"/>
      <c r="G66" s="196"/>
      <c r="H66" s="278"/>
      <c r="I66" s="278"/>
      <c r="J66" s="278"/>
      <c r="L66" s="196"/>
      <c r="M66" s="196"/>
      <c r="N66" s="196"/>
      <c r="O66" s="278"/>
      <c r="P66" s="278"/>
      <c r="Q66" s="278"/>
    </row>
    <row r="76" spans="1:18" ht="15.5">
      <c r="A76" s="269"/>
      <c r="C76" s="268"/>
    </row>
    <row r="78" spans="1:18">
      <c r="A78" s="9"/>
      <c r="C78" s="268"/>
    </row>
  </sheetData>
  <mergeCells count="2">
    <mergeCell ref="D19:J19"/>
    <mergeCell ref="K19:Q19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AD0F7-0147-4CDA-8CA7-7FD2FE170001}">
  <dimension ref="A1:C19"/>
  <sheetViews>
    <sheetView showGridLines="0" zoomScale="85" zoomScaleNormal="85" workbookViewId="0">
      <selection activeCell="C12" sqref="C12"/>
    </sheetView>
  </sheetViews>
  <sheetFormatPr baseColWidth="10" defaultColWidth="11.453125" defaultRowHeight="14.5"/>
  <cols>
    <col min="1" max="1" width="47.7265625" customWidth="1"/>
    <col min="4" max="4" width="9.453125" bestFit="1" customWidth="1"/>
    <col min="5" max="5" width="12.54296875" customWidth="1"/>
  </cols>
  <sheetData>
    <row r="1" spans="1:3">
      <c r="A1" s="9" t="s">
        <v>536</v>
      </c>
    </row>
    <row r="3" spans="1:3">
      <c r="A3" s="317" t="s">
        <v>545</v>
      </c>
      <c r="B3" s="313">
        <f>SUM(B4:B6)</f>
        <v>6001.0960683201665</v>
      </c>
    </row>
    <row r="4" spans="1:3">
      <c r="A4" s="315" t="s">
        <v>555</v>
      </c>
      <c r="B4" s="301">
        <f>'Sol Q3 (e) - Experience'!$H$11</f>
        <v>1770.1193148430066</v>
      </c>
      <c r="C4" t="s">
        <v>554</v>
      </c>
    </row>
    <row r="5" spans="1:3">
      <c r="A5" s="315" t="s">
        <v>553</v>
      </c>
      <c r="B5" s="301">
        <f>'Sol Q3 (e) - Demographic'!$H$11</f>
        <v>-1351.0596354144327</v>
      </c>
      <c r="C5" t="s">
        <v>552</v>
      </c>
    </row>
    <row r="6" spans="1:3">
      <c r="A6" s="315" t="s">
        <v>551</v>
      </c>
      <c r="B6" s="301">
        <f>'Sol Q3 (e) - Financial'!$H$11</f>
        <v>5582.0363888915927</v>
      </c>
      <c r="C6" t="s">
        <v>550</v>
      </c>
    </row>
    <row r="8" spans="1:3">
      <c r="A8" s="77" t="s">
        <v>534</v>
      </c>
    </row>
    <row r="9" spans="1:3">
      <c r="A9" s="315" t="s">
        <v>549</v>
      </c>
      <c r="B9" s="301">
        <f>'Solution for Q3 (d)'!G17</f>
        <v>16209.038271529707</v>
      </c>
    </row>
    <row r="10" spans="1:3">
      <c r="A10" s="315" t="s">
        <v>548</v>
      </c>
      <c r="B10" s="301">
        <f>'Solution for Q3 (d)'!H17</f>
        <v>246.74281562158455</v>
      </c>
    </row>
    <row r="11" spans="1:3">
      <c r="A11" s="315" t="s">
        <v>547</v>
      </c>
      <c r="B11" s="301">
        <f>C11*(B9+B10+B12/2)</f>
        <v>1113.4046761005905</v>
      </c>
      <c r="C11" s="302">
        <v>7.0000000000000007E-2</v>
      </c>
    </row>
    <row r="12" spans="1:3">
      <c r="A12" s="315" t="s">
        <v>546</v>
      </c>
      <c r="B12" s="301">
        <f>-'Solution for Q3 (d)'!B21</f>
        <v>-1100</v>
      </c>
    </row>
    <row r="13" spans="1:3">
      <c r="A13" s="315" t="s">
        <v>545</v>
      </c>
      <c r="B13" s="301"/>
    </row>
    <row r="14" spans="1:3">
      <c r="A14" s="316" t="s">
        <v>544</v>
      </c>
      <c r="B14" s="301">
        <f>B5</f>
        <v>-1351.0596354144327</v>
      </c>
    </row>
    <row r="15" spans="1:3">
      <c r="A15" s="316" t="s">
        <v>543</v>
      </c>
      <c r="B15" s="301">
        <f>B6</f>
        <v>5582.0363888915927</v>
      </c>
    </row>
    <row r="16" spans="1:3">
      <c r="A16" s="316" t="s">
        <v>542</v>
      </c>
      <c r="B16" s="301">
        <f>B4</f>
        <v>1770.1193148430066</v>
      </c>
    </row>
    <row r="17" spans="1:2">
      <c r="A17" s="315" t="s">
        <v>541</v>
      </c>
      <c r="B17" s="301">
        <f>SUM(B9:B16)</f>
        <v>22470.281831572051</v>
      </c>
    </row>
    <row r="19" spans="1:2">
      <c r="A19" s="314" t="s">
        <v>540</v>
      </c>
      <c r="B19" s="313">
        <f>'Sol Q3 (e) - Financial'!$H$9</f>
        <v>22470.281831572051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5A92-E1AC-4058-A5AF-A767C9E8CEA3}">
  <dimension ref="A1:L44"/>
  <sheetViews>
    <sheetView zoomScale="85" zoomScaleNormal="85" workbookViewId="0">
      <selection activeCell="D7" sqref="D7"/>
    </sheetView>
  </sheetViews>
  <sheetFormatPr baseColWidth="10" defaultColWidth="8.81640625" defaultRowHeight="14.5"/>
  <cols>
    <col min="2" max="2" width="30.1796875" customWidth="1"/>
    <col min="3" max="3" width="31.1796875" bestFit="1" customWidth="1"/>
    <col min="4" max="5" width="14.1796875" customWidth="1"/>
    <col min="6" max="6" width="16.1796875" customWidth="1"/>
  </cols>
  <sheetData>
    <row r="1" spans="1:12" ht="22.5">
      <c r="A1" s="1" t="s">
        <v>135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229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 t="s">
        <v>230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3" t="s">
        <v>115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5" t="s">
        <v>317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20" spans="1:12" ht="15.5">
      <c r="A20" s="5" t="s">
        <v>318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31" spans="1:12" ht="15.5">
      <c r="A31" s="5" t="s">
        <v>171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.5">
      <c r="A32" s="3" t="s">
        <v>3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43" spans="1:12" ht="15.5">
      <c r="A43" s="5" t="s">
        <v>337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.5">
      <c r="A44" s="3" t="s">
        <v>3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</sheetData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7CD8-FBBF-4A5F-A4FF-CDC5677DA013}">
  <dimension ref="B3:C26"/>
  <sheetViews>
    <sheetView zoomScale="85" zoomScaleNormal="85" workbookViewId="0">
      <selection activeCell="E20" sqref="E20"/>
    </sheetView>
  </sheetViews>
  <sheetFormatPr baseColWidth="10" defaultColWidth="9.1796875" defaultRowHeight="15.5"/>
  <cols>
    <col min="1" max="1" width="9.1796875" style="27"/>
    <col min="2" max="2" width="42.453125" style="27" customWidth="1"/>
    <col min="3" max="3" width="13.1796875" style="27" customWidth="1"/>
    <col min="4" max="16384" width="9.1796875" style="27"/>
  </cols>
  <sheetData>
    <row r="3" spans="2:3">
      <c r="B3" s="31" t="s">
        <v>128</v>
      </c>
    </row>
    <row r="4" spans="2:3">
      <c r="B4" s="32" t="s">
        <v>127</v>
      </c>
      <c r="C4" s="35">
        <v>59</v>
      </c>
    </row>
    <row r="5" spans="2:3">
      <c r="B5" s="32" t="s">
        <v>126</v>
      </c>
      <c r="C5" s="34">
        <v>0.05</v>
      </c>
    </row>
    <row r="6" spans="2:3">
      <c r="B6" s="32" t="s">
        <v>125</v>
      </c>
      <c r="C6" s="34">
        <v>0.03</v>
      </c>
    </row>
    <row r="7" spans="2:3">
      <c r="B7" s="32" t="s">
        <v>124</v>
      </c>
      <c r="C7" s="34">
        <v>0.02</v>
      </c>
    </row>
    <row r="8" spans="2:3">
      <c r="B8" s="32" t="s">
        <v>123</v>
      </c>
      <c r="C8" s="34">
        <v>0.08</v>
      </c>
    </row>
    <row r="9" spans="2:3">
      <c r="B9" s="32" t="s">
        <v>319</v>
      </c>
      <c r="C9" s="34">
        <v>7.0000000000000007E-2</v>
      </c>
    </row>
    <row r="10" spans="2:3">
      <c r="B10" s="32" t="s">
        <v>320</v>
      </c>
      <c r="C10" s="34">
        <v>0.05</v>
      </c>
    </row>
    <row r="12" spans="2:3">
      <c r="B12" s="31" t="s">
        <v>122</v>
      </c>
    </row>
    <row r="13" spans="2:3">
      <c r="B13" s="32" t="s">
        <v>121</v>
      </c>
      <c r="C13" s="33">
        <v>10000000</v>
      </c>
    </row>
    <row r="14" spans="2:3">
      <c r="B14" s="32" t="s">
        <v>120</v>
      </c>
      <c r="C14" s="33">
        <v>472000</v>
      </c>
    </row>
    <row r="15" spans="2:3">
      <c r="B15" s="32" t="s">
        <v>321</v>
      </c>
      <c r="C15" s="33">
        <v>575567</v>
      </c>
    </row>
    <row r="16" spans="2:3">
      <c r="B16" s="32" t="s">
        <v>322</v>
      </c>
      <c r="C16" s="33">
        <v>501078</v>
      </c>
    </row>
    <row r="17" spans="2:3">
      <c r="B17" s="32" t="s">
        <v>323</v>
      </c>
      <c r="C17" s="33">
        <v>29469</v>
      </c>
    </row>
    <row r="18" spans="2:3">
      <c r="B18" s="32" t="s">
        <v>324</v>
      </c>
      <c r="C18" s="33">
        <v>16921</v>
      </c>
    </row>
    <row r="19" spans="2:3">
      <c r="B19" s="32" t="s">
        <v>119</v>
      </c>
      <c r="C19" s="33">
        <v>11511</v>
      </c>
    </row>
    <row r="20" spans="2:3">
      <c r="B20" s="32" t="s">
        <v>118</v>
      </c>
      <c r="C20" s="33">
        <v>33918</v>
      </c>
    </row>
    <row r="21" spans="2:3">
      <c r="B21" s="32" t="s">
        <v>325</v>
      </c>
      <c r="C21" s="33">
        <v>24553</v>
      </c>
    </row>
    <row r="22" spans="2:3">
      <c r="B22" s="29" t="s">
        <v>117</v>
      </c>
      <c r="C22" s="33">
        <v>0</v>
      </c>
    </row>
    <row r="24" spans="2:3">
      <c r="B24" s="31" t="s">
        <v>116</v>
      </c>
    </row>
    <row r="25" spans="2:3">
      <c r="B25" s="29" t="s">
        <v>326</v>
      </c>
      <c r="C25" s="30">
        <v>0.35</v>
      </c>
    </row>
    <row r="26" spans="2:3">
      <c r="B26" s="29" t="s">
        <v>327</v>
      </c>
      <c r="C26" s="28" t="s">
        <v>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9CD99-1916-4BDB-8861-2A497D3742DA}">
  <dimension ref="A2:D53"/>
  <sheetViews>
    <sheetView zoomScale="85" zoomScaleNormal="85" workbookViewId="0">
      <selection activeCell="E15" sqref="E15"/>
    </sheetView>
  </sheetViews>
  <sheetFormatPr baseColWidth="10" defaultColWidth="9.1796875" defaultRowHeight="15.5"/>
  <cols>
    <col min="1" max="1" width="3.1796875" style="169" bestFit="1" customWidth="1"/>
    <col min="2" max="2" width="56.81640625" style="27" bestFit="1" customWidth="1"/>
    <col min="3" max="3" width="13.1796875" style="27" bestFit="1" customWidth="1"/>
    <col min="4" max="16384" width="9.1796875" style="27"/>
  </cols>
  <sheetData>
    <row r="2" spans="2:3">
      <c r="B2" s="31" t="s">
        <v>128</v>
      </c>
    </row>
    <row r="3" spans="2:3">
      <c r="B3" s="32" t="s">
        <v>127</v>
      </c>
      <c r="C3" s="35">
        <v>59</v>
      </c>
    </row>
    <row r="4" spans="2:3">
      <c r="B4" s="32" t="s">
        <v>126</v>
      </c>
      <c r="C4" s="34">
        <v>0.05</v>
      </c>
    </row>
    <row r="5" spans="2:3">
      <c r="B5" s="32" t="s">
        <v>125</v>
      </c>
      <c r="C5" s="34">
        <v>0.03</v>
      </c>
    </row>
    <row r="6" spans="2:3">
      <c r="B6" s="32" t="s">
        <v>124</v>
      </c>
      <c r="C6" s="34">
        <v>0.02</v>
      </c>
    </row>
    <row r="7" spans="2:3">
      <c r="B7" s="32" t="s">
        <v>123</v>
      </c>
      <c r="C7" s="34">
        <v>0.08</v>
      </c>
    </row>
    <row r="8" spans="2:3">
      <c r="B8" s="32" t="s">
        <v>368</v>
      </c>
      <c r="C8" s="34">
        <v>7.0000000000000007E-2</v>
      </c>
    </row>
    <row r="9" spans="2:3">
      <c r="B9" s="32" t="s">
        <v>367</v>
      </c>
      <c r="C9" s="34">
        <v>0.05</v>
      </c>
    </row>
    <row r="11" spans="2:3">
      <c r="B11" s="31" t="s">
        <v>122</v>
      </c>
    </row>
    <row r="12" spans="2:3">
      <c r="B12" s="32" t="s">
        <v>121</v>
      </c>
      <c r="C12" s="33">
        <v>10000000</v>
      </c>
    </row>
    <row r="13" spans="2:3">
      <c r="B13" s="32" t="s">
        <v>120</v>
      </c>
      <c r="C13" s="152">
        <v>472000</v>
      </c>
    </row>
    <row r="14" spans="2:3">
      <c r="B14" s="32" t="s">
        <v>366</v>
      </c>
      <c r="C14" s="152">
        <v>575567</v>
      </c>
    </row>
    <row r="15" spans="2:3">
      <c r="B15" s="32" t="s">
        <v>365</v>
      </c>
      <c r="C15" s="152">
        <v>501078</v>
      </c>
    </row>
    <row r="16" spans="2:3">
      <c r="B16" s="32" t="s">
        <v>364</v>
      </c>
      <c r="C16" s="152">
        <v>29469</v>
      </c>
    </row>
    <row r="17" spans="1:3">
      <c r="B17" s="32" t="s">
        <v>363</v>
      </c>
      <c r="C17" s="152">
        <v>16921</v>
      </c>
    </row>
    <row r="18" spans="1:3">
      <c r="B18" s="32" t="s">
        <v>119</v>
      </c>
      <c r="C18" s="152">
        <v>11511</v>
      </c>
    </row>
    <row r="19" spans="1:3">
      <c r="B19" s="32" t="s">
        <v>118</v>
      </c>
      <c r="C19" s="152">
        <v>33918</v>
      </c>
    </row>
    <row r="20" spans="1:3">
      <c r="B20" s="32" t="s">
        <v>362</v>
      </c>
      <c r="C20" s="152">
        <v>24553</v>
      </c>
    </row>
    <row r="21" spans="1:3">
      <c r="B21" s="29" t="s">
        <v>117</v>
      </c>
      <c r="C21" s="29">
        <v>0</v>
      </c>
    </row>
    <row r="23" spans="1:3">
      <c r="B23" s="31" t="s">
        <v>116</v>
      </c>
    </row>
    <row r="24" spans="1:3">
      <c r="B24" s="29" t="s">
        <v>361</v>
      </c>
      <c r="C24" s="30">
        <v>0.35</v>
      </c>
    </row>
    <row r="25" spans="1:3">
      <c r="B25" s="29" t="s">
        <v>360</v>
      </c>
      <c r="C25" s="28" t="s">
        <v>6</v>
      </c>
    </row>
    <row r="26" spans="1:3">
      <c r="C26" s="165"/>
    </row>
    <row r="27" spans="1:3">
      <c r="A27" s="170" t="s">
        <v>392</v>
      </c>
      <c r="B27" s="41" t="s">
        <v>391</v>
      </c>
    </row>
    <row r="28" spans="1:3">
      <c r="B28" s="27" t="s">
        <v>390</v>
      </c>
      <c r="C28" s="168">
        <f>(C12/1000)*C3</f>
        <v>590000</v>
      </c>
    </row>
    <row r="29" spans="1:3">
      <c r="B29" s="27" t="s">
        <v>389</v>
      </c>
      <c r="C29" s="166">
        <f>C28*C7</f>
        <v>47200</v>
      </c>
    </row>
    <row r="30" spans="1:3">
      <c r="B30" s="27" t="s">
        <v>388</v>
      </c>
      <c r="C30" s="166">
        <f>C13*(C8-C9)</f>
        <v>9440.0000000000018</v>
      </c>
    </row>
    <row r="31" spans="1:3">
      <c r="B31" s="27" t="s">
        <v>383</v>
      </c>
      <c r="C31" s="166">
        <v>0</v>
      </c>
    </row>
    <row r="32" spans="1:3">
      <c r="B32" s="27" t="s">
        <v>382</v>
      </c>
      <c r="C32" s="166">
        <v>0</v>
      </c>
    </row>
    <row r="33" spans="1:3">
      <c r="B33" s="27" t="s">
        <v>381</v>
      </c>
      <c r="C33" s="166">
        <v>0</v>
      </c>
    </row>
    <row r="34" spans="1:3">
      <c r="A34" s="170" t="s">
        <v>380</v>
      </c>
      <c r="B34" s="27" t="s">
        <v>379</v>
      </c>
      <c r="C34" s="166">
        <f>SUM(C29:C33)</f>
        <v>56640</v>
      </c>
    </row>
    <row r="36" spans="1:3">
      <c r="A36" s="170" t="s">
        <v>387</v>
      </c>
      <c r="B36" s="41" t="s">
        <v>386</v>
      </c>
    </row>
    <row r="37" spans="1:3">
      <c r="B37" s="27" t="s">
        <v>385</v>
      </c>
      <c r="C37" s="167">
        <f>C14-C15+C20-C14*(C4+C6+C5+C7)</f>
        <v>-4560.0599999999977</v>
      </c>
    </row>
    <row r="38" spans="1:3">
      <c r="B38" s="27" t="s">
        <v>384</v>
      </c>
      <c r="C38" s="167">
        <f>((C30/C28)*C14)-(C19-C20)</f>
        <v>-155.92799999999806</v>
      </c>
    </row>
    <row r="39" spans="1:3">
      <c r="B39" s="27" t="s">
        <v>383</v>
      </c>
      <c r="C39" s="167">
        <f>C14*C4-C16</f>
        <v>-690.64999999999782</v>
      </c>
    </row>
    <row r="40" spans="1:3">
      <c r="B40" s="27" t="s">
        <v>382</v>
      </c>
      <c r="C40" s="167">
        <f>(C14*C5)-C17-C31</f>
        <v>346.0099999999984</v>
      </c>
    </row>
    <row r="41" spans="1:3">
      <c r="B41" s="27" t="s">
        <v>381</v>
      </c>
      <c r="C41" s="167">
        <f>(C6*C14)-C33-C18</f>
        <v>0.34000000000014552</v>
      </c>
    </row>
    <row r="42" spans="1:3">
      <c r="A42" s="170" t="s">
        <v>380</v>
      </c>
      <c r="B42" s="27" t="s">
        <v>379</v>
      </c>
      <c r="C42" s="166">
        <f>SUM(C37:C41)</f>
        <v>-5060.287999999995</v>
      </c>
    </row>
    <row r="44" spans="1:3">
      <c r="B44"/>
      <c r="C44" s="165" t="s">
        <v>378</v>
      </c>
    </row>
    <row r="45" spans="1:3">
      <c r="A45" s="170" t="s">
        <v>377</v>
      </c>
      <c r="B45" s="164" t="s">
        <v>376</v>
      </c>
      <c r="C45" s="163">
        <f>C34</f>
        <v>56640</v>
      </c>
    </row>
    <row r="46" spans="1:3">
      <c r="B46" s="161" t="s">
        <v>375</v>
      </c>
      <c r="C46" s="162">
        <v>0</v>
      </c>
    </row>
    <row r="47" spans="1:3">
      <c r="B47" s="161" t="s">
        <v>374</v>
      </c>
      <c r="C47" s="160">
        <f>C42</f>
        <v>-5060.287999999995</v>
      </c>
    </row>
    <row r="48" spans="1:3">
      <c r="B48" s="73" t="s">
        <v>373</v>
      </c>
      <c r="C48" s="159">
        <v>0</v>
      </c>
    </row>
    <row r="49" spans="2:4">
      <c r="B49" s="158" t="s">
        <v>372</v>
      </c>
      <c r="C49" s="157">
        <f>SUM(C45:C48)</f>
        <v>51579.712000000007</v>
      </c>
      <c r="D49" s="153"/>
    </row>
    <row r="50" spans="2:4">
      <c r="B50" s="73" t="s">
        <v>117</v>
      </c>
      <c r="C50" s="159">
        <f>C21</f>
        <v>0</v>
      </c>
    </row>
    <row r="51" spans="2:4">
      <c r="B51" s="158" t="s">
        <v>371</v>
      </c>
      <c r="C51" s="157">
        <f>C49+C50</f>
        <v>51579.712000000007</v>
      </c>
    </row>
    <row r="52" spans="2:4">
      <c r="B52" s="73" t="s">
        <v>370</v>
      </c>
      <c r="C52" s="156">
        <f>-35%*C51</f>
        <v>-18052.8992</v>
      </c>
    </row>
    <row r="53" spans="2:4">
      <c r="B53" s="155" t="s">
        <v>369</v>
      </c>
      <c r="C53" s="154">
        <f>SUM(C51:C52)</f>
        <v>33526.812800000007</v>
      </c>
      <c r="D53" s="15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F29D-C91F-4488-9EAF-E0C8098CC0F8}">
  <dimension ref="A1:L68"/>
  <sheetViews>
    <sheetView zoomScale="85" zoomScaleNormal="85" workbookViewId="0">
      <selection activeCell="C15" sqref="C15"/>
    </sheetView>
  </sheetViews>
  <sheetFormatPr baseColWidth="10" defaultColWidth="8.81640625" defaultRowHeight="14.5"/>
  <cols>
    <col min="2" max="2" width="30.1796875" customWidth="1"/>
    <col min="3" max="3" width="31.1796875" bestFit="1" customWidth="1"/>
    <col min="4" max="5" width="14.1796875" customWidth="1"/>
    <col min="6" max="6" width="16.179687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 t="s">
        <v>328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 t="s">
        <v>329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12" t="s">
        <v>172</v>
      </c>
      <c r="B8" s="3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12" t="s">
        <v>173</v>
      </c>
      <c r="B9" s="3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5">
      <c r="A10" s="12" t="s">
        <v>53</v>
      </c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5">
      <c r="A11" s="7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5">
      <c r="A12" s="4" t="s">
        <v>174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5">
      <c r="A14" s="4" t="s">
        <v>10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5">
      <c r="A15" s="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5">
      <c r="A16" s="12" t="s">
        <v>175</v>
      </c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5">
      <c r="A17" s="12" t="s">
        <v>54</v>
      </c>
      <c r="B17" s="3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.5">
      <c r="A18" s="12" t="s">
        <v>55</v>
      </c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.5">
      <c r="A19" s="12" t="s">
        <v>56</v>
      </c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15.5">
      <c r="A20" s="4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5">
      <c r="A21" s="3" t="s">
        <v>176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5">
      <c r="A22" s="3" t="s">
        <v>3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33" spans="1:12" ht="15.5">
      <c r="A33" s="3" t="s">
        <v>177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5">
      <c r="A34" s="2"/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5">
      <c r="A35" s="5" t="s">
        <v>57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5">
      <c r="A36" s="3" t="s">
        <v>3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47" spans="1:12" ht="15.5">
      <c r="A47" s="5" t="s">
        <v>178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5.5">
      <c r="A48" s="3" t="s">
        <v>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59" spans="1:12" ht="15.5">
      <c r="A59" s="4" t="s">
        <v>114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5">
      <c r="A60" s="4"/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1:12" ht="15.5">
      <c r="A61" s="12" t="s">
        <v>179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1:12" ht="15.5">
      <c r="A62" s="12" t="s">
        <v>180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1:12" ht="15.5">
      <c r="A63" s="12" t="s">
        <v>181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2" ht="15.5">
      <c r="A64" s="12" t="s">
        <v>182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1:12" ht="15.5">
      <c r="A65" s="12" t="s">
        <v>183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5">
      <c r="A67" s="3" t="s">
        <v>231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5">
      <c r="A68" s="3" t="s">
        <v>232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578B-82E4-47F7-97ED-B85834AD66D6}">
  <dimension ref="B2:D68"/>
  <sheetViews>
    <sheetView showGridLines="0" zoomScale="85" zoomScaleNormal="85" workbookViewId="0">
      <selection activeCell="C12" sqref="C12"/>
    </sheetView>
  </sheetViews>
  <sheetFormatPr baseColWidth="10" defaultColWidth="8.81640625" defaultRowHeight="14.5"/>
  <cols>
    <col min="1" max="1" width="2.81640625" customWidth="1"/>
    <col min="2" max="4" width="43.1796875" customWidth="1"/>
  </cols>
  <sheetData>
    <row r="2" spans="2:4" ht="15.5">
      <c r="B2" s="122" t="s">
        <v>58</v>
      </c>
      <c r="C2" s="123"/>
    </row>
    <row r="3" spans="2:4" ht="15.5">
      <c r="B3" s="122"/>
      <c r="C3" s="124" t="s">
        <v>330</v>
      </c>
      <c r="D3" s="124" t="s">
        <v>331</v>
      </c>
    </row>
    <row r="4" spans="2:4" ht="31">
      <c r="B4" s="125" t="s">
        <v>59</v>
      </c>
      <c r="C4" s="126" t="s">
        <v>60</v>
      </c>
      <c r="D4" s="126" t="s">
        <v>61</v>
      </c>
    </row>
    <row r="5" spans="2:4" ht="15.5">
      <c r="B5" s="127" t="s">
        <v>184</v>
      </c>
      <c r="C5" s="128">
        <v>6000</v>
      </c>
      <c r="D5" s="128">
        <v>8000</v>
      </c>
    </row>
    <row r="6" spans="2:4" ht="15.5">
      <c r="B6" s="127" t="s">
        <v>185</v>
      </c>
      <c r="C6" s="129">
        <v>0</v>
      </c>
      <c r="D6" s="130">
        <v>2.75E-2</v>
      </c>
    </row>
    <row r="7" spans="2:4" ht="15.5">
      <c r="B7" s="127" t="s">
        <v>62</v>
      </c>
      <c r="C7" s="126" t="s">
        <v>63</v>
      </c>
      <c r="D7" s="126" t="s">
        <v>63</v>
      </c>
    </row>
    <row r="8" spans="2:4" ht="15.5">
      <c r="B8" s="131" t="s">
        <v>186</v>
      </c>
      <c r="C8" s="132">
        <v>6</v>
      </c>
      <c r="D8" s="132">
        <v>6</v>
      </c>
    </row>
    <row r="9" spans="2:4" ht="15.5">
      <c r="B9" s="131" t="s">
        <v>64</v>
      </c>
      <c r="C9" s="171">
        <f>10/1000</f>
        <v>0.01</v>
      </c>
      <c r="D9" s="171">
        <f>10/1000</f>
        <v>0.01</v>
      </c>
    </row>
    <row r="10" spans="2:4" ht="15.5">
      <c r="B10" s="131" t="s">
        <v>65</v>
      </c>
      <c r="C10" s="132" t="s">
        <v>187</v>
      </c>
      <c r="D10" s="132" t="s">
        <v>187</v>
      </c>
    </row>
    <row r="11" spans="2:4" ht="15.5">
      <c r="B11" s="133"/>
      <c r="C11" s="123"/>
    </row>
    <row r="12" spans="2:4" ht="15.5">
      <c r="B12" s="122" t="s">
        <v>66</v>
      </c>
    </row>
    <row r="13" spans="2:4" ht="15.5">
      <c r="B13" s="134" t="s">
        <v>67</v>
      </c>
      <c r="C13" s="134" t="s">
        <v>332</v>
      </c>
      <c r="D13" s="134" t="s">
        <v>4</v>
      </c>
    </row>
    <row r="14" spans="2:4" ht="15.5">
      <c r="B14" s="128">
        <v>50000</v>
      </c>
      <c r="C14" s="126">
        <v>15</v>
      </c>
      <c r="D14" s="126">
        <v>38.5</v>
      </c>
    </row>
    <row r="15" spans="2:4" ht="15.5">
      <c r="B15" s="128">
        <v>150000</v>
      </c>
      <c r="C15" s="126">
        <v>4</v>
      </c>
      <c r="D15" s="126">
        <v>52.5</v>
      </c>
    </row>
    <row r="17" spans="2:3" ht="15.5">
      <c r="B17" s="122" t="s">
        <v>68</v>
      </c>
    </row>
    <row r="18" spans="2:3" ht="15.5">
      <c r="B18" s="134" t="s">
        <v>69</v>
      </c>
      <c r="C18" s="135" t="s">
        <v>70</v>
      </c>
    </row>
    <row r="19" spans="2:3" ht="15.5">
      <c r="B19" s="129">
        <v>0</v>
      </c>
      <c r="C19" s="136" t="s">
        <v>71</v>
      </c>
    </row>
    <row r="20" spans="2:3" ht="15.5">
      <c r="B20" s="129">
        <v>0.15</v>
      </c>
      <c r="C20" s="136" t="s">
        <v>72</v>
      </c>
    </row>
    <row r="21" spans="2:3" ht="15.5">
      <c r="B21" s="129">
        <v>0.3</v>
      </c>
      <c r="C21" s="136" t="s">
        <v>73</v>
      </c>
    </row>
    <row r="22" spans="2:3" ht="15.5">
      <c r="B22" s="129">
        <v>0.4</v>
      </c>
      <c r="C22" s="136" t="s">
        <v>74</v>
      </c>
    </row>
    <row r="23" spans="2:3" ht="15.5">
      <c r="B23" s="129">
        <v>0.5</v>
      </c>
      <c r="C23" s="136" t="s">
        <v>75</v>
      </c>
    </row>
    <row r="25" spans="2:3" ht="15.5">
      <c r="B25" s="122" t="s">
        <v>76</v>
      </c>
    </row>
    <row r="26" spans="2:3" ht="31">
      <c r="B26" s="136" t="s">
        <v>77</v>
      </c>
      <c r="C26" s="137">
        <v>0.8</v>
      </c>
    </row>
    <row r="27" spans="2:3" ht="31">
      <c r="B27" s="136" t="s">
        <v>188</v>
      </c>
      <c r="C27" s="127">
        <v>1000</v>
      </c>
    </row>
    <row r="28" spans="2:3" ht="15.5">
      <c r="B28" s="131" t="s">
        <v>189</v>
      </c>
      <c r="C28" s="138">
        <v>0.03</v>
      </c>
    </row>
    <row r="29" spans="2:3" ht="15.5">
      <c r="B29" s="131" t="s">
        <v>190</v>
      </c>
      <c r="C29" s="125" t="s">
        <v>191</v>
      </c>
    </row>
    <row r="30" spans="2:3" ht="15.5">
      <c r="B30" s="131" t="s">
        <v>192</v>
      </c>
      <c r="C30" s="137">
        <v>0.02</v>
      </c>
    </row>
    <row r="31" spans="2:3" ht="31">
      <c r="B31" s="131" t="s">
        <v>78</v>
      </c>
      <c r="C31" s="125" t="s">
        <v>79</v>
      </c>
    </row>
    <row r="33" spans="2:3" ht="15.5">
      <c r="B33" s="139" t="s">
        <v>80</v>
      </c>
      <c r="C33" s="139" t="s">
        <v>81</v>
      </c>
    </row>
    <row r="34" spans="2:3" ht="15.5">
      <c r="B34" s="140" t="s">
        <v>82</v>
      </c>
      <c r="C34" s="140">
        <v>6.4839999999999995E-2</v>
      </c>
    </row>
    <row r="35" spans="2:3" ht="15.5">
      <c r="B35" s="140" t="s">
        <v>83</v>
      </c>
      <c r="C35" s="140">
        <v>6.3839999999999994E-2</v>
      </c>
    </row>
    <row r="36" spans="2:3" ht="15.5">
      <c r="B36" s="140" t="s">
        <v>84</v>
      </c>
      <c r="C36" s="140">
        <v>6.1850000000000002E-2</v>
      </c>
    </row>
    <row r="37" spans="2:3" ht="15.5">
      <c r="B37" s="140" t="s">
        <v>85</v>
      </c>
      <c r="C37" s="140">
        <v>5.985E-2</v>
      </c>
    </row>
    <row r="38" spans="2:3" ht="15.5">
      <c r="B38" s="140" t="s">
        <v>86</v>
      </c>
      <c r="C38" s="140">
        <v>5.6860000000000001E-2</v>
      </c>
    </row>
    <row r="39" spans="2:3" ht="15.5">
      <c r="B39" s="140" t="s">
        <v>87</v>
      </c>
      <c r="C39" s="140">
        <v>5.3789999999999998E-2</v>
      </c>
    </row>
    <row r="40" spans="2:3" ht="15.5">
      <c r="B40" s="140" t="s">
        <v>88</v>
      </c>
      <c r="C40" s="140">
        <v>5.0869999999999999E-2</v>
      </c>
    </row>
    <row r="41" spans="2:3" ht="15.5">
      <c r="B41" s="140" t="s">
        <v>89</v>
      </c>
      <c r="C41" s="140">
        <v>4.8120000000000003E-2</v>
      </c>
    </row>
    <row r="42" spans="2:3" ht="15.5">
      <c r="B42" s="140" t="s">
        <v>90</v>
      </c>
      <c r="C42" s="140">
        <v>4.5519999999999998E-2</v>
      </c>
    </row>
    <row r="43" spans="2:3" ht="15.5">
      <c r="B43" s="140" t="s">
        <v>91</v>
      </c>
      <c r="C43" s="140">
        <v>4.3049999999999998E-2</v>
      </c>
    </row>
    <row r="44" spans="2:3" ht="15.5">
      <c r="B44" s="140" t="s">
        <v>92</v>
      </c>
      <c r="C44" s="140">
        <v>4.0730000000000002E-2</v>
      </c>
    </row>
    <row r="45" spans="2:3" ht="15.5">
      <c r="B45" s="140" t="s">
        <v>93</v>
      </c>
      <c r="C45" s="140">
        <v>3.8519999999999999E-2</v>
      </c>
    </row>
    <row r="46" spans="2:3" ht="15.5">
      <c r="B46" s="140" t="s">
        <v>94</v>
      </c>
      <c r="C46" s="140">
        <v>3.644E-2</v>
      </c>
    </row>
    <row r="47" spans="2:3" ht="15.5">
      <c r="B47" s="140" t="s">
        <v>95</v>
      </c>
      <c r="C47" s="140">
        <v>3.4459999999999998E-2</v>
      </c>
    </row>
    <row r="48" spans="2:3" ht="15.5">
      <c r="B48" s="140" t="s">
        <v>96</v>
      </c>
      <c r="C48" s="140">
        <v>3.2599999999999997E-2</v>
      </c>
    </row>
    <row r="49" spans="2:3" ht="15.5">
      <c r="B49" s="140" t="s">
        <v>97</v>
      </c>
      <c r="C49" s="140">
        <v>3.083E-2</v>
      </c>
    </row>
    <row r="50" spans="2:3" ht="15.5">
      <c r="B50" s="140" t="s">
        <v>98</v>
      </c>
      <c r="C50" s="140">
        <v>2.9170000000000001E-2</v>
      </c>
    </row>
    <row r="51" spans="2:3" ht="15.5">
      <c r="B51" s="140" t="s">
        <v>99</v>
      </c>
      <c r="C51" s="140">
        <v>2.759E-2</v>
      </c>
    </row>
    <row r="52" spans="2:3" ht="15.5">
      <c r="B52" s="140" t="s">
        <v>100</v>
      </c>
      <c r="C52" s="140">
        <v>2.6100000000000002E-2</v>
      </c>
    </row>
    <row r="53" spans="2:3" ht="15.5">
      <c r="B53" s="140" t="s">
        <v>101</v>
      </c>
      <c r="C53" s="140">
        <v>3.7680000000000005E-2</v>
      </c>
    </row>
    <row r="54" spans="2:3" ht="15.5">
      <c r="B54" s="140" t="s">
        <v>102</v>
      </c>
      <c r="C54" s="140">
        <v>6.234E-2</v>
      </c>
    </row>
    <row r="55" spans="2:3" ht="15.5">
      <c r="B55" s="140" t="s">
        <v>103</v>
      </c>
      <c r="C55" s="140">
        <v>0.16508</v>
      </c>
    </row>
    <row r="56" spans="2:3" ht="15.5">
      <c r="B56" s="140" t="s">
        <v>104</v>
      </c>
      <c r="C56" s="140">
        <v>7.288E-2</v>
      </c>
    </row>
    <row r="57" spans="2:3" ht="15.5">
      <c r="B57" s="140" t="s">
        <v>105</v>
      </c>
      <c r="C57" s="140">
        <v>3.2750000000000001E-2</v>
      </c>
    </row>
    <row r="58" spans="2:3" ht="15.5">
      <c r="B58" s="140" t="s">
        <v>106</v>
      </c>
      <c r="C58" s="140">
        <v>1.8679999999999999E-2</v>
      </c>
    </row>
    <row r="59" spans="2:3" ht="15.5">
      <c r="B59" s="140" t="s">
        <v>107</v>
      </c>
      <c r="C59" s="140">
        <v>1.7680000000000001E-2</v>
      </c>
    </row>
    <row r="60" spans="2:3" ht="15.5">
      <c r="B60" s="140" t="s">
        <v>108</v>
      </c>
      <c r="C60" s="140">
        <v>1.6719999999999999E-2</v>
      </c>
    </row>
    <row r="61" spans="2:3" ht="15.5">
      <c r="B61" s="140" t="s">
        <v>109</v>
      </c>
      <c r="C61" s="140">
        <v>1.5810000000000001E-2</v>
      </c>
    </row>
    <row r="62" spans="2:3" ht="15.5">
      <c r="B62" s="140" t="s">
        <v>110</v>
      </c>
      <c r="C62" s="140">
        <v>1.495E-2</v>
      </c>
    </row>
    <row r="63" spans="2:3" ht="15.5">
      <c r="B63" s="140" t="s">
        <v>111</v>
      </c>
      <c r="C63" s="140">
        <v>1.4200000000000001E-2</v>
      </c>
    </row>
    <row r="64" spans="2:3" ht="15.5">
      <c r="B64" s="140" t="s">
        <v>12</v>
      </c>
      <c r="C64" s="140">
        <v>0.16200000000000001</v>
      </c>
    </row>
    <row r="65" spans="2:3" ht="15.5">
      <c r="B65" s="140" t="s">
        <v>13</v>
      </c>
      <c r="C65" s="140">
        <v>8.1000000000000003E-2</v>
      </c>
    </row>
    <row r="66" spans="2:3" ht="15.5">
      <c r="B66" s="140" t="s">
        <v>14</v>
      </c>
      <c r="C66" s="140">
        <v>4.0500000000000001E-2</v>
      </c>
    </row>
    <row r="67" spans="2:3" ht="15.5">
      <c r="B67" s="140" t="s">
        <v>15</v>
      </c>
      <c r="C67" s="140">
        <v>3.0380000000000001E-2</v>
      </c>
    </row>
    <row r="68" spans="2:3" ht="15.5">
      <c r="B68" s="140" t="s">
        <v>112</v>
      </c>
      <c r="C68" s="140">
        <v>2.2790000000000001E-2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EE852-6124-412B-8D17-4D72474B9FC6}">
  <dimension ref="A2:I15"/>
  <sheetViews>
    <sheetView showGridLines="0" zoomScale="85" zoomScaleNormal="85" workbookViewId="0">
      <selection activeCell="E19" sqref="E19"/>
    </sheetView>
  </sheetViews>
  <sheetFormatPr baseColWidth="10" defaultColWidth="8.81640625" defaultRowHeight="14.5"/>
  <cols>
    <col min="1" max="1" width="8.81640625" style="8"/>
    <col min="2" max="5" width="21.81640625" style="8" customWidth="1"/>
    <col min="6" max="6" width="21.81640625" customWidth="1"/>
    <col min="7" max="16384" width="8.81640625" style="8"/>
  </cols>
  <sheetData>
    <row r="2" spans="1:9">
      <c r="A2" s="176" t="s">
        <v>399</v>
      </c>
      <c r="B2" s="175"/>
      <c r="C2" s="175"/>
      <c r="D2" s="175"/>
      <c r="E2" s="175"/>
      <c r="F2" s="175"/>
      <c r="G2" s="175"/>
      <c r="H2" s="175"/>
      <c r="I2" s="175"/>
    </row>
    <row r="3" spans="1:9">
      <c r="F3" s="8"/>
    </row>
    <row r="4" spans="1:9">
      <c r="B4" s="174" t="s">
        <v>397</v>
      </c>
      <c r="C4" s="174" t="s">
        <v>395</v>
      </c>
      <c r="F4" s="8"/>
    </row>
    <row r="5" spans="1:9">
      <c r="A5" s="89"/>
      <c r="B5" s="173">
        <v>50000</v>
      </c>
      <c r="C5" s="173">
        <f>MIN(6000*12,12*(60%*MIN(B5/12,4500)+45%*MAX(0,B5/12-4500)))</f>
        <v>30000</v>
      </c>
      <c r="F5" s="8"/>
    </row>
    <row r="6" spans="1:9">
      <c r="A6" s="89"/>
      <c r="B6" s="173">
        <v>150000</v>
      </c>
      <c r="C6" s="173">
        <f>MIN(6000*12,12*(60%*MIN(B6/12,4500)+45%*MAX(0,B6/12-4500)))</f>
        <v>72000</v>
      </c>
      <c r="F6" s="8"/>
    </row>
    <row r="7" spans="1:9">
      <c r="F7" s="8"/>
    </row>
    <row r="8" spans="1:9">
      <c r="A8" s="176" t="s">
        <v>398</v>
      </c>
      <c r="B8" s="175"/>
      <c r="C8" s="175"/>
      <c r="D8" s="175"/>
      <c r="E8" s="175"/>
      <c r="F8" s="175"/>
      <c r="G8" s="175"/>
      <c r="H8" s="175"/>
      <c r="I8" s="175"/>
    </row>
    <row r="9" spans="1:9">
      <c r="F9" s="8"/>
    </row>
    <row r="10" spans="1:9">
      <c r="B10" s="174" t="s">
        <v>397</v>
      </c>
      <c r="C10" s="174" t="s">
        <v>396</v>
      </c>
      <c r="D10" s="174" t="s">
        <v>395</v>
      </c>
      <c r="E10" s="174" t="s">
        <v>358</v>
      </c>
      <c r="F10" s="8"/>
    </row>
    <row r="11" spans="1:9">
      <c r="B11" s="173">
        <v>50000</v>
      </c>
      <c r="C11" s="173">
        <f>MIN(8000*12,65%*B11)</f>
        <v>32500</v>
      </c>
      <c r="D11" s="173">
        <f>C11-('Data for Q5'!B20*(C11-20000))</f>
        <v>30625</v>
      </c>
      <c r="E11" s="172">
        <f>D11/C5-1</f>
        <v>2.0833333333333259E-2</v>
      </c>
      <c r="F11" s="8"/>
    </row>
    <row r="12" spans="1:9">
      <c r="A12" s="89"/>
      <c r="B12" s="173">
        <v>150000</v>
      </c>
      <c r="C12" s="173">
        <f>MIN(8000*12,65%*B12)</f>
        <v>96000</v>
      </c>
      <c r="D12" s="173">
        <f>C12-('Data for Q5'!B20*(40000-20000)+'Data for Q5'!B21*(70000-40000)+'Data for Q5'!B22*(C12-70000))</f>
        <v>73600</v>
      </c>
      <c r="E12" s="172">
        <f>D12/C6-1</f>
        <v>2.2222222222222143E-2</v>
      </c>
      <c r="F12" s="8"/>
    </row>
    <row r="14" spans="1:9">
      <c r="A14" s="89" t="s">
        <v>394</v>
      </c>
    </row>
    <row r="15" spans="1:9">
      <c r="A15" s="89" t="s">
        <v>393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F7D2-3BDF-4EA3-A8F7-DF2BEF5E3A88}">
  <dimension ref="A2:E116"/>
  <sheetViews>
    <sheetView zoomScale="85" zoomScaleNormal="85" workbookViewId="0">
      <selection activeCell="B18" sqref="B18"/>
    </sheetView>
  </sheetViews>
  <sheetFormatPr baseColWidth="10" defaultColWidth="8.7265625" defaultRowHeight="14.5"/>
  <cols>
    <col min="1" max="1" width="18.54296875" customWidth="1"/>
    <col min="2" max="2" width="18.1796875" customWidth="1"/>
    <col min="3" max="3" width="17.453125" style="8" customWidth="1"/>
  </cols>
  <sheetData>
    <row r="2" spans="1:5">
      <c r="A2" s="9" t="s">
        <v>252</v>
      </c>
      <c r="B2" s="9" t="s">
        <v>253</v>
      </c>
      <c r="C2" s="89" t="s">
        <v>254</v>
      </c>
    </row>
    <row r="3" spans="1:5">
      <c r="A3" t="s">
        <v>255</v>
      </c>
      <c r="B3" t="s">
        <v>255</v>
      </c>
      <c r="C3" s="87">
        <v>588.6</v>
      </c>
      <c r="D3" s="88"/>
      <c r="E3" s="87"/>
    </row>
    <row r="4" spans="1:5">
      <c r="A4" t="s">
        <v>255</v>
      </c>
      <c r="B4" t="s">
        <v>256</v>
      </c>
      <c r="C4" s="87">
        <v>803.99999999999989</v>
      </c>
      <c r="D4" s="88"/>
      <c r="E4" s="87"/>
    </row>
    <row r="5" spans="1:5">
      <c r="A5" t="s">
        <v>255</v>
      </c>
      <c r="B5" t="s">
        <v>257</v>
      </c>
      <c r="C5" s="87">
        <v>298.5</v>
      </c>
      <c r="D5" s="88"/>
      <c r="E5" s="87"/>
    </row>
    <row r="6" spans="1:5">
      <c r="A6" t="s">
        <v>255</v>
      </c>
      <c r="B6" t="s">
        <v>258</v>
      </c>
      <c r="C6" s="87">
        <v>205.39999999999998</v>
      </c>
      <c r="D6" s="88"/>
      <c r="E6" s="87"/>
    </row>
    <row r="7" spans="1:5">
      <c r="A7" t="s">
        <v>255</v>
      </c>
      <c r="B7" t="s">
        <v>259</v>
      </c>
      <c r="C7" s="87">
        <v>50.649999999999991</v>
      </c>
      <c r="D7" s="88"/>
      <c r="E7" s="87"/>
    </row>
    <row r="8" spans="1:5">
      <c r="A8" t="s">
        <v>255</v>
      </c>
      <c r="B8" t="s">
        <v>260</v>
      </c>
      <c r="C8" s="87">
        <v>48.5</v>
      </c>
      <c r="D8" s="88"/>
      <c r="E8" s="87"/>
    </row>
    <row r="9" spans="1:5">
      <c r="A9" t="s">
        <v>255</v>
      </c>
      <c r="B9" t="s">
        <v>261</v>
      </c>
      <c r="C9" s="87">
        <v>0</v>
      </c>
      <c r="D9" s="88"/>
      <c r="E9" s="87"/>
    </row>
    <row r="10" spans="1:5">
      <c r="A10" t="s">
        <v>255</v>
      </c>
      <c r="B10" t="s">
        <v>262</v>
      </c>
      <c r="C10" s="87">
        <v>0</v>
      </c>
      <c r="D10" s="88"/>
      <c r="E10" s="87"/>
    </row>
    <row r="11" spans="1:5">
      <c r="A11" t="s">
        <v>255</v>
      </c>
      <c r="B11" t="s">
        <v>263</v>
      </c>
      <c r="C11" s="87">
        <v>0</v>
      </c>
      <c r="D11" s="88"/>
      <c r="E11" s="87"/>
    </row>
    <row r="12" spans="1:5">
      <c r="A12" t="s">
        <v>255</v>
      </c>
      <c r="B12" t="s">
        <v>264</v>
      </c>
      <c r="C12" s="87">
        <v>0</v>
      </c>
      <c r="D12" s="88"/>
      <c r="E12" s="87"/>
    </row>
    <row r="13" spans="1:5">
      <c r="A13" t="s">
        <v>255</v>
      </c>
      <c r="B13" t="s">
        <v>265</v>
      </c>
      <c r="C13" s="87">
        <v>0</v>
      </c>
      <c r="D13" s="88"/>
      <c r="E13" s="87"/>
    </row>
    <row r="14" spans="1:5">
      <c r="A14" t="s">
        <v>255</v>
      </c>
      <c r="B14" t="s">
        <v>266</v>
      </c>
      <c r="C14" s="87">
        <v>0</v>
      </c>
      <c r="D14" s="88"/>
      <c r="E14" s="87"/>
    </row>
    <row r="15" spans="1:5">
      <c r="A15" t="s">
        <v>255</v>
      </c>
      <c r="B15" t="s">
        <v>267</v>
      </c>
      <c r="C15" s="87">
        <v>0</v>
      </c>
      <c r="D15" s="88"/>
      <c r="E15" s="87"/>
    </row>
    <row r="16" spans="1:5">
      <c r="A16" t="s">
        <v>255</v>
      </c>
      <c r="B16" t="s">
        <v>268</v>
      </c>
      <c r="C16" s="87">
        <v>0</v>
      </c>
      <c r="D16" s="88"/>
      <c r="E16" s="87"/>
    </row>
    <row r="17" spans="1:5">
      <c r="A17" t="s">
        <v>255</v>
      </c>
      <c r="B17" t="s">
        <v>269</v>
      </c>
      <c r="C17" s="87">
        <v>0</v>
      </c>
      <c r="D17" s="88"/>
      <c r="E17" s="87"/>
    </row>
    <row r="18" spans="1:5">
      <c r="A18" t="s">
        <v>256</v>
      </c>
      <c r="B18" t="s">
        <v>256</v>
      </c>
      <c r="C18" s="87">
        <v>630</v>
      </c>
      <c r="D18" s="88"/>
      <c r="E18" s="87"/>
    </row>
    <row r="19" spans="1:5">
      <c r="A19" t="s">
        <v>256</v>
      </c>
      <c r="B19" t="s">
        <v>257</v>
      </c>
      <c r="C19" s="87">
        <v>789.6</v>
      </c>
      <c r="D19" s="88"/>
      <c r="E19" s="87"/>
    </row>
    <row r="20" spans="1:5">
      <c r="A20" t="s">
        <v>256</v>
      </c>
      <c r="B20" t="s">
        <v>258</v>
      </c>
      <c r="C20" s="87">
        <v>312.89999999999998</v>
      </c>
      <c r="D20" s="88"/>
      <c r="E20" s="87"/>
    </row>
    <row r="21" spans="1:5">
      <c r="A21" t="s">
        <v>256</v>
      </c>
      <c r="B21" t="s">
        <v>259</v>
      </c>
      <c r="C21" s="87">
        <v>196</v>
      </c>
      <c r="D21" s="88"/>
      <c r="E21" s="87"/>
    </row>
    <row r="22" spans="1:5">
      <c r="A22" t="s">
        <v>256</v>
      </c>
      <c r="B22" t="s">
        <v>260</v>
      </c>
      <c r="C22" s="87">
        <v>48.3</v>
      </c>
      <c r="D22" s="88"/>
      <c r="E22" s="87"/>
    </row>
    <row r="23" spans="1:5">
      <c r="A23" t="s">
        <v>256</v>
      </c>
      <c r="B23" t="s">
        <v>261</v>
      </c>
      <c r="C23" s="87">
        <v>25.1</v>
      </c>
      <c r="D23" s="88"/>
      <c r="E23" s="87"/>
    </row>
    <row r="24" spans="1:5">
      <c r="A24" t="s">
        <v>256</v>
      </c>
      <c r="B24" t="s">
        <v>262</v>
      </c>
      <c r="C24" s="87">
        <v>0</v>
      </c>
      <c r="D24" s="88"/>
      <c r="E24" s="87"/>
    </row>
    <row r="25" spans="1:5">
      <c r="A25" t="s">
        <v>256</v>
      </c>
      <c r="B25" t="s">
        <v>263</v>
      </c>
      <c r="C25" s="87">
        <v>0</v>
      </c>
      <c r="D25" s="88"/>
      <c r="E25" s="87"/>
    </row>
    <row r="26" spans="1:5">
      <c r="A26" t="s">
        <v>256</v>
      </c>
      <c r="B26" t="s">
        <v>264</v>
      </c>
      <c r="C26" s="87">
        <v>0</v>
      </c>
      <c r="D26" s="88"/>
      <c r="E26" s="87"/>
    </row>
    <row r="27" spans="1:5">
      <c r="A27" t="s">
        <v>256</v>
      </c>
      <c r="B27" t="s">
        <v>265</v>
      </c>
      <c r="C27" s="87">
        <v>0</v>
      </c>
      <c r="D27" s="88"/>
      <c r="E27" s="87"/>
    </row>
    <row r="28" spans="1:5">
      <c r="A28" t="s">
        <v>256</v>
      </c>
      <c r="B28" t="s">
        <v>266</v>
      </c>
      <c r="C28" s="87">
        <v>0</v>
      </c>
      <c r="D28" s="88"/>
      <c r="E28" s="87"/>
    </row>
    <row r="29" spans="1:5">
      <c r="A29" t="s">
        <v>256</v>
      </c>
      <c r="B29" t="s">
        <v>267</v>
      </c>
      <c r="C29" s="87">
        <v>0</v>
      </c>
      <c r="D29" s="88"/>
      <c r="E29" s="87"/>
    </row>
    <row r="30" spans="1:5">
      <c r="A30" t="s">
        <v>256</v>
      </c>
      <c r="B30" t="s">
        <v>268</v>
      </c>
      <c r="C30" s="87">
        <v>0</v>
      </c>
      <c r="D30" s="88"/>
      <c r="E30" s="87"/>
    </row>
    <row r="31" spans="1:5">
      <c r="A31" t="s">
        <v>256</v>
      </c>
      <c r="B31" t="s">
        <v>269</v>
      </c>
      <c r="C31" s="87">
        <v>0</v>
      </c>
      <c r="D31" s="88"/>
      <c r="E31" s="87"/>
    </row>
    <row r="32" spans="1:5">
      <c r="A32" t="s">
        <v>257</v>
      </c>
      <c r="B32" t="s">
        <v>257</v>
      </c>
      <c r="C32" s="87">
        <v>616.80000000000007</v>
      </c>
      <c r="D32" s="88"/>
      <c r="E32" s="87"/>
    </row>
    <row r="33" spans="1:5">
      <c r="A33" t="s">
        <v>257</v>
      </c>
      <c r="B33" t="s">
        <v>258</v>
      </c>
      <c r="C33" s="87">
        <v>801.6</v>
      </c>
      <c r="D33" s="88"/>
      <c r="E33" s="87"/>
    </row>
    <row r="34" spans="1:5">
      <c r="A34" t="s">
        <v>257</v>
      </c>
      <c r="B34" t="s">
        <v>259</v>
      </c>
      <c r="C34" s="87">
        <v>289.2</v>
      </c>
      <c r="D34" s="88"/>
      <c r="E34" s="87"/>
    </row>
    <row r="35" spans="1:5">
      <c r="A35" t="s">
        <v>257</v>
      </c>
      <c r="B35" t="s">
        <v>260</v>
      </c>
      <c r="C35" s="87">
        <v>201.2</v>
      </c>
      <c r="D35" s="88"/>
      <c r="E35" s="87"/>
    </row>
    <row r="36" spans="1:5">
      <c r="A36" t="s">
        <v>257</v>
      </c>
      <c r="B36" t="s">
        <v>261</v>
      </c>
      <c r="C36" s="87">
        <v>52.15</v>
      </c>
      <c r="D36" s="88"/>
      <c r="E36" s="87"/>
    </row>
    <row r="37" spans="1:5">
      <c r="A37" t="s">
        <v>257</v>
      </c>
      <c r="B37" t="s">
        <v>262</v>
      </c>
      <c r="C37" s="87">
        <v>10.38</v>
      </c>
      <c r="D37" s="88"/>
      <c r="E37" s="87"/>
    </row>
    <row r="38" spans="1:5">
      <c r="A38" t="s">
        <v>257</v>
      </c>
      <c r="B38" t="s">
        <v>263</v>
      </c>
      <c r="C38" s="87">
        <v>0</v>
      </c>
      <c r="D38" s="88"/>
      <c r="E38" s="87"/>
    </row>
    <row r="39" spans="1:5">
      <c r="A39" t="s">
        <v>257</v>
      </c>
      <c r="B39" t="s">
        <v>264</v>
      </c>
      <c r="C39" s="87">
        <v>0</v>
      </c>
      <c r="D39" s="88"/>
      <c r="E39" s="87"/>
    </row>
    <row r="40" spans="1:5">
      <c r="A40" t="s">
        <v>257</v>
      </c>
      <c r="B40" t="s">
        <v>265</v>
      </c>
      <c r="C40" s="87">
        <v>0</v>
      </c>
      <c r="D40" s="88"/>
      <c r="E40" s="87"/>
    </row>
    <row r="41" spans="1:5">
      <c r="A41" t="s">
        <v>257</v>
      </c>
      <c r="B41" t="s">
        <v>266</v>
      </c>
      <c r="C41" s="87">
        <v>0</v>
      </c>
      <c r="D41" s="88"/>
      <c r="E41" s="87"/>
    </row>
    <row r="42" spans="1:5">
      <c r="A42" t="s">
        <v>257</v>
      </c>
      <c r="B42" t="s">
        <v>267</v>
      </c>
      <c r="C42" s="87">
        <v>0</v>
      </c>
      <c r="D42" s="88"/>
      <c r="E42" s="87"/>
    </row>
    <row r="43" spans="1:5">
      <c r="A43" t="s">
        <v>257</v>
      </c>
      <c r="B43" t="s">
        <v>268</v>
      </c>
      <c r="C43" s="87">
        <v>0</v>
      </c>
      <c r="D43" s="88"/>
      <c r="E43" s="87"/>
    </row>
    <row r="44" spans="1:5">
      <c r="A44" t="s">
        <v>257</v>
      </c>
      <c r="B44" t="s">
        <v>269</v>
      </c>
      <c r="C44" s="87">
        <v>0</v>
      </c>
      <c r="D44" s="88"/>
      <c r="E44" s="87"/>
    </row>
    <row r="45" spans="1:5">
      <c r="A45" t="s">
        <v>258</v>
      </c>
      <c r="B45" t="s">
        <v>258</v>
      </c>
      <c r="C45" s="87">
        <v>625.20000000000005</v>
      </c>
      <c r="D45" s="88"/>
      <c r="E45" s="87"/>
    </row>
    <row r="46" spans="1:5">
      <c r="A46" t="s">
        <v>258</v>
      </c>
      <c r="B46" t="s">
        <v>259</v>
      </c>
      <c r="C46" s="87">
        <v>807.19999999999993</v>
      </c>
      <c r="D46" s="88"/>
      <c r="E46" s="87"/>
    </row>
    <row r="47" spans="1:5">
      <c r="A47" t="s">
        <v>258</v>
      </c>
      <c r="B47" t="s">
        <v>260</v>
      </c>
      <c r="C47" s="87">
        <v>313.5</v>
      </c>
      <c r="D47" s="88"/>
      <c r="E47" s="87"/>
    </row>
    <row r="48" spans="1:5">
      <c r="A48" t="s">
        <v>258</v>
      </c>
      <c r="B48" t="s">
        <v>261</v>
      </c>
      <c r="C48" s="87">
        <v>199.4</v>
      </c>
      <c r="D48" s="88"/>
      <c r="E48" s="87"/>
    </row>
    <row r="49" spans="1:5">
      <c r="A49" t="s">
        <v>258</v>
      </c>
      <c r="B49" t="s">
        <v>262</v>
      </c>
      <c r="C49" s="87">
        <v>49.55</v>
      </c>
      <c r="D49" s="88"/>
      <c r="E49" s="87"/>
    </row>
    <row r="50" spans="1:5">
      <c r="A50" t="s">
        <v>258</v>
      </c>
      <c r="B50" t="s">
        <v>263</v>
      </c>
      <c r="C50" s="87">
        <v>0</v>
      </c>
      <c r="D50" s="88"/>
      <c r="E50" s="87"/>
    </row>
    <row r="51" spans="1:5">
      <c r="A51" t="s">
        <v>258</v>
      </c>
      <c r="B51" t="s">
        <v>264</v>
      </c>
      <c r="C51" s="87">
        <v>0</v>
      </c>
      <c r="D51" s="88"/>
      <c r="E51" s="87"/>
    </row>
    <row r="52" spans="1:5">
      <c r="A52" t="s">
        <v>258</v>
      </c>
      <c r="B52" t="s">
        <v>265</v>
      </c>
      <c r="C52" s="87">
        <v>0</v>
      </c>
      <c r="D52" s="88"/>
      <c r="E52" s="87"/>
    </row>
    <row r="53" spans="1:5">
      <c r="A53" t="s">
        <v>258</v>
      </c>
      <c r="B53" t="s">
        <v>266</v>
      </c>
      <c r="C53" s="87">
        <v>0</v>
      </c>
      <c r="D53" s="88"/>
      <c r="E53" s="87"/>
    </row>
    <row r="54" spans="1:5">
      <c r="A54" t="s">
        <v>258</v>
      </c>
      <c r="B54" t="s">
        <v>267</v>
      </c>
      <c r="C54" s="87">
        <v>0</v>
      </c>
      <c r="D54" s="88"/>
      <c r="E54" s="87"/>
    </row>
    <row r="55" spans="1:5">
      <c r="A55" t="s">
        <v>258</v>
      </c>
      <c r="B55" t="s">
        <v>268</v>
      </c>
      <c r="C55" s="87">
        <v>0</v>
      </c>
      <c r="D55" s="88"/>
      <c r="E55" s="87"/>
    </row>
    <row r="56" spans="1:5">
      <c r="A56" t="s">
        <v>258</v>
      </c>
      <c r="B56" t="s">
        <v>269</v>
      </c>
      <c r="C56" s="87">
        <v>0</v>
      </c>
      <c r="D56" s="88"/>
      <c r="E56" s="87"/>
    </row>
    <row r="57" spans="1:5">
      <c r="A57" t="s">
        <v>259</v>
      </c>
      <c r="B57" t="s">
        <v>259</v>
      </c>
      <c r="C57" s="87">
        <v>573.6</v>
      </c>
      <c r="D57" s="88"/>
      <c r="E57" s="87"/>
    </row>
    <row r="58" spans="1:5">
      <c r="A58" t="s">
        <v>259</v>
      </c>
      <c r="B58" t="s">
        <v>260</v>
      </c>
      <c r="C58" s="87">
        <v>822.4</v>
      </c>
      <c r="D58" s="88"/>
      <c r="E58" s="87"/>
    </row>
    <row r="59" spans="1:5">
      <c r="A59" t="s">
        <v>259</v>
      </c>
      <c r="B59" t="s">
        <v>261</v>
      </c>
      <c r="C59" s="87">
        <v>306.60000000000002</v>
      </c>
      <c r="D59" s="88"/>
      <c r="E59" s="87"/>
    </row>
    <row r="60" spans="1:5">
      <c r="A60" t="s">
        <v>259</v>
      </c>
      <c r="B60" t="s">
        <v>262</v>
      </c>
      <c r="C60" s="87">
        <v>206.8</v>
      </c>
      <c r="D60" s="88"/>
      <c r="E60" s="87"/>
    </row>
    <row r="61" spans="1:5">
      <c r="A61" t="s">
        <v>259</v>
      </c>
      <c r="B61" t="s">
        <v>263</v>
      </c>
      <c r="C61" s="87">
        <v>51.249999999999993</v>
      </c>
      <c r="D61" s="88"/>
      <c r="E61" s="87"/>
    </row>
    <row r="62" spans="1:5">
      <c r="A62" t="s">
        <v>259</v>
      </c>
      <c r="B62" t="s">
        <v>264</v>
      </c>
      <c r="C62" s="87">
        <v>19.54</v>
      </c>
      <c r="D62" s="88"/>
      <c r="E62" s="87"/>
    </row>
    <row r="63" spans="1:5">
      <c r="A63" t="s">
        <v>259</v>
      </c>
      <c r="B63" t="s">
        <v>265</v>
      </c>
      <c r="C63" s="87">
        <v>0</v>
      </c>
      <c r="D63" s="88"/>
      <c r="E63" s="87"/>
    </row>
    <row r="64" spans="1:5">
      <c r="A64" t="s">
        <v>259</v>
      </c>
      <c r="B64" t="s">
        <v>266</v>
      </c>
      <c r="C64" s="87">
        <v>0</v>
      </c>
      <c r="D64" s="88"/>
      <c r="E64" s="87"/>
    </row>
    <row r="65" spans="1:5">
      <c r="A65" t="s">
        <v>259</v>
      </c>
      <c r="B65" t="s">
        <v>267</v>
      </c>
      <c r="C65" s="87">
        <v>0</v>
      </c>
      <c r="D65" s="88"/>
      <c r="E65" s="87"/>
    </row>
    <row r="66" spans="1:5">
      <c r="A66" t="s">
        <v>259</v>
      </c>
      <c r="B66" t="s">
        <v>268</v>
      </c>
      <c r="C66" s="87">
        <v>0</v>
      </c>
      <c r="D66" s="88"/>
      <c r="E66" s="87"/>
    </row>
    <row r="67" spans="1:5">
      <c r="A67" t="s">
        <v>259</v>
      </c>
      <c r="B67" t="s">
        <v>269</v>
      </c>
      <c r="C67" s="87">
        <v>0</v>
      </c>
      <c r="D67" s="88"/>
      <c r="E67" s="87"/>
    </row>
    <row r="68" spans="1:5">
      <c r="A68" t="s">
        <v>260</v>
      </c>
      <c r="B68" t="s">
        <v>260</v>
      </c>
      <c r="C68" s="87">
        <v>601.79999999999995</v>
      </c>
      <c r="D68" s="88"/>
      <c r="E68" s="87"/>
    </row>
    <row r="69" spans="1:5">
      <c r="A69" t="s">
        <v>260</v>
      </c>
      <c r="B69" t="s">
        <v>261</v>
      </c>
      <c r="C69" s="87">
        <v>840</v>
      </c>
      <c r="D69" s="88"/>
      <c r="E69" s="87"/>
    </row>
    <row r="70" spans="1:5">
      <c r="A70" t="s">
        <v>260</v>
      </c>
      <c r="B70" t="s">
        <v>262</v>
      </c>
      <c r="C70" s="87">
        <v>312.29999999999995</v>
      </c>
      <c r="D70" s="88"/>
      <c r="E70" s="87"/>
    </row>
    <row r="71" spans="1:5">
      <c r="A71" t="s">
        <v>260</v>
      </c>
      <c r="B71" t="s">
        <v>263</v>
      </c>
      <c r="C71" s="87">
        <v>208.8</v>
      </c>
      <c r="D71" s="88"/>
      <c r="E71" s="87"/>
    </row>
    <row r="72" spans="1:5">
      <c r="A72" t="s">
        <v>260</v>
      </c>
      <c r="B72" t="s">
        <v>264</v>
      </c>
      <c r="C72" s="87">
        <v>48.3</v>
      </c>
      <c r="D72" s="88"/>
      <c r="E72" s="87"/>
    </row>
    <row r="73" spans="1:5">
      <c r="A73" t="s">
        <v>260</v>
      </c>
      <c r="B73" t="s">
        <v>265</v>
      </c>
      <c r="C73" s="87">
        <v>9.65</v>
      </c>
      <c r="D73" s="88"/>
      <c r="E73" s="87"/>
    </row>
    <row r="74" spans="1:5">
      <c r="A74" t="s">
        <v>260</v>
      </c>
      <c r="B74" t="s">
        <v>266</v>
      </c>
      <c r="C74" s="87">
        <v>0</v>
      </c>
      <c r="D74" s="88"/>
      <c r="E74" s="87"/>
    </row>
    <row r="75" spans="1:5">
      <c r="A75" t="s">
        <v>260</v>
      </c>
      <c r="B75" t="s">
        <v>267</v>
      </c>
      <c r="C75" s="87">
        <v>0</v>
      </c>
      <c r="D75" s="88"/>
      <c r="E75" s="87"/>
    </row>
    <row r="76" spans="1:5">
      <c r="A76" t="s">
        <v>260</v>
      </c>
      <c r="B76" t="s">
        <v>268</v>
      </c>
      <c r="C76" s="87">
        <v>0</v>
      </c>
      <c r="D76" s="88"/>
      <c r="E76" s="87"/>
    </row>
    <row r="77" spans="1:5">
      <c r="A77" t="s">
        <v>260</v>
      </c>
      <c r="B77" t="s">
        <v>269</v>
      </c>
      <c r="C77" s="87">
        <v>0</v>
      </c>
      <c r="D77" s="88"/>
      <c r="E77" s="87"/>
    </row>
    <row r="78" spans="1:5">
      <c r="A78" t="s">
        <v>261</v>
      </c>
      <c r="B78" t="s">
        <v>261</v>
      </c>
      <c r="C78" s="87">
        <v>575.4</v>
      </c>
      <c r="D78" s="88"/>
      <c r="E78" s="87"/>
    </row>
    <row r="79" spans="1:5">
      <c r="A79" t="s">
        <v>261</v>
      </c>
      <c r="B79" t="s">
        <v>262</v>
      </c>
      <c r="C79" s="87">
        <v>788.8</v>
      </c>
      <c r="D79" s="88"/>
      <c r="E79" s="87"/>
    </row>
    <row r="80" spans="1:5">
      <c r="A80" t="s">
        <v>261</v>
      </c>
      <c r="B80" t="s">
        <v>263</v>
      </c>
      <c r="C80" s="87">
        <v>289.2</v>
      </c>
      <c r="D80" s="88"/>
      <c r="E80" s="87"/>
    </row>
    <row r="81" spans="1:5">
      <c r="A81" t="s">
        <v>261</v>
      </c>
      <c r="B81" t="s">
        <v>264</v>
      </c>
      <c r="C81" s="87">
        <v>195.79999999999998</v>
      </c>
      <c r="D81" s="88"/>
      <c r="E81" s="87"/>
    </row>
    <row r="82" spans="1:5">
      <c r="A82" t="s">
        <v>261</v>
      </c>
      <c r="B82" t="s">
        <v>265</v>
      </c>
      <c r="C82" s="87">
        <v>48.25</v>
      </c>
      <c r="D82" s="88"/>
      <c r="E82" s="87"/>
    </row>
    <row r="83" spans="1:5">
      <c r="A83" t="s">
        <v>261</v>
      </c>
      <c r="B83" t="s">
        <v>266</v>
      </c>
      <c r="C83" s="87">
        <v>0</v>
      </c>
      <c r="D83" s="88"/>
      <c r="E83" s="87"/>
    </row>
    <row r="84" spans="1:5">
      <c r="A84" t="s">
        <v>261</v>
      </c>
      <c r="B84" t="s">
        <v>267</v>
      </c>
      <c r="C84" s="87">
        <v>0</v>
      </c>
      <c r="D84" s="88"/>
      <c r="E84" s="87"/>
    </row>
    <row r="85" spans="1:5">
      <c r="A85" t="s">
        <v>261</v>
      </c>
      <c r="B85" t="s">
        <v>268</v>
      </c>
      <c r="C85" s="87">
        <v>0</v>
      </c>
      <c r="D85" s="88"/>
      <c r="E85" s="87"/>
    </row>
    <row r="86" spans="1:5">
      <c r="A86" t="s">
        <v>261</v>
      </c>
      <c r="B86" t="s">
        <v>269</v>
      </c>
      <c r="C86" s="87">
        <v>0</v>
      </c>
      <c r="D86" s="88"/>
      <c r="E86" s="87"/>
    </row>
    <row r="87" spans="1:5">
      <c r="A87" t="s">
        <v>262</v>
      </c>
      <c r="B87" t="s">
        <v>262</v>
      </c>
      <c r="C87" s="87">
        <v>628.80000000000007</v>
      </c>
      <c r="D87" s="88"/>
      <c r="E87" s="87"/>
    </row>
    <row r="88" spans="1:5">
      <c r="A88" t="s">
        <v>262</v>
      </c>
      <c r="B88" t="s">
        <v>263</v>
      </c>
      <c r="C88" s="87">
        <v>808.8</v>
      </c>
      <c r="D88" s="88"/>
      <c r="E88" s="87"/>
    </row>
    <row r="89" spans="1:5">
      <c r="A89" t="s">
        <v>262</v>
      </c>
      <c r="B89" t="s">
        <v>264</v>
      </c>
      <c r="C89" s="87">
        <v>300.29999999999995</v>
      </c>
      <c r="D89" s="88"/>
      <c r="E89" s="87"/>
    </row>
    <row r="90" spans="1:5">
      <c r="A90" t="s">
        <v>262</v>
      </c>
      <c r="B90" t="s">
        <v>265</v>
      </c>
      <c r="C90" s="87">
        <v>193.2</v>
      </c>
      <c r="D90" s="88"/>
      <c r="E90" s="87"/>
    </row>
    <row r="91" spans="1:5">
      <c r="A91" t="s">
        <v>262</v>
      </c>
      <c r="B91" t="s">
        <v>266</v>
      </c>
      <c r="C91" s="87">
        <v>47.9</v>
      </c>
      <c r="D91" s="88"/>
      <c r="E91" s="87"/>
    </row>
    <row r="92" spans="1:5">
      <c r="A92" t="s">
        <v>262</v>
      </c>
      <c r="B92" t="s">
        <v>267</v>
      </c>
      <c r="C92" s="87">
        <v>0</v>
      </c>
      <c r="D92" s="88"/>
      <c r="E92" s="87"/>
    </row>
    <row r="93" spans="1:5">
      <c r="A93" t="s">
        <v>262</v>
      </c>
      <c r="B93" t="s">
        <v>268</v>
      </c>
      <c r="C93" s="87">
        <v>0</v>
      </c>
      <c r="D93" s="88"/>
      <c r="E93" s="87"/>
    </row>
    <row r="94" spans="1:5">
      <c r="A94" t="s">
        <v>262</v>
      </c>
      <c r="B94" t="s">
        <v>269</v>
      </c>
      <c r="C94" s="87">
        <v>0</v>
      </c>
      <c r="D94" s="88"/>
      <c r="E94" s="87"/>
    </row>
    <row r="95" spans="1:5">
      <c r="A95" t="s">
        <v>263</v>
      </c>
      <c r="B95" t="s">
        <v>263</v>
      </c>
      <c r="C95" s="87">
        <v>626.4</v>
      </c>
      <c r="D95" s="88"/>
      <c r="E95" s="87"/>
    </row>
    <row r="96" spans="1:5">
      <c r="A96" t="s">
        <v>263</v>
      </c>
      <c r="B96" t="s">
        <v>264</v>
      </c>
      <c r="C96" s="87">
        <v>800</v>
      </c>
      <c r="D96" s="88"/>
      <c r="E96" s="87"/>
    </row>
    <row r="97" spans="1:5">
      <c r="A97" t="s">
        <v>263</v>
      </c>
      <c r="B97" t="s">
        <v>265</v>
      </c>
      <c r="C97" s="87">
        <v>291.59999999999997</v>
      </c>
      <c r="D97" s="88"/>
      <c r="E97" s="87"/>
    </row>
    <row r="98" spans="1:5">
      <c r="A98" t="s">
        <v>263</v>
      </c>
      <c r="B98" t="s">
        <v>266</v>
      </c>
      <c r="C98" s="87">
        <v>201.79999999999998</v>
      </c>
      <c r="D98" s="88"/>
      <c r="E98" s="87"/>
    </row>
    <row r="99" spans="1:5">
      <c r="A99" t="s">
        <v>263</v>
      </c>
      <c r="B99" t="s">
        <v>267</v>
      </c>
      <c r="C99" s="87">
        <v>48.05</v>
      </c>
      <c r="D99" s="88"/>
      <c r="E99" s="87"/>
    </row>
    <row r="100" spans="1:5">
      <c r="A100" t="s">
        <v>263</v>
      </c>
      <c r="B100" t="s">
        <v>268</v>
      </c>
      <c r="C100" s="87">
        <v>0</v>
      </c>
      <c r="D100" s="88"/>
      <c r="E100" s="87"/>
    </row>
    <row r="101" spans="1:5">
      <c r="A101" t="s">
        <v>263</v>
      </c>
      <c r="B101" t="s">
        <v>269</v>
      </c>
      <c r="C101" s="87">
        <v>0</v>
      </c>
      <c r="D101" s="88"/>
      <c r="E101" s="87"/>
    </row>
    <row r="102" spans="1:5">
      <c r="A102" t="s">
        <v>264</v>
      </c>
      <c r="B102" t="s">
        <v>264</v>
      </c>
      <c r="C102" s="87">
        <v>574.79999999999995</v>
      </c>
      <c r="D102" s="88"/>
      <c r="E102" s="87"/>
    </row>
    <row r="103" spans="1:5">
      <c r="A103" t="s">
        <v>264</v>
      </c>
      <c r="B103" t="s">
        <v>265</v>
      </c>
      <c r="C103" s="87">
        <v>776.8</v>
      </c>
      <c r="D103" s="88"/>
      <c r="E103" s="87"/>
    </row>
    <row r="104" spans="1:5">
      <c r="A104" t="s">
        <v>264</v>
      </c>
      <c r="B104" t="s">
        <v>266</v>
      </c>
      <c r="C104" s="87">
        <v>288.3</v>
      </c>
      <c r="D104" s="88"/>
      <c r="E104" s="87"/>
    </row>
    <row r="105" spans="1:5">
      <c r="A105" t="s">
        <v>264</v>
      </c>
      <c r="B105" t="s">
        <v>267</v>
      </c>
      <c r="C105" s="87">
        <v>195</v>
      </c>
      <c r="D105" s="88"/>
      <c r="E105" s="87"/>
    </row>
    <row r="106" spans="1:5">
      <c r="A106" t="s">
        <v>264</v>
      </c>
      <c r="B106" t="s">
        <v>268</v>
      </c>
      <c r="C106" s="87">
        <v>48.3</v>
      </c>
      <c r="D106" s="88"/>
      <c r="E106" s="87"/>
    </row>
    <row r="107" spans="1:5">
      <c r="A107" t="s">
        <v>264</v>
      </c>
      <c r="B107" t="s">
        <v>269</v>
      </c>
      <c r="C107" s="87">
        <v>0</v>
      </c>
      <c r="D107" s="88"/>
      <c r="E107" s="87"/>
    </row>
    <row r="108" spans="1:5">
      <c r="A108" t="s">
        <v>265</v>
      </c>
      <c r="B108" t="s">
        <v>265</v>
      </c>
      <c r="C108" s="87">
        <v>600</v>
      </c>
      <c r="D108" s="88"/>
      <c r="E108" s="87"/>
    </row>
    <row r="109" spans="1:5">
      <c r="A109" t="s">
        <v>265</v>
      </c>
      <c r="B109" t="s">
        <v>266</v>
      </c>
      <c r="C109" s="87">
        <v>780.8</v>
      </c>
      <c r="D109" s="88"/>
      <c r="E109" s="87"/>
    </row>
    <row r="110" spans="1:5">
      <c r="A110" t="s">
        <v>265</v>
      </c>
      <c r="B110" t="s">
        <v>267</v>
      </c>
      <c r="C110" s="87">
        <v>295.8</v>
      </c>
      <c r="D110" s="88"/>
      <c r="E110" s="87"/>
    </row>
    <row r="111" spans="1:5">
      <c r="A111" t="s">
        <v>265</v>
      </c>
      <c r="B111" t="s">
        <v>268</v>
      </c>
      <c r="C111" s="87">
        <v>201.79999999999998</v>
      </c>
      <c r="D111" s="88"/>
      <c r="E111" s="87"/>
    </row>
    <row r="112" spans="1:5">
      <c r="A112" t="s">
        <v>265</v>
      </c>
      <c r="B112" t="s">
        <v>269</v>
      </c>
      <c r="C112" s="87">
        <v>49.1</v>
      </c>
      <c r="D112" s="88"/>
      <c r="E112" s="87"/>
    </row>
    <row r="113" spans="1:5">
      <c r="A113" t="s">
        <v>266</v>
      </c>
      <c r="B113" t="s">
        <v>266</v>
      </c>
      <c r="C113" s="87">
        <v>580.79999999999995</v>
      </c>
      <c r="D113" s="88"/>
      <c r="E113" s="87"/>
    </row>
    <row r="114" spans="1:5">
      <c r="A114" t="s">
        <v>266</v>
      </c>
      <c r="B114" t="s">
        <v>267</v>
      </c>
      <c r="C114" s="87">
        <v>811.2</v>
      </c>
      <c r="D114" s="88"/>
      <c r="E114" s="87"/>
    </row>
    <row r="115" spans="1:5">
      <c r="A115" t="s">
        <v>266</v>
      </c>
      <c r="B115" t="s">
        <v>268</v>
      </c>
      <c r="C115" s="87">
        <v>308.09999999999997</v>
      </c>
      <c r="D115" s="88"/>
      <c r="E115" s="87"/>
    </row>
    <row r="116" spans="1:5">
      <c r="A116" t="s">
        <v>266</v>
      </c>
      <c r="B116" t="s">
        <v>269</v>
      </c>
      <c r="C116" s="87">
        <v>198</v>
      </c>
      <c r="D116" s="88"/>
      <c r="E116" s="8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54F93-8DC1-4C56-BA0D-E4435EF5C0CA}">
  <dimension ref="B1:T67"/>
  <sheetViews>
    <sheetView showGridLines="0" zoomScale="85" zoomScaleNormal="85" workbookViewId="0">
      <selection activeCell="A18" sqref="A18"/>
    </sheetView>
  </sheetViews>
  <sheetFormatPr baseColWidth="10" defaultColWidth="8.81640625" defaultRowHeight="14.5"/>
  <cols>
    <col min="1" max="1" width="2.453125" customWidth="1"/>
    <col min="2" max="2" width="30.453125" bestFit="1" customWidth="1"/>
    <col min="3" max="3" width="11.1796875" customWidth="1"/>
    <col min="4" max="5" width="2.453125" customWidth="1"/>
    <col min="6" max="6" width="33.54296875" customWidth="1"/>
    <col min="7" max="7" width="10.453125" bestFit="1" customWidth="1"/>
    <col min="8" max="12" width="13.1796875" customWidth="1"/>
    <col min="13" max="13" width="2.1796875" customWidth="1"/>
    <col min="14" max="14" width="33.54296875" customWidth="1"/>
    <col min="15" max="15" width="10.453125" bestFit="1" customWidth="1"/>
    <col min="16" max="20" width="13.1796875" customWidth="1"/>
    <col min="21" max="21" width="2.453125" customWidth="1"/>
  </cols>
  <sheetData>
    <row r="1" spans="2:20" ht="15" thickBot="1"/>
    <row r="2" spans="2:20">
      <c r="B2" s="203" t="s">
        <v>434</v>
      </c>
      <c r="C2" s="202"/>
    </row>
    <row r="3" spans="2:20">
      <c r="B3" s="200"/>
      <c r="C3" s="201"/>
    </row>
    <row r="4" spans="2:20">
      <c r="B4" s="200" t="s">
        <v>433</v>
      </c>
      <c r="C4" s="199">
        <f>('Solution for Q5 (a)'!$C$5*'Data for Q5'!$C$14+'Solution for Q5 (a)'!$C$6*'Data for Q5'!$C$15)/12</f>
        <v>61500</v>
      </c>
    </row>
    <row r="5" spans="2:20">
      <c r="B5" s="200" t="s">
        <v>432</v>
      </c>
      <c r="C5" s="199">
        <f>($L$12+$T$12)/12</f>
        <v>2039.2863906049561</v>
      </c>
    </row>
    <row r="6" spans="2:20" ht="15" thickBot="1">
      <c r="B6" s="198" t="s">
        <v>431</v>
      </c>
      <c r="C6" s="197">
        <f>C5/(C4/100)</f>
        <v>3.3159128302519609</v>
      </c>
      <c r="F6" s="9" t="s">
        <v>430</v>
      </c>
      <c r="G6" s="196"/>
      <c r="N6" s="9" t="s">
        <v>429</v>
      </c>
      <c r="O6" s="196"/>
    </row>
    <row r="7" spans="2:20">
      <c r="F7" t="s">
        <v>428</v>
      </c>
      <c r="G7">
        <f>'Data for Q5'!$D$14</f>
        <v>38.5</v>
      </c>
      <c r="N7" t="s">
        <v>428</v>
      </c>
      <c r="O7">
        <f>'Data for Q5'!$D$15</f>
        <v>52.5</v>
      </c>
    </row>
    <row r="8" spans="2:20" ht="15" customHeight="1">
      <c r="C8" s="174" t="s">
        <v>427</v>
      </c>
      <c r="F8" t="s">
        <v>8</v>
      </c>
      <c r="G8" s="142">
        <f>'Solution for Q5 (a)'!$C$5</f>
        <v>30000</v>
      </c>
      <c r="N8" t="s">
        <v>8</v>
      </c>
      <c r="O8" s="142">
        <f>'Solution for Q5 (a)'!$C$6</f>
        <v>72000</v>
      </c>
    </row>
    <row r="9" spans="2:20" ht="15" thickBot="1">
      <c r="G9" s="142"/>
      <c r="O9" s="142"/>
    </row>
    <row r="10" spans="2:20" ht="15" thickBot="1">
      <c r="B10" s="195" t="s">
        <v>288</v>
      </c>
      <c r="C10" s="194">
        <v>0.02</v>
      </c>
      <c r="F10" s="193" t="s">
        <v>426</v>
      </c>
      <c r="G10" s="192"/>
      <c r="H10" s="191"/>
      <c r="I10" s="191"/>
      <c r="J10" s="191"/>
      <c r="K10" s="191"/>
      <c r="L10" s="191"/>
      <c r="N10" s="193" t="s">
        <v>426</v>
      </c>
      <c r="O10" s="192"/>
      <c r="P10" s="191"/>
      <c r="Q10" s="191"/>
      <c r="R10" s="191"/>
      <c r="S10" s="191"/>
      <c r="T10" s="191"/>
    </row>
    <row r="12" spans="2:20">
      <c r="K12" s="174" t="s">
        <v>425</v>
      </c>
      <c r="L12" s="190">
        <f>SUM(L15:L67)*(10/1000)*'Data for Q5'!$C$14/'Data for Q5'!$C$26</f>
        <v>15744.38228114051</v>
      </c>
      <c r="S12" s="174" t="s">
        <v>425</v>
      </c>
      <c r="T12" s="190">
        <f>SUM(T15:T53)*(10/1000)*'Data for Q5'!$C$15/'Data for Q5'!$C$26</f>
        <v>8727.054406118963</v>
      </c>
    </row>
    <row r="13" spans="2:20">
      <c r="F13" s="189"/>
      <c r="K13" s="188" t="s">
        <v>424</v>
      </c>
      <c r="N13" s="189"/>
      <c r="S13" s="188" t="s">
        <v>424</v>
      </c>
    </row>
    <row r="14" spans="2:20" ht="29">
      <c r="F14" s="185" t="s">
        <v>422</v>
      </c>
      <c r="G14" s="187" t="s">
        <v>421</v>
      </c>
      <c r="H14" s="185" t="s">
        <v>420</v>
      </c>
      <c r="I14" s="186" t="s">
        <v>419</v>
      </c>
      <c r="J14" s="186" t="s">
        <v>418</v>
      </c>
      <c r="K14" s="186" t="s">
        <v>417</v>
      </c>
      <c r="L14" s="185" t="s">
        <v>423</v>
      </c>
      <c r="N14" s="185" t="s">
        <v>422</v>
      </c>
      <c r="O14" s="187" t="s">
        <v>421</v>
      </c>
      <c r="P14" s="185" t="s">
        <v>420</v>
      </c>
      <c r="Q14" s="186" t="s">
        <v>419</v>
      </c>
      <c r="R14" s="186" t="s">
        <v>418</v>
      </c>
      <c r="S14" s="186" t="s">
        <v>417</v>
      </c>
      <c r="T14" s="185" t="s">
        <v>416</v>
      </c>
    </row>
    <row r="15" spans="2:20">
      <c r="F15" s="183" t="s">
        <v>82</v>
      </c>
      <c r="G15" s="182">
        <f>G7+1</f>
        <v>39.5</v>
      </c>
      <c r="H15" s="181">
        <f>'Data for Q5'!C34</f>
        <v>6.4839999999999995E-2</v>
      </c>
      <c r="I15" s="184">
        <v>1</v>
      </c>
      <c r="J15" s="178">
        <f t="shared" ref="J15:J44" si="0">G$8/12*I15</f>
        <v>2500</v>
      </c>
      <c r="K15" s="178">
        <v>0</v>
      </c>
      <c r="L15" s="178">
        <f t="shared" ref="L15:L46" si="1">MAX(0,J15+K15)/(1+$C$10)^(G15-G$7+0.5)</f>
        <v>2426.8322131781233</v>
      </c>
      <c r="N15" s="183" t="s">
        <v>82</v>
      </c>
      <c r="O15" s="182">
        <f>O7+1</f>
        <v>53.5</v>
      </c>
      <c r="P15" s="181">
        <f t="shared" ref="P15:P53" si="2">$H15</f>
        <v>6.4839999999999995E-2</v>
      </c>
      <c r="Q15" s="184">
        <v>1</v>
      </c>
      <c r="R15" s="178">
        <f t="shared" ref="R15:R44" si="3">O$8/12*Q15</f>
        <v>6000</v>
      </c>
      <c r="S15" s="178">
        <v>0</v>
      </c>
      <c r="T15" s="178">
        <f t="shared" ref="T15:T53" si="4">MAX(0,R15+S15)/(1+$C$10)^(O15-O$7+0.5)</f>
        <v>5824.3973116274956</v>
      </c>
    </row>
    <row r="16" spans="2:20">
      <c r="F16" s="183" t="s">
        <v>83</v>
      </c>
      <c r="G16" s="182">
        <f t="shared" ref="G16:G45" si="5">G15+1/12</f>
        <v>39.583333333333336</v>
      </c>
      <c r="H16" s="181">
        <f>'Data for Q5'!C35</f>
        <v>6.3839999999999994E-2</v>
      </c>
      <c r="I16" s="184">
        <f t="shared" ref="I16:I44" si="6">I15*(1-H15)</f>
        <v>0.93515999999999999</v>
      </c>
      <c r="J16" s="178">
        <f t="shared" si="0"/>
        <v>2337.9</v>
      </c>
      <c r="K16" s="178">
        <v>0</v>
      </c>
      <c r="L16" s="178">
        <f t="shared" si="1"/>
        <v>2265.7343679584155</v>
      </c>
      <c r="N16" s="183" t="s">
        <v>83</v>
      </c>
      <c r="O16" s="182">
        <f t="shared" ref="O16:O45" si="7">O15+1/12</f>
        <v>53.583333333333336</v>
      </c>
      <c r="P16" s="181">
        <f t="shared" si="2"/>
        <v>6.3839999999999994E-2</v>
      </c>
      <c r="Q16" s="184">
        <f t="shared" ref="Q16:Q44" si="8">Q15*(1-P15)</f>
        <v>0.93515999999999999</v>
      </c>
      <c r="R16" s="178">
        <f t="shared" si="3"/>
        <v>5610.96</v>
      </c>
      <c r="S16" s="178">
        <v>0</v>
      </c>
      <c r="T16" s="178">
        <f t="shared" si="4"/>
        <v>5437.7624831001967</v>
      </c>
    </row>
    <row r="17" spans="6:20">
      <c r="F17" s="183" t="s">
        <v>84</v>
      </c>
      <c r="G17" s="182">
        <f t="shared" si="5"/>
        <v>39.666666666666671</v>
      </c>
      <c r="H17" s="181">
        <f>'Data for Q5'!C36</f>
        <v>6.1850000000000002E-2</v>
      </c>
      <c r="I17" s="184">
        <f t="shared" si="6"/>
        <v>0.87545938560000003</v>
      </c>
      <c r="J17" s="178">
        <f t="shared" si="0"/>
        <v>2188.6484639999999</v>
      </c>
      <c r="K17" s="178">
        <v>0</v>
      </c>
      <c r="L17" s="178">
        <f t="shared" si="1"/>
        <v>2117.5925097138202</v>
      </c>
      <c r="N17" s="183" t="s">
        <v>84</v>
      </c>
      <c r="O17" s="182">
        <f t="shared" si="7"/>
        <v>53.666666666666671</v>
      </c>
      <c r="P17" s="181">
        <f t="shared" si="2"/>
        <v>6.1850000000000002E-2</v>
      </c>
      <c r="Q17" s="184">
        <f t="shared" si="8"/>
        <v>0.87545938560000003</v>
      </c>
      <c r="R17" s="178">
        <f t="shared" si="3"/>
        <v>5252.7563135999999</v>
      </c>
      <c r="S17" s="178">
        <v>0</v>
      </c>
      <c r="T17" s="178">
        <f t="shared" si="4"/>
        <v>5082.2220233131693</v>
      </c>
    </row>
    <row r="18" spans="6:20">
      <c r="F18" s="183" t="s">
        <v>85</v>
      </c>
      <c r="G18" s="182">
        <f t="shared" si="5"/>
        <v>39.750000000000007</v>
      </c>
      <c r="H18" s="181">
        <f>'Data for Q5'!C37</f>
        <v>5.985E-2</v>
      </c>
      <c r="I18" s="184">
        <f t="shared" si="6"/>
        <v>0.82131222260064007</v>
      </c>
      <c r="J18" s="178">
        <f t="shared" si="0"/>
        <v>2053.2805565016001</v>
      </c>
      <c r="K18" s="178">
        <v>0</v>
      </c>
      <c r="L18" s="178">
        <f t="shared" si="1"/>
        <v>1983.3437595195182</v>
      </c>
      <c r="N18" s="183" t="s">
        <v>85</v>
      </c>
      <c r="O18" s="182">
        <f t="shared" si="7"/>
        <v>53.750000000000007</v>
      </c>
      <c r="P18" s="181">
        <f t="shared" si="2"/>
        <v>5.985E-2</v>
      </c>
      <c r="Q18" s="184">
        <f t="shared" si="8"/>
        <v>0.82131222260064007</v>
      </c>
      <c r="R18" s="178">
        <f t="shared" si="3"/>
        <v>4927.8733356038401</v>
      </c>
      <c r="S18" s="178">
        <v>0</v>
      </c>
      <c r="T18" s="178">
        <f t="shared" si="4"/>
        <v>4760.025022846844</v>
      </c>
    </row>
    <row r="19" spans="6:20">
      <c r="F19" s="183" t="s">
        <v>86</v>
      </c>
      <c r="G19" s="182">
        <f t="shared" si="5"/>
        <v>39.833333333333343</v>
      </c>
      <c r="H19" s="181">
        <f>'Data for Q5'!C38</f>
        <v>5.6860000000000001E-2</v>
      </c>
      <c r="I19" s="184">
        <f t="shared" si="6"/>
        <v>0.77215668607799182</v>
      </c>
      <c r="J19" s="178">
        <f t="shared" si="0"/>
        <v>1930.3917151949795</v>
      </c>
      <c r="K19" s="178">
        <v>0</v>
      </c>
      <c r="L19" s="178">
        <f t="shared" si="1"/>
        <v>1861.5661077364493</v>
      </c>
      <c r="N19" s="183" t="s">
        <v>86</v>
      </c>
      <c r="O19" s="182">
        <f t="shared" si="7"/>
        <v>53.833333333333343</v>
      </c>
      <c r="P19" s="181">
        <f t="shared" si="2"/>
        <v>5.6860000000000001E-2</v>
      </c>
      <c r="Q19" s="184">
        <f t="shared" si="8"/>
        <v>0.77215668607799182</v>
      </c>
      <c r="R19" s="178">
        <f t="shared" si="3"/>
        <v>4632.9401164679512</v>
      </c>
      <c r="S19" s="178">
        <v>0</v>
      </c>
      <c r="T19" s="178">
        <f t="shared" si="4"/>
        <v>4467.7586585674781</v>
      </c>
    </row>
    <row r="20" spans="6:20">
      <c r="F20" s="183" t="s">
        <v>87</v>
      </c>
      <c r="G20" s="182">
        <f t="shared" si="5"/>
        <v>39.916666666666679</v>
      </c>
      <c r="H20" s="181">
        <f>'Data for Q5'!C39</f>
        <v>5.3789999999999998E-2</v>
      </c>
      <c r="I20" s="184">
        <f t="shared" si="6"/>
        <v>0.72825185690759719</v>
      </c>
      <c r="J20" s="178">
        <f t="shared" si="0"/>
        <v>1820.6296422689929</v>
      </c>
      <c r="K20" s="178">
        <v>0</v>
      </c>
      <c r="L20" s="178">
        <f t="shared" si="1"/>
        <v>1752.8225299345304</v>
      </c>
      <c r="N20" s="183" t="s">
        <v>87</v>
      </c>
      <c r="O20" s="182">
        <f t="shared" si="7"/>
        <v>53.916666666666679</v>
      </c>
      <c r="P20" s="181">
        <f t="shared" si="2"/>
        <v>5.3789999999999998E-2</v>
      </c>
      <c r="Q20" s="184">
        <f t="shared" si="8"/>
        <v>0.72825185690759719</v>
      </c>
      <c r="R20" s="178">
        <f t="shared" si="3"/>
        <v>4369.5111414455832</v>
      </c>
      <c r="S20" s="178">
        <v>0</v>
      </c>
      <c r="T20" s="178">
        <f t="shared" si="4"/>
        <v>4206.7740718428731</v>
      </c>
    </row>
    <row r="21" spans="6:20">
      <c r="F21" s="183" t="s">
        <v>88</v>
      </c>
      <c r="G21" s="182">
        <f t="shared" si="5"/>
        <v>40.000000000000014</v>
      </c>
      <c r="H21" s="181">
        <f>'Data for Q5'!C40</f>
        <v>5.0869999999999999E-2</v>
      </c>
      <c r="I21" s="184">
        <f t="shared" si="6"/>
        <v>0.68907918952453751</v>
      </c>
      <c r="J21" s="178">
        <f t="shared" si="0"/>
        <v>1722.6979738113437</v>
      </c>
      <c r="K21" s="178">
        <v>0</v>
      </c>
      <c r="L21" s="178">
        <f t="shared" si="1"/>
        <v>1655.8035119293954</v>
      </c>
      <c r="N21" s="183" t="s">
        <v>88</v>
      </c>
      <c r="O21" s="182">
        <f t="shared" si="7"/>
        <v>54.000000000000014</v>
      </c>
      <c r="P21" s="181">
        <f t="shared" si="2"/>
        <v>5.0869999999999999E-2</v>
      </c>
      <c r="Q21" s="184">
        <f t="shared" si="8"/>
        <v>0.68907918952453751</v>
      </c>
      <c r="R21" s="178">
        <f t="shared" si="3"/>
        <v>4134.4751371472248</v>
      </c>
      <c r="S21" s="178">
        <v>0</v>
      </c>
      <c r="T21" s="178">
        <f t="shared" si="4"/>
        <v>3973.9284286305488</v>
      </c>
    </row>
    <row r="22" spans="6:20">
      <c r="F22" s="183" t="s">
        <v>89</v>
      </c>
      <c r="G22" s="182">
        <f t="shared" si="5"/>
        <v>40.08333333333335</v>
      </c>
      <c r="H22" s="181">
        <f>'Data for Q5'!C41</f>
        <v>4.8120000000000003E-2</v>
      </c>
      <c r="I22" s="184">
        <f t="shared" si="6"/>
        <v>0.65402573115342433</v>
      </c>
      <c r="J22" s="178">
        <f t="shared" si="0"/>
        <v>1635.0643278835607</v>
      </c>
      <c r="K22" s="178">
        <v>0</v>
      </c>
      <c r="L22" s="178">
        <f t="shared" si="1"/>
        <v>1568.9814867909045</v>
      </c>
      <c r="N22" s="183" t="s">
        <v>89</v>
      </c>
      <c r="O22" s="182">
        <f t="shared" si="7"/>
        <v>54.08333333333335</v>
      </c>
      <c r="P22" s="181">
        <f t="shared" si="2"/>
        <v>4.8120000000000003E-2</v>
      </c>
      <c r="Q22" s="184">
        <f t="shared" si="8"/>
        <v>0.65402573115342433</v>
      </c>
      <c r="R22" s="178">
        <f t="shared" si="3"/>
        <v>3924.1543869205461</v>
      </c>
      <c r="S22" s="178">
        <v>0</v>
      </c>
      <c r="T22" s="178">
        <f t="shared" si="4"/>
        <v>3765.5555682981708</v>
      </c>
    </row>
    <row r="23" spans="6:20">
      <c r="F23" s="183" t="s">
        <v>90</v>
      </c>
      <c r="G23" s="182">
        <f t="shared" si="5"/>
        <v>40.166666666666686</v>
      </c>
      <c r="H23" s="181">
        <f>'Data for Q5'!C42</f>
        <v>4.5519999999999998E-2</v>
      </c>
      <c r="I23" s="184">
        <f t="shared" si="6"/>
        <v>0.62255401297032154</v>
      </c>
      <c r="J23" s="178">
        <f t="shared" si="0"/>
        <v>1556.3850324258037</v>
      </c>
      <c r="K23" s="178">
        <v>0</v>
      </c>
      <c r="L23" s="178">
        <f t="shared" si="1"/>
        <v>1491.0195576243564</v>
      </c>
      <c r="N23" s="183" t="s">
        <v>90</v>
      </c>
      <c r="O23" s="182">
        <f t="shared" si="7"/>
        <v>54.166666666666686</v>
      </c>
      <c r="P23" s="181">
        <f t="shared" si="2"/>
        <v>4.5519999999999998E-2</v>
      </c>
      <c r="Q23" s="184">
        <f t="shared" si="8"/>
        <v>0.62255401297032154</v>
      </c>
      <c r="R23" s="178">
        <f t="shared" si="3"/>
        <v>3735.3240778219292</v>
      </c>
      <c r="S23" s="178">
        <v>0</v>
      </c>
      <c r="T23" s="178">
        <f t="shared" si="4"/>
        <v>3578.4469382984553</v>
      </c>
    </row>
    <row r="24" spans="6:20">
      <c r="F24" s="183" t="s">
        <v>91</v>
      </c>
      <c r="G24" s="182">
        <f t="shared" si="5"/>
        <v>40.250000000000021</v>
      </c>
      <c r="H24" s="181">
        <f>'Data for Q5'!C43</f>
        <v>4.3049999999999998E-2</v>
      </c>
      <c r="I24" s="184">
        <f t="shared" si="6"/>
        <v>0.59421535429991246</v>
      </c>
      <c r="J24" s="178">
        <f t="shared" si="0"/>
        <v>1485.5383857497811</v>
      </c>
      <c r="K24" s="178">
        <v>0</v>
      </c>
      <c r="L24" s="178">
        <f t="shared" si="1"/>
        <v>1420.8017777114924</v>
      </c>
      <c r="N24" s="183" t="s">
        <v>91</v>
      </c>
      <c r="O24" s="182">
        <f t="shared" si="7"/>
        <v>54.250000000000021</v>
      </c>
      <c r="P24" s="181">
        <f t="shared" si="2"/>
        <v>4.3049999999999998E-2</v>
      </c>
      <c r="Q24" s="184">
        <f t="shared" si="8"/>
        <v>0.59421535429991246</v>
      </c>
      <c r="R24" s="178">
        <f t="shared" si="3"/>
        <v>3565.2921257994749</v>
      </c>
      <c r="S24" s="178">
        <v>0</v>
      </c>
      <c r="T24" s="178">
        <f t="shared" si="4"/>
        <v>3409.9242665075817</v>
      </c>
    </row>
    <row r="25" spans="6:20">
      <c r="F25" s="183" t="s">
        <v>92</v>
      </c>
      <c r="G25" s="182">
        <f t="shared" si="5"/>
        <v>40.333333333333357</v>
      </c>
      <c r="H25" s="181">
        <f>'Data for Q5'!C44</f>
        <v>4.0730000000000002E-2</v>
      </c>
      <c r="I25" s="184">
        <f t="shared" si="6"/>
        <v>0.5686343832973012</v>
      </c>
      <c r="J25" s="178">
        <f t="shared" si="0"/>
        <v>1421.5859582432531</v>
      </c>
      <c r="K25" s="178">
        <v>0</v>
      </c>
      <c r="L25" s="178">
        <f t="shared" si="1"/>
        <v>1357.3944139476059</v>
      </c>
      <c r="N25" s="183" t="s">
        <v>92</v>
      </c>
      <c r="O25" s="182">
        <f t="shared" si="7"/>
        <v>54.333333333333357</v>
      </c>
      <c r="P25" s="181">
        <f t="shared" si="2"/>
        <v>4.0730000000000002E-2</v>
      </c>
      <c r="Q25" s="184">
        <f t="shared" si="8"/>
        <v>0.5686343832973012</v>
      </c>
      <c r="R25" s="178">
        <f t="shared" si="3"/>
        <v>3411.8062997838074</v>
      </c>
      <c r="S25" s="178">
        <v>0</v>
      </c>
      <c r="T25" s="178">
        <f t="shared" si="4"/>
        <v>3257.746593474254</v>
      </c>
    </row>
    <row r="26" spans="6:20">
      <c r="F26" s="183" t="s">
        <v>93</v>
      </c>
      <c r="G26" s="182">
        <f t="shared" si="5"/>
        <v>40.416666666666693</v>
      </c>
      <c r="H26" s="181">
        <f>'Data for Q5'!C45</f>
        <v>3.8519999999999999E-2</v>
      </c>
      <c r="I26" s="184">
        <f t="shared" si="6"/>
        <v>0.5454739048656021</v>
      </c>
      <c r="J26" s="178">
        <f t="shared" si="0"/>
        <v>1363.6847621640052</v>
      </c>
      <c r="K26" s="178">
        <v>0</v>
      </c>
      <c r="L26" s="178">
        <f t="shared" si="1"/>
        <v>1299.9607486018986</v>
      </c>
      <c r="N26" s="183" t="s">
        <v>93</v>
      </c>
      <c r="O26" s="182">
        <f t="shared" si="7"/>
        <v>54.416666666666693</v>
      </c>
      <c r="P26" s="181">
        <f t="shared" si="2"/>
        <v>3.8519999999999999E-2</v>
      </c>
      <c r="Q26" s="184">
        <f t="shared" si="8"/>
        <v>0.5454739048656021</v>
      </c>
      <c r="R26" s="178">
        <f t="shared" si="3"/>
        <v>3272.8434291936128</v>
      </c>
      <c r="S26" s="178">
        <v>0</v>
      </c>
      <c r="T26" s="178">
        <f t="shared" si="4"/>
        <v>3119.9057966445566</v>
      </c>
    </row>
    <row r="27" spans="6:20">
      <c r="F27" s="183" t="s">
        <v>94</v>
      </c>
      <c r="G27" s="182">
        <f t="shared" si="5"/>
        <v>40.500000000000028</v>
      </c>
      <c r="H27" s="181">
        <f>'Data for Q5'!C46</f>
        <v>3.644E-2</v>
      </c>
      <c r="I27" s="184">
        <f t="shared" si="6"/>
        <v>0.5244622500501791</v>
      </c>
      <c r="J27" s="178">
        <f t="shared" si="0"/>
        <v>1311.1556251254478</v>
      </c>
      <c r="K27" s="178">
        <v>0</v>
      </c>
      <c r="L27" s="178">
        <f t="shared" si="1"/>
        <v>1247.8253755075036</v>
      </c>
      <c r="N27" s="183" t="s">
        <v>94</v>
      </c>
      <c r="O27" s="182">
        <f t="shared" si="7"/>
        <v>54.500000000000028</v>
      </c>
      <c r="P27" s="181">
        <f t="shared" si="2"/>
        <v>3.644E-2</v>
      </c>
      <c r="Q27" s="184">
        <f t="shared" si="8"/>
        <v>0.5244622500501791</v>
      </c>
      <c r="R27" s="178">
        <f t="shared" si="3"/>
        <v>3146.7735003010748</v>
      </c>
      <c r="S27" s="178">
        <v>0</v>
      </c>
      <c r="T27" s="178">
        <f t="shared" si="4"/>
        <v>2994.7809012180087</v>
      </c>
    </row>
    <row r="28" spans="6:20">
      <c r="F28" s="183" t="s">
        <v>95</v>
      </c>
      <c r="G28" s="182">
        <f t="shared" si="5"/>
        <v>40.583333333333364</v>
      </c>
      <c r="H28" s="181">
        <f>'Data for Q5'!C47</f>
        <v>3.4459999999999998E-2</v>
      </c>
      <c r="I28" s="184">
        <f t="shared" si="6"/>
        <v>0.50535084565835053</v>
      </c>
      <c r="J28" s="178">
        <f t="shared" si="0"/>
        <v>1263.3771141458762</v>
      </c>
      <c r="K28" s="178">
        <v>0</v>
      </c>
      <c r="L28" s="178">
        <f t="shared" si="1"/>
        <v>1200.3721066972423</v>
      </c>
      <c r="N28" s="183" t="s">
        <v>95</v>
      </c>
      <c r="O28" s="182">
        <f t="shared" si="7"/>
        <v>54.583333333333364</v>
      </c>
      <c r="P28" s="181">
        <f t="shared" si="2"/>
        <v>3.4459999999999998E-2</v>
      </c>
      <c r="Q28" s="184">
        <f t="shared" si="8"/>
        <v>0.50535084565835053</v>
      </c>
      <c r="R28" s="178">
        <f t="shared" si="3"/>
        <v>3032.1050739501034</v>
      </c>
      <c r="S28" s="178">
        <v>0</v>
      </c>
      <c r="T28" s="178">
        <f t="shared" si="4"/>
        <v>2880.8930560733816</v>
      </c>
    </row>
    <row r="29" spans="6:20">
      <c r="F29" s="183" t="s">
        <v>96</v>
      </c>
      <c r="G29" s="182">
        <f t="shared" si="5"/>
        <v>40.6666666666667</v>
      </c>
      <c r="H29" s="181">
        <f>'Data for Q5'!C48</f>
        <v>3.2599999999999997E-2</v>
      </c>
      <c r="I29" s="184">
        <f t="shared" si="6"/>
        <v>0.48793645551696374</v>
      </c>
      <c r="J29" s="178">
        <f t="shared" si="0"/>
        <v>1219.8411387924093</v>
      </c>
      <c r="K29" s="178">
        <v>0</v>
      </c>
      <c r="L29" s="178">
        <f t="shared" si="1"/>
        <v>1157.0962453770685</v>
      </c>
      <c r="N29" s="183" t="s">
        <v>96</v>
      </c>
      <c r="O29" s="182">
        <f t="shared" si="7"/>
        <v>54.6666666666667</v>
      </c>
      <c r="P29" s="181">
        <f t="shared" si="2"/>
        <v>3.2599999999999997E-2</v>
      </c>
      <c r="Q29" s="184">
        <f t="shared" si="8"/>
        <v>0.48793645551696374</v>
      </c>
      <c r="R29" s="178">
        <f t="shared" si="3"/>
        <v>2927.6187331017823</v>
      </c>
      <c r="S29" s="178">
        <v>0</v>
      </c>
      <c r="T29" s="178">
        <f t="shared" si="4"/>
        <v>2777.030988904964</v>
      </c>
    </row>
    <row r="30" spans="6:20">
      <c r="F30" s="183" t="s">
        <v>97</v>
      </c>
      <c r="G30" s="182">
        <f t="shared" si="5"/>
        <v>40.750000000000036</v>
      </c>
      <c r="H30" s="181">
        <f>'Data for Q5'!C49</f>
        <v>3.083E-2</v>
      </c>
      <c r="I30" s="184">
        <f t="shared" si="6"/>
        <v>0.47202972706711072</v>
      </c>
      <c r="J30" s="178">
        <f t="shared" si="0"/>
        <v>1180.0743176677768</v>
      </c>
      <c r="K30" s="178">
        <v>0</v>
      </c>
      <c r="L30" s="178">
        <f t="shared" si="1"/>
        <v>1117.529217417939</v>
      </c>
      <c r="N30" s="183" t="s">
        <v>97</v>
      </c>
      <c r="O30" s="182">
        <f t="shared" si="7"/>
        <v>54.750000000000036</v>
      </c>
      <c r="P30" s="181">
        <f t="shared" si="2"/>
        <v>3.083E-2</v>
      </c>
      <c r="Q30" s="184">
        <f t="shared" si="8"/>
        <v>0.47202972706711072</v>
      </c>
      <c r="R30" s="178">
        <f t="shared" si="3"/>
        <v>2832.1783624026643</v>
      </c>
      <c r="S30" s="178">
        <v>0</v>
      </c>
      <c r="T30" s="178">
        <f t="shared" si="4"/>
        <v>2682.0701218030536</v>
      </c>
    </row>
    <row r="31" spans="6:20">
      <c r="F31" s="183" t="s">
        <v>98</v>
      </c>
      <c r="G31" s="182">
        <f t="shared" si="5"/>
        <v>40.833333333333371</v>
      </c>
      <c r="H31" s="181">
        <f>'Data for Q5'!C50</f>
        <v>2.9170000000000001E-2</v>
      </c>
      <c r="I31" s="184">
        <f t="shared" si="6"/>
        <v>0.45747705058163168</v>
      </c>
      <c r="J31" s="178">
        <f t="shared" si="0"/>
        <v>1143.6926264540791</v>
      </c>
      <c r="K31" s="178">
        <v>0</v>
      </c>
      <c r="L31" s="178">
        <f t="shared" si="1"/>
        <v>1081.2899533759939</v>
      </c>
      <c r="N31" s="183" t="s">
        <v>98</v>
      </c>
      <c r="O31" s="182">
        <f t="shared" si="7"/>
        <v>54.833333333333371</v>
      </c>
      <c r="P31" s="181">
        <f t="shared" si="2"/>
        <v>2.9170000000000001E-2</v>
      </c>
      <c r="Q31" s="184">
        <f t="shared" si="8"/>
        <v>0.45747705058163168</v>
      </c>
      <c r="R31" s="178">
        <f t="shared" si="3"/>
        <v>2744.8623034897901</v>
      </c>
      <c r="S31" s="178">
        <v>0</v>
      </c>
      <c r="T31" s="178">
        <f t="shared" si="4"/>
        <v>2595.0958881023857</v>
      </c>
    </row>
    <row r="32" spans="6:20">
      <c r="F32" s="183" t="s">
        <v>99</v>
      </c>
      <c r="G32" s="182">
        <f t="shared" si="5"/>
        <v>40.916666666666707</v>
      </c>
      <c r="H32" s="181">
        <f>'Data for Q5'!C51</f>
        <v>2.759E-2</v>
      </c>
      <c r="I32" s="184">
        <f t="shared" si="6"/>
        <v>0.4441324450161655</v>
      </c>
      <c r="J32" s="178">
        <f t="shared" si="0"/>
        <v>1110.3311125404136</v>
      </c>
      <c r="K32" s="178">
        <v>0</v>
      </c>
      <c r="L32" s="178">
        <f t="shared" si="1"/>
        <v>1048.0178387694257</v>
      </c>
      <c r="N32" s="183" t="s">
        <v>99</v>
      </c>
      <c r="O32" s="182">
        <f t="shared" si="7"/>
        <v>54.916666666666707</v>
      </c>
      <c r="P32" s="181">
        <f t="shared" si="2"/>
        <v>2.759E-2</v>
      </c>
      <c r="Q32" s="184">
        <f t="shared" si="8"/>
        <v>0.4441324450161655</v>
      </c>
      <c r="R32" s="178">
        <f t="shared" si="3"/>
        <v>2664.7946700969928</v>
      </c>
      <c r="S32" s="178">
        <v>0</v>
      </c>
      <c r="T32" s="178">
        <f t="shared" si="4"/>
        <v>2515.2428130466214</v>
      </c>
    </row>
    <row r="33" spans="6:20">
      <c r="F33" s="183" t="s">
        <v>100</v>
      </c>
      <c r="G33" s="182">
        <f t="shared" si="5"/>
        <v>41.000000000000043</v>
      </c>
      <c r="H33" s="181">
        <f>'Data for Q5'!C52</f>
        <v>2.6100000000000002E-2</v>
      </c>
      <c r="I33" s="184">
        <f t="shared" si="6"/>
        <v>0.43187883085816947</v>
      </c>
      <c r="J33" s="178">
        <f t="shared" si="0"/>
        <v>1079.6970771454237</v>
      </c>
      <c r="K33" s="178">
        <v>0</v>
      </c>
      <c r="L33" s="178">
        <f t="shared" si="1"/>
        <v>1017.4226703392951</v>
      </c>
      <c r="N33" s="183" t="s">
        <v>100</v>
      </c>
      <c r="O33" s="182">
        <f t="shared" si="7"/>
        <v>55.000000000000043</v>
      </c>
      <c r="P33" s="181">
        <f t="shared" si="2"/>
        <v>2.6100000000000002E-2</v>
      </c>
      <c r="Q33" s="184">
        <f t="shared" si="8"/>
        <v>0.43187883085816947</v>
      </c>
      <c r="R33" s="178">
        <f t="shared" si="3"/>
        <v>2591.2729851490167</v>
      </c>
      <c r="S33" s="178">
        <v>0</v>
      </c>
      <c r="T33" s="178">
        <f t="shared" si="4"/>
        <v>2441.8144088143081</v>
      </c>
    </row>
    <row r="34" spans="6:20">
      <c r="F34" s="183" t="s">
        <v>101</v>
      </c>
      <c r="G34" s="182">
        <f t="shared" si="5"/>
        <v>41.083333333333378</v>
      </c>
      <c r="H34" s="181">
        <f>'Data for Q5'!C53</f>
        <v>3.7680000000000005E-2</v>
      </c>
      <c r="I34" s="184">
        <f t="shared" si="6"/>
        <v>0.42060679337277124</v>
      </c>
      <c r="J34" s="178">
        <f t="shared" si="0"/>
        <v>1051.5169834319281</v>
      </c>
      <c r="K34" s="178">
        <v>0</v>
      </c>
      <c r="L34" s="178">
        <f t="shared" si="1"/>
        <v>989.23413803783512</v>
      </c>
      <c r="N34" s="183" t="s">
        <v>101</v>
      </c>
      <c r="O34" s="182">
        <f t="shared" si="7"/>
        <v>55.083333333333378</v>
      </c>
      <c r="P34" s="181">
        <f t="shared" si="2"/>
        <v>3.7680000000000005E-2</v>
      </c>
      <c r="Q34" s="184">
        <f t="shared" si="8"/>
        <v>0.42060679337277124</v>
      </c>
      <c r="R34" s="178">
        <f t="shared" si="3"/>
        <v>2523.6407602366276</v>
      </c>
      <c r="S34" s="178">
        <v>0</v>
      </c>
      <c r="T34" s="178">
        <f t="shared" si="4"/>
        <v>2374.1619312908042</v>
      </c>
    </row>
    <row r="35" spans="6:20">
      <c r="F35" s="183" t="s">
        <v>102</v>
      </c>
      <c r="G35" s="182">
        <f t="shared" si="5"/>
        <v>41.166666666666714</v>
      </c>
      <c r="H35" s="181">
        <f>'Data for Q5'!C54</f>
        <v>6.234E-2</v>
      </c>
      <c r="I35" s="184">
        <f t="shared" si="6"/>
        <v>0.40475832939848522</v>
      </c>
      <c r="J35" s="178">
        <f t="shared" si="0"/>
        <v>1011.8958234962131</v>
      </c>
      <c r="K35" s="178">
        <v>0</v>
      </c>
      <c r="L35" s="178">
        <f t="shared" si="1"/>
        <v>950.39014911675906</v>
      </c>
      <c r="N35" s="183" t="s">
        <v>102</v>
      </c>
      <c r="O35" s="182">
        <f t="shared" si="7"/>
        <v>55.166666666666714</v>
      </c>
      <c r="P35" s="181">
        <f t="shared" si="2"/>
        <v>6.234E-2</v>
      </c>
      <c r="Q35" s="184">
        <f t="shared" si="8"/>
        <v>0.40475832939848522</v>
      </c>
      <c r="R35" s="178">
        <f t="shared" si="3"/>
        <v>2428.5499763909115</v>
      </c>
      <c r="S35" s="178">
        <v>0</v>
      </c>
      <c r="T35" s="178">
        <f t="shared" si="4"/>
        <v>2280.9363578802217</v>
      </c>
    </row>
    <row r="36" spans="6:20">
      <c r="F36" s="183" t="s">
        <v>103</v>
      </c>
      <c r="G36" s="182">
        <f t="shared" si="5"/>
        <v>41.25000000000005</v>
      </c>
      <c r="H36" s="181">
        <f>'Data for Q5'!C55</f>
        <v>0.16508</v>
      </c>
      <c r="I36" s="184">
        <f t="shared" si="6"/>
        <v>0.37952569514378365</v>
      </c>
      <c r="J36" s="178">
        <f t="shared" si="0"/>
        <v>948.81423785945913</v>
      </c>
      <c r="K36" s="178">
        <v>0</v>
      </c>
      <c r="L36" s="178">
        <f t="shared" si="1"/>
        <v>889.67345917083912</v>
      </c>
      <c r="N36" s="183" t="s">
        <v>103</v>
      </c>
      <c r="O36" s="182">
        <f t="shared" si="7"/>
        <v>55.25000000000005</v>
      </c>
      <c r="P36" s="181">
        <f t="shared" si="2"/>
        <v>0.16508</v>
      </c>
      <c r="Q36" s="184">
        <f t="shared" si="8"/>
        <v>0.37952569514378365</v>
      </c>
      <c r="R36" s="178">
        <f t="shared" si="3"/>
        <v>2277.1541708627019</v>
      </c>
      <c r="S36" s="178">
        <v>0</v>
      </c>
      <c r="T36" s="178">
        <f t="shared" si="4"/>
        <v>2135.2163020100138</v>
      </c>
    </row>
    <row r="37" spans="6:20">
      <c r="F37" s="183" t="s">
        <v>104</v>
      </c>
      <c r="G37" s="182">
        <f t="shared" si="5"/>
        <v>41.333333333333385</v>
      </c>
      <c r="H37" s="181">
        <f>'Data for Q5'!C56</f>
        <v>7.288E-2</v>
      </c>
      <c r="I37" s="184">
        <f t="shared" si="6"/>
        <v>0.31687359338944782</v>
      </c>
      <c r="J37" s="178">
        <f t="shared" si="0"/>
        <v>792.18398347361949</v>
      </c>
      <c r="K37" s="178">
        <v>0</v>
      </c>
      <c r="L37" s="178">
        <f t="shared" si="1"/>
        <v>741.5813825855862</v>
      </c>
      <c r="N37" s="183" t="s">
        <v>104</v>
      </c>
      <c r="O37" s="182">
        <f t="shared" si="7"/>
        <v>55.333333333333385</v>
      </c>
      <c r="P37" s="181">
        <f t="shared" si="2"/>
        <v>7.288E-2</v>
      </c>
      <c r="Q37" s="184">
        <f t="shared" si="8"/>
        <v>0.31687359338944782</v>
      </c>
      <c r="R37" s="178">
        <f t="shared" si="3"/>
        <v>1901.2415603366869</v>
      </c>
      <c r="S37" s="178">
        <v>0</v>
      </c>
      <c r="T37" s="178">
        <f t="shared" si="4"/>
        <v>1779.7953182054071</v>
      </c>
    </row>
    <row r="38" spans="6:20">
      <c r="F38" s="183" t="s">
        <v>105</v>
      </c>
      <c r="G38" s="182">
        <f t="shared" si="5"/>
        <v>41.416666666666721</v>
      </c>
      <c r="H38" s="181">
        <f>'Data for Q5'!C57</f>
        <v>3.2750000000000001E-2</v>
      </c>
      <c r="I38" s="184">
        <f t="shared" si="6"/>
        <v>0.29377984590322487</v>
      </c>
      <c r="J38" s="178">
        <f t="shared" si="0"/>
        <v>734.44961475806213</v>
      </c>
      <c r="K38" s="178">
        <v>0</v>
      </c>
      <c r="L38" s="178">
        <f t="shared" si="1"/>
        <v>686.40128389665108</v>
      </c>
      <c r="N38" s="183" t="s">
        <v>105</v>
      </c>
      <c r="O38" s="182">
        <f t="shared" si="7"/>
        <v>55.416666666666721</v>
      </c>
      <c r="P38" s="181">
        <f t="shared" si="2"/>
        <v>3.2750000000000001E-2</v>
      </c>
      <c r="Q38" s="184">
        <f t="shared" si="8"/>
        <v>0.29377984590322487</v>
      </c>
      <c r="R38" s="178">
        <f t="shared" si="3"/>
        <v>1762.6790754193491</v>
      </c>
      <c r="S38" s="178">
        <v>0</v>
      </c>
      <c r="T38" s="178">
        <f t="shared" si="4"/>
        <v>1647.3630813519626</v>
      </c>
    </row>
    <row r="39" spans="6:20">
      <c r="F39" s="183" t="s">
        <v>106</v>
      </c>
      <c r="G39" s="182">
        <f t="shared" si="5"/>
        <v>41.500000000000057</v>
      </c>
      <c r="H39" s="181">
        <f>'Data for Q5'!C58</f>
        <v>1.8679999999999999E-2</v>
      </c>
      <c r="I39" s="184">
        <f t="shared" si="6"/>
        <v>0.28415855594989425</v>
      </c>
      <c r="J39" s="178">
        <f t="shared" si="0"/>
        <v>710.39638987473563</v>
      </c>
      <c r="K39" s="178">
        <v>0</v>
      </c>
      <c r="L39" s="178">
        <f t="shared" si="1"/>
        <v>662.82692928621748</v>
      </c>
      <c r="N39" s="183" t="s">
        <v>106</v>
      </c>
      <c r="O39" s="182">
        <f t="shared" si="7"/>
        <v>55.500000000000057</v>
      </c>
      <c r="P39" s="181">
        <f t="shared" si="2"/>
        <v>1.8679999999999999E-2</v>
      </c>
      <c r="Q39" s="184">
        <f t="shared" si="8"/>
        <v>0.28415855594989425</v>
      </c>
      <c r="R39" s="178">
        <f t="shared" si="3"/>
        <v>1704.9513356993655</v>
      </c>
      <c r="S39" s="178">
        <v>0</v>
      </c>
      <c r="T39" s="178">
        <f t="shared" si="4"/>
        <v>1590.7846302869218</v>
      </c>
    </row>
    <row r="40" spans="6:20">
      <c r="F40" s="183" t="s">
        <v>107</v>
      </c>
      <c r="G40" s="182">
        <f t="shared" si="5"/>
        <v>41.583333333333393</v>
      </c>
      <c r="H40" s="181">
        <f>'Data for Q5'!C59</f>
        <v>1.7680000000000001E-2</v>
      </c>
      <c r="I40" s="184">
        <f t="shared" si="6"/>
        <v>0.27885047412475022</v>
      </c>
      <c r="J40" s="178">
        <f t="shared" si="0"/>
        <v>697.12618531187559</v>
      </c>
      <c r="K40" s="178">
        <v>0</v>
      </c>
      <c r="L40" s="178">
        <f t="shared" si="1"/>
        <v>649.37283022277995</v>
      </c>
      <c r="N40" s="183" t="s">
        <v>107</v>
      </c>
      <c r="O40" s="182">
        <f t="shared" si="7"/>
        <v>55.583333333333393</v>
      </c>
      <c r="P40" s="181">
        <f t="shared" si="2"/>
        <v>1.7680000000000001E-2</v>
      </c>
      <c r="Q40" s="184">
        <f t="shared" si="8"/>
        <v>0.27885047412475022</v>
      </c>
      <c r="R40" s="178">
        <f t="shared" si="3"/>
        <v>1673.1028447485014</v>
      </c>
      <c r="S40" s="178">
        <v>0</v>
      </c>
      <c r="T40" s="178">
        <f t="shared" si="4"/>
        <v>1558.4947925346719</v>
      </c>
    </row>
    <row r="41" spans="6:20">
      <c r="F41" s="183" t="s">
        <v>108</v>
      </c>
      <c r="G41" s="182">
        <f t="shared" si="5"/>
        <v>41.666666666666728</v>
      </c>
      <c r="H41" s="181">
        <f>'Data for Q5'!C60</f>
        <v>1.6719999999999999E-2</v>
      </c>
      <c r="I41" s="184">
        <f t="shared" si="6"/>
        <v>0.27392039774222465</v>
      </c>
      <c r="J41" s="178">
        <f t="shared" si="0"/>
        <v>684.80099435556167</v>
      </c>
      <c r="K41" s="178">
        <v>0</v>
      </c>
      <c r="L41" s="178">
        <f t="shared" si="1"/>
        <v>636.84012534111525</v>
      </c>
      <c r="N41" s="183" t="s">
        <v>108</v>
      </c>
      <c r="O41" s="182">
        <f t="shared" si="7"/>
        <v>55.666666666666728</v>
      </c>
      <c r="P41" s="181">
        <f t="shared" si="2"/>
        <v>1.6719999999999999E-2</v>
      </c>
      <c r="Q41" s="184">
        <f t="shared" si="8"/>
        <v>0.27392039774222465</v>
      </c>
      <c r="R41" s="178">
        <f t="shared" si="3"/>
        <v>1643.522386453348</v>
      </c>
      <c r="S41" s="178">
        <v>0</v>
      </c>
      <c r="T41" s="178">
        <f t="shared" si="4"/>
        <v>1528.4163008186765</v>
      </c>
    </row>
    <row r="42" spans="6:20">
      <c r="F42" s="183" t="s">
        <v>109</v>
      </c>
      <c r="G42" s="182">
        <f t="shared" si="5"/>
        <v>41.750000000000064</v>
      </c>
      <c r="H42" s="181">
        <f>'Data for Q5'!C61</f>
        <v>1.5810000000000001E-2</v>
      </c>
      <c r="I42" s="184">
        <f t="shared" si="6"/>
        <v>0.26934044869197465</v>
      </c>
      <c r="J42" s="178">
        <f t="shared" si="0"/>
        <v>673.35112172993661</v>
      </c>
      <c r="K42" s="178">
        <v>0</v>
      </c>
      <c r="L42" s="178">
        <f t="shared" si="1"/>
        <v>625.1596564461106</v>
      </c>
      <c r="N42" s="183" t="s">
        <v>109</v>
      </c>
      <c r="O42" s="182">
        <f t="shared" si="7"/>
        <v>55.750000000000064</v>
      </c>
      <c r="P42" s="181">
        <f t="shared" si="2"/>
        <v>1.5810000000000001E-2</v>
      </c>
      <c r="Q42" s="184">
        <f t="shared" si="8"/>
        <v>0.26934044869197465</v>
      </c>
      <c r="R42" s="178">
        <f t="shared" si="3"/>
        <v>1616.0426921518479</v>
      </c>
      <c r="S42" s="178">
        <v>0</v>
      </c>
      <c r="T42" s="178">
        <f t="shared" si="4"/>
        <v>1500.3831754706655</v>
      </c>
    </row>
    <row r="43" spans="6:20">
      <c r="F43" s="183" t="s">
        <v>110</v>
      </c>
      <c r="G43" s="182">
        <f t="shared" si="5"/>
        <v>41.8333333333334</v>
      </c>
      <c r="H43" s="181">
        <f>'Data for Q5'!C62</f>
        <v>1.495E-2</v>
      </c>
      <c r="I43" s="184">
        <f t="shared" si="6"/>
        <v>0.26508217619815455</v>
      </c>
      <c r="J43" s="178">
        <f t="shared" si="0"/>
        <v>662.70544049538637</v>
      </c>
      <c r="K43" s="178">
        <v>0</v>
      </c>
      <c r="L43" s="178">
        <f t="shared" si="1"/>
        <v>614.26137966854526</v>
      </c>
      <c r="N43" s="183" t="s">
        <v>110</v>
      </c>
      <c r="O43" s="182">
        <f t="shared" si="7"/>
        <v>55.8333333333334</v>
      </c>
      <c r="P43" s="181">
        <f t="shared" si="2"/>
        <v>1.495E-2</v>
      </c>
      <c r="Q43" s="184">
        <f t="shared" si="8"/>
        <v>0.26508217619815455</v>
      </c>
      <c r="R43" s="178">
        <f t="shared" si="3"/>
        <v>1590.4930571889272</v>
      </c>
      <c r="S43" s="178">
        <v>0</v>
      </c>
      <c r="T43" s="178">
        <f t="shared" si="4"/>
        <v>1474.2273112045086</v>
      </c>
    </row>
    <row r="44" spans="6:20">
      <c r="F44" s="183" t="s">
        <v>111</v>
      </c>
      <c r="G44" s="182">
        <f t="shared" si="5"/>
        <v>41.916666666666735</v>
      </c>
      <c r="H44" s="181">
        <f>'Data for Q5'!C63</f>
        <v>1.4200000000000001E-2</v>
      </c>
      <c r="I44" s="184">
        <f t="shared" si="6"/>
        <v>0.26111919766399211</v>
      </c>
      <c r="J44" s="178">
        <f t="shared" si="0"/>
        <v>652.79799415998025</v>
      </c>
      <c r="K44" s="178">
        <v>0</v>
      </c>
      <c r="L44" s="178">
        <f t="shared" si="1"/>
        <v>604.08048401025417</v>
      </c>
      <c r="N44" s="183" t="s">
        <v>111</v>
      </c>
      <c r="O44" s="182">
        <f t="shared" si="7"/>
        <v>55.916666666666735</v>
      </c>
      <c r="P44" s="181">
        <f t="shared" si="2"/>
        <v>1.4200000000000001E-2</v>
      </c>
      <c r="Q44" s="184">
        <f t="shared" si="8"/>
        <v>0.26111919766399211</v>
      </c>
      <c r="R44" s="178">
        <f t="shared" si="3"/>
        <v>1566.7151859839526</v>
      </c>
      <c r="S44" s="178">
        <v>0</v>
      </c>
      <c r="T44" s="178">
        <f t="shared" si="4"/>
        <v>1449.7931616246099</v>
      </c>
    </row>
    <row r="45" spans="6:20">
      <c r="F45" s="183" t="s">
        <v>12</v>
      </c>
      <c r="G45" s="182">
        <f t="shared" si="5"/>
        <v>42.000000000000071</v>
      </c>
      <c r="H45" s="181">
        <f>'Data for Q5'!C64</f>
        <v>0.16200000000000001</v>
      </c>
      <c r="I45" s="180">
        <f>I44*(1-H44)*(1-H45)^0.5</f>
        <v>0.23564033189565076</v>
      </c>
      <c r="J45" s="179">
        <f t="shared" ref="J45:J67" si="9">G$8*I45</f>
        <v>7069.209956869523</v>
      </c>
      <c r="K45" s="178">
        <f t="shared" ref="K45:K67" si="10">-(1000*12*1.03^3.5)*I45</f>
        <v>-3135.8924411265284</v>
      </c>
      <c r="L45" s="178">
        <f t="shared" si="1"/>
        <v>3633.7773960291324</v>
      </c>
      <c r="N45" s="183" t="s">
        <v>12</v>
      </c>
      <c r="O45" s="182">
        <f t="shared" si="7"/>
        <v>56.000000000000071</v>
      </c>
      <c r="P45" s="181">
        <f t="shared" si="2"/>
        <v>0.16200000000000001</v>
      </c>
      <c r="Q45" s="180">
        <f>Q44*(1-P44)*(1-P45)^0.5</f>
        <v>0.23564033189565076</v>
      </c>
      <c r="R45" s="179">
        <f t="shared" ref="R45:R53" si="11">O$8*Q45</f>
        <v>16966.103896486853</v>
      </c>
      <c r="S45" s="178">
        <f t="shared" ref="S45:S53" si="12">-(1000*12*1.03^3.5)*Q45</f>
        <v>-3135.8924411265284</v>
      </c>
      <c r="T45" s="178">
        <f t="shared" si="4"/>
        <v>12776.977594014117</v>
      </c>
    </row>
    <row r="46" spans="6:20">
      <c r="F46" s="183" t="s">
        <v>13</v>
      </c>
      <c r="G46" s="182">
        <f t="shared" ref="G46:G67" si="13">G45+1</f>
        <v>43.000000000000071</v>
      </c>
      <c r="H46" s="181">
        <f>'Data for Q5'!C65</f>
        <v>8.1000000000000003E-2</v>
      </c>
      <c r="I46" s="180">
        <f t="shared" ref="I46:I67" si="14">I45*(1-H45)^0.5*(1-H46)^0.5</f>
        <v>0.20678993217487915</v>
      </c>
      <c r="J46" s="179">
        <f t="shared" si="9"/>
        <v>6203.6979652463742</v>
      </c>
      <c r="K46" s="178">
        <f t="shared" si="10"/>
        <v>-2751.952435270865</v>
      </c>
      <c r="L46" s="178">
        <f t="shared" si="1"/>
        <v>3126.3522741915058</v>
      </c>
      <c r="N46" s="183" t="s">
        <v>13</v>
      </c>
      <c r="O46" s="182">
        <f t="shared" ref="O46:O53" si="15">O45+1</f>
        <v>57.000000000000071</v>
      </c>
      <c r="P46" s="181">
        <f t="shared" si="2"/>
        <v>8.1000000000000003E-2</v>
      </c>
      <c r="Q46" s="180">
        <f t="shared" ref="Q46:Q53" si="16">Q45*(1-P45)^0.5*(1-P46)^0.5</f>
        <v>0.20678993217487915</v>
      </c>
      <c r="R46" s="179">
        <f t="shared" si="11"/>
        <v>14888.875116591298</v>
      </c>
      <c r="S46" s="178">
        <f t="shared" si="12"/>
        <v>-2751.952435270865</v>
      </c>
      <c r="T46" s="178">
        <f t="shared" si="4"/>
        <v>10992.784808995415</v>
      </c>
    </row>
    <row r="47" spans="6:20">
      <c r="F47" s="183" t="s">
        <v>14</v>
      </c>
      <c r="G47" s="182">
        <f t="shared" si="13"/>
        <v>44.000000000000071</v>
      </c>
      <c r="H47" s="181">
        <f>'Data for Q5'!C66</f>
        <v>4.0500000000000001E-2</v>
      </c>
      <c r="I47" s="180">
        <f t="shared" si="14"/>
        <v>0.1941822978528919</v>
      </c>
      <c r="J47" s="179">
        <f t="shared" si="9"/>
        <v>5825.4689355867567</v>
      </c>
      <c r="K47" s="178">
        <f t="shared" si="10"/>
        <v>-2584.1705243698266</v>
      </c>
      <c r="L47" s="178">
        <f t="shared" ref="L47:L67" si="17">MAX(0,J47+K47)/(1+$C$10)^(G47-G$7+0.5)</f>
        <v>2878.1802302862015</v>
      </c>
      <c r="N47" s="183" t="s">
        <v>14</v>
      </c>
      <c r="O47" s="182">
        <f t="shared" si="15"/>
        <v>58.000000000000071</v>
      </c>
      <c r="P47" s="181">
        <f t="shared" si="2"/>
        <v>4.0500000000000001E-2</v>
      </c>
      <c r="Q47" s="180">
        <f t="shared" si="16"/>
        <v>0.1941822978528919</v>
      </c>
      <c r="R47" s="179">
        <f t="shared" si="11"/>
        <v>13981.125445408217</v>
      </c>
      <c r="S47" s="178">
        <f t="shared" si="12"/>
        <v>-2584.1705243698266</v>
      </c>
      <c r="T47" s="178">
        <f t="shared" si="4"/>
        <v>10120.169813948169</v>
      </c>
    </row>
    <row r="48" spans="6:20">
      <c r="F48" s="183" t="s">
        <v>15</v>
      </c>
      <c r="G48" s="182">
        <f t="shared" si="13"/>
        <v>45.000000000000071</v>
      </c>
      <c r="H48" s="181">
        <f>'Data for Q5'!C67</f>
        <v>3.0380000000000001E-2</v>
      </c>
      <c r="I48" s="180">
        <f t="shared" si="14"/>
        <v>0.18729789997965074</v>
      </c>
      <c r="J48" s="179">
        <f t="shared" si="9"/>
        <v>5618.9369993895225</v>
      </c>
      <c r="K48" s="178">
        <f t="shared" si="10"/>
        <v>-2492.5532232111918</v>
      </c>
      <c r="L48" s="178">
        <f t="shared" si="17"/>
        <v>2721.7052186054457</v>
      </c>
      <c r="N48" s="183" t="s">
        <v>15</v>
      </c>
      <c r="O48" s="182">
        <f t="shared" si="15"/>
        <v>59.000000000000071</v>
      </c>
      <c r="P48" s="181">
        <f t="shared" si="2"/>
        <v>3.0380000000000001E-2</v>
      </c>
      <c r="Q48" s="180">
        <f t="shared" si="16"/>
        <v>0.18729789997965074</v>
      </c>
      <c r="R48" s="179">
        <f t="shared" si="11"/>
        <v>13485.448798534853</v>
      </c>
      <c r="S48" s="178">
        <f t="shared" si="12"/>
        <v>-2492.5532232111918</v>
      </c>
      <c r="T48" s="178">
        <f t="shared" si="4"/>
        <v>9569.9771355378543</v>
      </c>
    </row>
    <row r="49" spans="6:20">
      <c r="F49" s="183" t="s">
        <v>139</v>
      </c>
      <c r="G49" s="182">
        <f t="shared" si="13"/>
        <v>46.000000000000071</v>
      </c>
      <c r="H49" s="181">
        <f>'Data for Q5'!C68</f>
        <v>2.2790000000000001E-2</v>
      </c>
      <c r="I49" s="180">
        <f t="shared" si="14"/>
        <v>0.18231719973353211</v>
      </c>
      <c r="J49" s="179">
        <f t="shared" si="9"/>
        <v>5469.5159920059632</v>
      </c>
      <c r="K49" s="178">
        <f t="shared" si="10"/>
        <v>-2426.2702565913814</v>
      </c>
      <c r="L49" s="178">
        <f t="shared" si="17"/>
        <v>2597.3809323417113</v>
      </c>
      <c r="N49" s="183" t="s">
        <v>139</v>
      </c>
      <c r="O49" s="182">
        <f t="shared" si="15"/>
        <v>60.000000000000071</v>
      </c>
      <c r="P49" s="181">
        <f t="shared" si="2"/>
        <v>2.2790000000000001E-2</v>
      </c>
      <c r="Q49" s="180">
        <f t="shared" si="16"/>
        <v>0.18231719973353211</v>
      </c>
      <c r="R49" s="179">
        <f t="shared" si="11"/>
        <v>13126.838380814312</v>
      </c>
      <c r="S49" s="178">
        <f t="shared" si="12"/>
        <v>-2426.2702565913814</v>
      </c>
      <c r="T49" s="178">
        <f t="shared" si="4"/>
        <v>9132.8318602880881</v>
      </c>
    </row>
    <row r="50" spans="6:20">
      <c r="F50" s="183" t="s">
        <v>138</v>
      </c>
      <c r="G50" s="182">
        <f t="shared" si="13"/>
        <v>47.000000000000071</v>
      </c>
      <c r="H50" s="181">
        <f t="shared" ref="H50:H67" si="18">H49</f>
        <v>2.2790000000000001E-2</v>
      </c>
      <c r="I50" s="180">
        <f t="shared" si="14"/>
        <v>0.17816219075160494</v>
      </c>
      <c r="J50" s="179">
        <f t="shared" si="9"/>
        <v>5344.8657225481484</v>
      </c>
      <c r="K50" s="178">
        <f t="shared" si="10"/>
        <v>-2370.9755574436645</v>
      </c>
      <c r="L50" s="178">
        <f t="shared" si="17"/>
        <v>2488.4182557780823</v>
      </c>
      <c r="N50" s="183" t="s">
        <v>138</v>
      </c>
      <c r="O50" s="182">
        <f t="shared" si="15"/>
        <v>61.000000000000071</v>
      </c>
      <c r="P50" s="181">
        <f t="shared" si="2"/>
        <v>2.2790000000000001E-2</v>
      </c>
      <c r="Q50" s="180">
        <f t="shared" si="16"/>
        <v>0.17816219075160494</v>
      </c>
      <c r="R50" s="179">
        <f t="shared" si="11"/>
        <v>12827.677734115556</v>
      </c>
      <c r="S50" s="178">
        <f t="shared" si="12"/>
        <v>-2370.9755574436645</v>
      </c>
      <c r="T50" s="178">
        <f t="shared" si="4"/>
        <v>8749.7006099922801</v>
      </c>
    </row>
    <row r="51" spans="6:20">
      <c r="F51" s="183" t="s">
        <v>137</v>
      </c>
      <c r="G51" s="182">
        <f t="shared" si="13"/>
        <v>48.000000000000071</v>
      </c>
      <c r="H51" s="181">
        <f t="shared" si="18"/>
        <v>2.2790000000000001E-2</v>
      </c>
      <c r="I51" s="180">
        <f t="shared" si="14"/>
        <v>0.17410187442437586</v>
      </c>
      <c r="J51" s="179">
        <f t="shared" si="9"/>
        <v>5223.0562327312755</v>
      </c>
      <c r="K51" s="178">
        <f t="shared" si="10"/>
        <v>-2316.941024489523</v>
      </c>
      <c r="L51" s="178">
        <f t="shared" si="17"/>
        <v>2384.0266703224506</v>
      </c>
      <c r="N51" s="183" t="s">
        <v>137</v>
      </c>
      <c r="O51" s="182">
        <f t="shared" si="15"/>
        <v>62.000000000000071</v>
      </c>
      <c r="P51" s="181">
        <f t="shared" si="2"/>
        <v>2.2790000000000001E-2</v>
      </c>
      <c r="Q51" s="180">
        <f t="shared" si="16"/>
        <v>0.17410187442437586</v>
      </c>
      <c r="R51" s="179">
        <f t="shared" si="11"/>
        <v>12535.334958555062</v>
      </c>
      <c r="S51" s="178">
        <f t="shared" si="12"/>
        <v>-2316.941024489523</v>
      </c>
      <c r="T51" s="178">
        <f t="shared" si="4"/>
        <v>8382.642091265252</v>
      </c>
    </row>
    <row r="52" spans="6:20">
      <c r="F52" s="183" t="s">
        <v>415</v>
      </c>
      <c r="G52" s="182">
        <f t="shared" si="13"/>
        <v>49.000000000000071</v>
      </c>
      <c r="H52" s="181">
        <f t="shared" si="18"/>
        <v>2.2790000000000001E-2</v>
      </c>
      <c r="I52" s="180">
        <f t="shared" si="14"/>
        <v>0.17013409270624436</v>
      </c>
      <c r="J52" s="179">
        <f t="shared" si="9"/>
        <v>5104.022781187331</v>
      </c>
      <c r="K52" s="178">
        <f t="shared" si="10"/>
        <v>-2264.137938541407</v>
      </c>
      <c r="L52" s="178">
        <f t="shared" si="17"/>
        <v>2284.0144142213753</v>
      </c>
      <c r="N52" s="183" t="s">
        <v>415</v>
      </c>
      <c r="O52" s="182">
        <f t="shared" si="15"/>
        <v>63.000000000000071</v>
      </c>
      <c r="P52" s="181">
        <f t="shared" si="2"/>
        <v>2.2790000000000001E-2</v>
      </c>
      <c r="Q52" s="180">
        <f t="shared" si="16"/>
        <v>0.17013409270624436</v>
      </c>
      <c r="R52" s="179">
        <f t="shared" si="11"/>
        <v>12249.654674849593</v>
      </c>
      <c r="S52" s="178">
        <f t="shared" si="12"/>
        <v>-2264.137938541407</v>
      </c>
      <c r="T52" s="178">
        <f t="shared" si="4"/>
        <v>8030.9820372601143</v>
      </c>
    </row>
    <row r="53" spans="6:20">
      <c r="F53" s="183" t="s">
        <v>414</v>
      </c>
      <c r="G53" s="182">
        <f t="shared" si="13"/>
        <v>50.000000000000071</v>
      </c>
      <c r="H53" s="181">
        <f t="shared" si="18"/>
        <v>2.2790000000000001E-2</v>
      </c>
      <c r="I53" s="180">
        <f t="shared" si="14"/>
        <v>0.16625673673346905</v>
      </c>
      <c r="J53" s="179">
        <f t="shared" si="9"/>
        <v>4987.7021020040711</v>
      </c>
      <c r="K53" s="178">
        <f t="shared" si="10"/>
        <v>-2212.5382349220486</v>
      </c>
      <c r="L53" s="178">
        <f t="shared" si="17"/>
        <v>2188.1977703149705</v>
      </c>
      <c r="N53" s="183" t="s">
        <v>414</v>
      </c>
      <c r="O53" s="182">
        <f t="shared" si="15"/>
        <v>64.000000000000071</v>
      </c>
      <c r="P53" s="181">
        <f t="shared" si="2"/>
        <v>2.2790000000000001E-2</v>
      </c>
      <c r="Q53" s="180">
        <f t="shared" si="16"/>
        <v>0.16625673673346905</v>
      </c>
      <c r="R53" s="179">
        <f t="shared" si="11"/>
        <v>11970.485044809771</v>
      </c>
      <c r="S53" s="178">
        <f t="shared" si="12"/>
        <v>-2212.5382349220486</v>
      </c>
      <c r="T53" s="178">
        <f t="shared" si="4"/>
        <v>7694.0744672852516</v>
      </c>
    </row>
    <row r="54" spans="6:20">
      <c r="F54" s="183" t="s">
        <v>413</v>
      </c>
      <c r="G54" s="182">
        <f t="shared" si="13"/>
        <v>51.000000000000071</v>
      </c>
      <c r="H54" s="181">
        <f t="shared" si="18"/>
        <v>2.2790000000000001E-2</v>
      </c>
      <c r="I54" s="180">
        <f t="shared" si="14"/>
        <v>0.16246774570331329</v>
      </c>
      <c r="J54" s="179">
        <f t="shared" si="9"/>
        <v>4874.0323710993989</v>
      </c>
      <c r="K54" s="178">
        <f t="shared" si="10"/>
        <v>-2162.1144885481749</v>
      </c>
      <c r="L54" s="178">
        <f t="shared" si="17"/>
        <v>2096.4007285583261</v>
      </c>
    </row>
    <row r="55" spans="6:20">
      <c r="F55" s="183" t="s">
        <v>412</v>
      </c>
      <c r="G55" s="182">
        <f t="shared" si="13"/>
        <v>52.000000000000071</v>
      </c>
      <c r="H55" s="181">
        <f t="shared" si="18"/>
        <v>2.2790000000000001E-2</v>
      </c>
      <c r="I55" s="180">
        <f t="shared" si="14"/>
        <v>0.15876510577873479</v>
      </c>
      <c r="J55" s="179">
        <f t="shared" si="9"/>
        <v>4762.9531733620433</v>
      </c>
      <c r="K55" s="178">
        <f t="shared" si="10"/>
        <v>-2112.8398993541623</v>
      </c>
      <c r="L55" s="178">
        <f t="shared" si="17"/>
        <v>2008.4546627004718</v>
      </c>
    </row>
    <row r="56" spans="6:20">
      <c r="F56" s="183" t="s">
        <v>411</v>
      </c>
      <c r="G56" s="182">
        <f t="shared" si="13"/>
        <v>53.000000000000071</v>
      </c>
      <c r="H56" s="181">
        <f t="shared" si="18"/>
        <v>2.2790000000000001E-2</v>
      </c>
      <c r="I56" s="180">
        <f t="shared" si="14"/>
        <v>0.15514684901803744</v>
      </c>
      <c r="J56" s="179">
        <f t="shared" si="9"/>
        <v>4654.4054705411227</v>
      </c>
      <c r="K56" s="178">
        <f t="shared" si="10"/>
        <v>-2064.6882780478809</v>
      </c>
      <c r="L56" s="178">
        <f t="shared" si="17"/>
        <v>1924.1980205269886</v>
      </c>
    </row>
    <row r="57" spans="6:20">
      <c r="F57" s="183" t="s">
        <v>410</v>
      </c>
      <c r="G57" s="182">
        <f t="shared" si="13"/>
        <v>54.000000000000071</v>
      </c>
      <c r="H57" s="181">
        <f t="shared" si="18"/>
        <v>2.2790000000000001E-2</v>
      </c>
      <c r="I57" s="180">
        <f t="shared" si="14"/>
        <v>0.15161105232891636</v>
      </c>
      <c r="J57" s="179">
        <f t="shared" si="9"/>
        <v>4548.3315698674905</v>
      </c>
      <c r="K57" s="178">
        <f t="shared" si="10"/>
        <v>-2017.6340321911698</v>
      </c>
      <c r="L57" s="178">
        <f t="shared" si="17"/>
        <v>1843.4760270972338</v>
      </c>
    </row>
    <row r="58" spans="6:20">
      <c r="F58" s="183" t="s">
        <v>409</v>
      </c>
      <c r="G58" s="182">
        <f t="shared" si="13"/>
        <v>55.000000000000071</v>
      </c>
      <c r="H58" s="181">
        <f t="shared" si="18"/>
        <v>2.2790000000000001E-2</v>
      </c>
      <c r="I58" s="180">
        <f t="shared" si="14"/>
        <v>0.14815583644634037</v>
      </c>
      <c r="J58" s="179">
        <f t="shared" si="9"/>
        <v>4444.6750933902113</v>
      </c>
      <c r="K58" s="178">
        <f t="shared" si="10"/>
        <v>-1971.6521525975331</v>
      </c>
      <c r="L58" s="178">
        <f t="shared" si="17"/>
        <v>1766.1404004310668</v>
      </c>
    </row>
    <row r="59" spans="6:20">
      <c r="F59" s="183" t="s">
        <v>408</v>
      </c>
      <c r="G59" s="182">
        <f t="shared" si="13"/>
        <v>56.000000000000071</v>
      </c>
      <c r="H59" s="181">
        <f t="shared" si="18"/>
        <v>2.2790000000000001E-2</v>
      </c>
      <c r="I59" s="180">
        <f t="shared" si="14"/>
        <v>0.14477936493372826</v>
      </c>
      <c r="J59" s="179">
        <f t="shared" si="9"/>
        <v>4343.380948011848</v>
      </c>
      <c r="K59" s="178">
        <f t="shared" si="10"/>
        <v>-1926.7182000398352</v>
      </c>
      <c r="L59" s="178">
        <f t="shared" si="17"/>
        <v>1692.0490791227869</v>
      </c>
    </row>
    <row r="60" spans="6:20">
      <c r="F60" s="183" t="s">
        <v>407</v>
      </c>
      <c r="G60" s="182">
        <f t="shared" si="13"/>
        <v>57.000000000000071</v>
      </c>
      <c r="H60" s="181">
        <f t="shared" si="18"/>
        <v>2.2790000000000001E-2</v>
      </c>
      <c r="I60" s="180">
        <f t="shared" si="14"/>
        <v>0.14147984320688861</v>
      </c>
      <c r="J60" s="179">
        <f t="shared" si="9"/>
        <v>4244.3952962066587</v>
      </c>
      <c r="K60" s="178">
        <f t="shared" si="10"/>
        <v>-1882.8082922609276</v>
      </c>
      <c r="L60" s="178">
        <f t="shared" si="17"/>
        <v>1621.0659613819405</v>
      </c>
    </row>
    <row r="61" spans="6:20">
      <c r="F61" s="183" t="s">
        <v>406</v>
      </c>
      <c r="G61" s="182">
        <f t="shared" si="13"/>
        <v>58.000000000000071</v>
      </c>
      <c r="H61" s="181">
        <f t="shared" si="18"/>
        <v>2.2790000000000001E-2</v>
      </c>
      <c r="I61" s="180">
        <f t="shared" si="14"/>
        <v>0.1382555175802036</v>
      </c>
      <c r="J61" s="179">
        <f t="shared" si="9"/>
        <v>4147.6655274061077</v>
      </c>
      <c r="K61" s="178">
        <f t="shared" si="10"/>
        <v>-1839.8990912803008</v>
      </c>
      <c r="L61" s="178">
        <f t="shared" si="17"/>
        <v>1553.0606550216128</v>
      </c>
    </row>
    <row r="62" spans="6:20">
      <c r="F62" s="183" t="s">
        <v>405</v>
      </c>
      <c r="G62" s="182">
        <f t="shared" si="13"/>
        <v>59.000000000000071</v>
      </c>
      <c r="H62" s="181">
        <f t="shared" si="18"/>
        <v>2.2790000000000001E-2</v>
      </c>
      <c r="I62" s="180">
        <f t="shared" si="14"/>
        <v>0.13510467433455076</v>
      </c>
      <c r="J62" s="179">
        <f t="shared" si="9"/>
        <v>4053.1402300365226</v>
      </c>
      <c r="K62" s="178">
        <f t="shared" si="10"/>
        <v>-1797.9677909900226</v>
      </c>
      <c r="L62" s="178">
        <f t="shared" si="17"/>
        <v>1487.9082379349707</v>
      </c>
    </row>
    <row r="63" spans="6:20">
      <c r="F63" s="183" t="s">
        <v>404</v>
      </c>
      <c r="G63" s="182">
        <f t="shared" si="13"/>
        <v>60.000000000000071</v>
      </c>
      <c r="H63" s="181">
        <f t="shared" si="18"/>
        <v>2.2790000000000001E-2</v>
      </c>
      <c r="I63" s="180">
        <f t="shared" si="14"/>
        <v>0.13202563880646634</v>
      </c>
      <c r="J63" s="179">
        <f t="shared" si="9"/>
        <v>3960.76916419399</v>
      </c>
      <c r="K63" s="178">
        <f t="shared" si="10"/>
        <v>-1756.9921050333601</v>
      </c>
      <c r="L63" s="178">
        <f t="shared" si="17"/>
        <v>1425.4890286200321</v>
      </c>
    </row>
    <row r="64" spans="6:20">
      <c r="F64" s="183" t="s">
        <v>403</v>
      </c>
      <c r="G64" s="182">
        <f t="shared" si="13"/>
        <v>61.000000000000071</v>
      </c>
      <c r="H64" s="181">
        <f t="shared" si="18"/>
        <v>2.2790000000000001E-2</v>
      </c>
      <c r="I64" s="180">
        <f t="shared" si="14"/>
        <v>0.12901677449806698</v>
      </c>
      <c r="J64" s="179">
        <f t="shared" si="9"/>
        <v>3870.5032349420094</v>
      </c>
      <c r="K64" s="178">
        <f t="shared" si="10"/>
        <v>-1716.9502549596498</v>
      </c>
      <c r="L64" s="178">
        <f t="shared" si="17"/>
        <v>1365.6883663311587</v>
      </c>
    </row>
    <row r="65" spans="6:12">
      <c r="F65" s="183" t="s">
        <v>402</v>
      </c>
      <c r="G65" s="182">
        <f t="shared" si="13"/>
        <v>62.000000000000071</v>
      </c>
      <c r="H65" s="181">
        <f t="shared" si="18"/>
        <v>2.2790000000000001E-2</v>
      </c>
      <c r="I65" s="180">
        <f t="shared" si="14"/>
        <v>0.12607648220725604</v>
      </c>
      <c r="J65" s="179">
        <f t="shared" si="9"/>
        <v>3782.294466217681</v>
      </c>
      <c r="K65" s="178">
        <f t="shared" si="10"/>
        <v>-1677.8209586491196</v>
      </c>
      <c r="L65" s="178">
        <f t="shared" si="17"/>
        <v>1308.3964004534032</v>
      </c>
    </row>
    <row r="66" spans="6:12">
      <c r="F66" s="183" t="s">
        <v>401</v>
      </c>
      <c r="G66" s="182">
        <f t="shared" si="13"/>
        <v>63.000000000000071</v>
      </c>
      <c r="H66" s="181">
        <f t="shared" si="18"/>
        <v>2.2790000000000001E-2</v>
      </c>
      <c r="I66" s="180">
        <f t="shared" si="14"/>
        <v>0.12320319917775267</v>
      </c>
      <c r="J66" s="179">
        <f t="shared" si="9"/>
        <v>3696.0959753325801</v>
      </c>
      <c r="K66" s="178">
        <f t="shared" si="10"/>
        <v>-1639.5834190015062</v>
      </c>
      <c r="L66" s="178">
        <f t="shared" si="17"/>
        <v>1253.5078887128141</v>
      </c>
    </row>
    <row r="67" spans="6:12">
      <c r="F67" s="183" t="s">
        <v>400</v>
      </c>
      <c r="G67" s="182">
        <f t="shared" si="13"/>
        <v>64.000000000000071</v>
      </c>
      <c r="H67" s="181">
        <f t="shared" si="18"/>
        <v>2.2790000000000001E-2</v>
      </c>
      <c r="I67" s="180">
        <f t="shared" si="14"/>
        <v>0.1203953982684917</v>
      </c>
      <c r="J67" s="179">
        <f t="shared" si="9"/>
        <v>3611.8619480547509</v>
      </c>
      <c r="K67" s="178">
        <f t="shared" si="10"/>
        <v>-1602.217312882462</v>
      </c>
      <c r="L67" s="178">
        <f t="shared" si="17"/>
        <v>1200.9220038520089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F6660-C3C0-4C7F-A954-98BAB3CEB966}">
  <dimension ref="B1:T67"/>
  <sheetViews>
    <sheetView showGridLines="0" zoomScale="85" zoomScaleNormal="85" workbookViewId="0">
      <selection activeCell="A7" sqref="A7"/>
    </sheetView>
  </sheetViews>
  <sheetFormatPr baseColWidth="10" defaultColWidth="8.81640625" defaultRowHeight="14.5"/>
  <cols>
    <col min="1" max="1" width="2.453125" customWidth="1"/>
    <col min="2" max="2" width="35.453125" customWidth="1"/>
    <col min="3" max="3" width="11.1796875" customWidth="1"/>
    <col min="4" max="5" width="2.453125" customWidth="1"/>
    <col min="6" max="6" width="33.54296875" customWidth="1"/>
    <col min="7" max="7" width="10.453125" bestFit="1" customWidth="1"/>
    <col min="8" max="12" width="13.1796875" customWidth="1"/>
    <col min="13" max="13" width="2.1796875" customWidth="1"/>
    <col min="14" max="14" width="33.54296875" customWidth="1"/>
    <col min="15" max="15" width="10.453125" bestFit="1" customWidth="1"/>
    <col min="16" max="20" width="13.1796875" customWidth="1"/>
    <col min="21" max="21" width="2.453125" customWidth="1"/>
  </cols>
  <sheetData>
    <row r="1" spans="2:20" ht="15" thickBot="1"/>
    <row r="2" spans="2:20">
      <c r="B2" s="203" t="s">
        <v>434</v>
      </c>
      <c r="C2" s="202"/>
    </row>
    <row r="3" spans="2:20">
      <c r="B3" s="200"/>
      <c r="C3" s="201"/>
    </row>
    <row r="4" spans="2:20">
      <c r="B4" s="200" t="s">
        <v>433</v>
      </c>
      <c r="C4" s="199">
        <f>('Solution for Q5 (a)'!$C$11*'Data for Q5'!$C$14+'Solution for Q5 (a)'!$C$12*'Data for Q5'!$C$15)/12</f>
        <v>72625</v>
      </c>
    </row>
    <row r="5" spans="2:20">
      <c r="B5" s="200" t="s">
        <v>432</v>
      </c>
      <c r="C5" s="199">
        <f>($L$12+$T$12)/12</f>
        <v>2967.8968318688817</v>
      </c>
    </row>
    <row r="6" spans="2:20" ht="15" thickBot="1">
      <c r="B6" s="198" t="s">
        <v>431</v>
      </c>
      <c r="C6" s="197">
        <f>C5/(C4/100)</f>
        <v>4.0866049320053452</v>
      </c>
      <c r="F6" s="9" t="s">
        <v>430</v>
      </c>
      <c r="G6" s="196"/>
      <c r="N6" s="9" t="s">
        <v>429</v>
      </c>
      <c r="O6" s="196"/>
    </row>
    <row r="7" spans="2:20" ht="15" thickBot="1">
      <c r="B7" s="208" t="s">
        <v>436</v>
      </c>
      <c r="C7" s="207">
        <f>C5/'Sol for Q5 (b) - Current Plan'!C5-1</f>
        <v>0.4553604856787441</v>
      </c>
      <c r="F7" t="s">
        <v>428</v>
      </c>
      <c r="G7">
        <f>'Data for Q5'!$D$14</f>
        <v>38.5</v>
      </c>
      <c r="N7" t="s">
        <v>428</v>
      </c>
      <c r="O7">
        <f>'Data for Q5'!$D$15</f>
        <v>52.5</v>
      </c>
    </row>
    <row r="8" spans="2:20" ht="15" customHeight="1" thickBot="1">
      <c r="B8" s="208" t="s">
        <v>435</v>
      </c>
      <c r="C8" s="207">
        <f>C6/'Sol for Q5 (b) - Current Plan'!C6-1</f>
        <v>0.2324223045678866</v>
      </c>
      <c r="F8" t="s">
        <v>8</v>
      </c>
      <c r="G8" s="142">
        <f>'Solution for Q5 (a)'!$C$11</f>
        <v>32500</v>
      </c>
      <c r="N8" t="s">
        <v>8</v>
      </c>
      <c r="O8" s="142">
        <f>'Solution for Q5 (a)'!$C$12</f>
        <v>96000</v>
      </c>
    </row>
    <row r="9" spans="2:20">
      <c r="C9" s="174" t="s">
        <v>427</v>
      </c>
      <c r="G9" s="142"/>
      <c r="O9" s="142"/>
    </row>
    <row r="10" spans="2:20" ht="15" thickBot="1">
      <c r="F10" s="193" t="s">
        <v>426</v>
      </c>
      <c r="G10" s="192"/>
      <c r="H10" s="191"/>
      <c r="I10" s="191"/>
      <c r="J10" s="191"/>
      <c r="K10" s="191"/>
      <c r="L10" s="191"/>
      <c r="N10" s="193" t="s">
        <v>426</v>
      </c>
      <c r="O10" s="192"/>
      <c r="P10" s="191"/>
      <c r="Q10" s="191"/>
      <c r="R10" s="191"/>
      <c r="S10" s="191"/>
      <c r="T10" s="191"/>
    </row>
    <row r="11" spans="2:20" ht="15" thickBot="1">
      <c r="B11" s="195" t="s">
        <v>288</v>
      </c>
      <c r="C11" s="194">
        <v>0.02</v>
      </c>
    </row>
    <row r="12" spans="2:20">
      <c r="K12" s="174" t="s">
        <v>425</v>
      </c>
      <c r="L12" s="190">
        <f>SUM(L15:L67)*(10/1000)*'Data for Q5'!$C$14/'Data for Q5'!$C$26</f>
        <v>22710.183471684431</v>
      </c>
      <c r="S12" s="174" t="s">
        <v>425</v>
      </c>
      <c r="T12" s="190">
        <f>SUM(T15:T53)*(10/1000)*'Data for Q5'!$C$15/'Data for Q5'!$C$26</f>
        <v>12904.578510742149</v>
      </c>
    </row>
    <row r="13" spans="2:20">
      <c r="F13" s="189"/>
      <c r="J13" s="206"/>
      <c r="K13" s="188" t="s">
        <v>424</v>
      </c>
      <c r="N13" s="189"/>
      <c r="S13" s="188" t="s">
        <v>424</v>
      </c>
    </row>
    <row r="14" spans="2:20" ht="29">
      <c r="F14" s="185" t="s">
        <v>422</v>
      </c>
      <c r="G14" s="187" t="s">
        <v>421</v>
      </c>
      <c r="H14" s="185" t="s">
        <v>420</v>
      </c>
      <c r="I14" s="186" t="s">
        <v>419</v>
      </c>
      <c r="J14" s="205" t="s">
        <v>418</v>
      </c>
      <c r="K14" s="205" t="s">
        <v>417</v>
      </c>
      <c r="L14" s="185" t="s">
        <v>416</v>
      </c>
      <c r="N14" s="185" t="s">
        <v>422</v>
      </c>
      <c r="O14" s="187" t="s">
        <v>421</v>
      </c>
      <c r="P14" s="185" t="s">
        <v>420</v>
      </c>
      <c r="Q14" s="186" t="s">
        <v>419</v>
      </c>
      <c r="R14" s="205" t="s">
        <v>418</v>
      </c>
      <c r="S14" s="205" t="s">
        <v>417</v>
      </c>
      <c r="T14" s="185" t="s">
        <v>416</v>
      </c>
    </row>
    <row r="15" spans="2:20">
      <c r="F15" s="183" t="s">
        <v>82</v>
      </c>
      <c r="G15" s="182">
        <f>G7+1</f>
        <v>39.5</v>
      </c>
      <c r="H15" s="181">
        <f>'Data for Q5'!C34</f>
        <v>6.4839999999999995E-2</v>
      </c>
      <c r="I15" s="184">
        <v>1</v>
      </c>
      <c r="J15" s="204">
        <f t="shared" ref="J15:J44" si="0">G$8/12*I15*1.0275^(ROUNDDOWN(G15-G$7-0.5,0))</f>
        <v>2708.3333333333335</v>
      </c>
      <c r="K15" s="204">
        <v>0</v>
      </c>
      <c r="L15" s="178">
        <f t="shared" ref="L15:L46" si="1">MAX(0,J15+K15)/(1+$C$11)^(G15-G$7+0.5)</f>
        <v>2629.0682309429667</v>
      </c>
      <c r="N15" s="183" t="s">
        <v>82</v>
      </c>
      <c r="O15" s="182">
        <f>O7+1</f>
        <v>53.5</v>
      </c>
      <c r="P15" s="181">
        <f t="shared" ref="P15:P53" si="2">$H15</f>
        <v>6.4839999999999995E-2</v>
      </c>
      <c r="Q15" s="184">
        <v>1</v>
      </c>
      <c r="R15" s="204">
        <f t="shared" ref="R15:R44" si="3">O$8/12*Q15*1.0275^(ROUNDDOWN(O15-O$7-0.5,0))</f>
        <v>8000</v>
      </c>
      <c r="S15" s="204">
        <v>0</v>
      </c>
      <c r="T15" s="178">
        <f t="shared" ref="T15:T53" si="4">MAX(0,R15+S15)/(1+$C$11)^(O15-O$7+0.5)</f>
        <v>7765.8630821699944</v>
      </c>
    </row>
    <row r="16" spans="2:20">
      <c r="F16" s="183" t="s">
        <v>83</v>
      </c>
      <c r="G16" s="182">
        <f t="shared" ref="G16:G45" si="5">G15+1/12</f>
        <v>39.583333333333336</v>
      </c>
      <c r="H16" s="181">
        <f>'Data for Q5'!C35</f>
        <v>6.3839999999999994E-2</v>
      </c>
      <c r="I16" s="184">
        <f t="shared" ref="I16:I44" si="6">I15*(1-H15)</f>
        <v>0.93515999999999999</v>
      </c>
      <c r="J16" s="204">
        <f t="shared" si="0"/>
        <v>2532.7249999999999</v>
      </c>
      <c r="K16" s="204">
        <v>0</v>
      </c>
      <c r="L16" s="178">
        <f t="shared" si="1"/>
        <v>2454.5455652882833</v>
      </c>
      <c r="N16" s="183" t="s">
        <v>83</v>
      </c>
      <c r="O16" s="182">
        <f t="shared" ref="O16:O45" si="7">O15+1/12</f>
        <v>53.583333333333336</v>
      </c>
      <c r="P16" s="181">
        <f t="shared" si="2"/>
        <v>6.3839999999999994E-2</v>
      </c>
      <c r="Q16" s="184">
        <f t="shared" ref="Q16:Q44" si="8">Q15*(1-P15)</f>
        <v>0.93515999999999999</v>
      </c>
      <c r="R16" s="204">
        <f t="shared" si="3"/>
        <v>7481.28</v>
      </c>
      <c r="S16" s="204">
        <v>0</v>
      </c>
      <c r="T16" s="178">
        <f t="shared" si="4"/>
        <v>7250.349977466929</v>
      </c>
    </row>
    <row r="17" spans="6:20">
      <c r="F17" s="183" t="s">
        <v>84</v>
      </c>
      <c r="G17" s="182">
        <f t="shared" si="5"/>
        <v>39.666666666666671</v>
      </c>
      <c r="H17" s="181">
        <f>'Data for Q5'!C36</f>
        <v>6.1850000000000002E-2</v>
      </c>
      <c r="I17" s="184">
        <f t="shared" si="6"/>
        <v>0.87545938560000003</v>
      </c>
      <c r="J17" s="204">
        <f t="shared" si="0"/>
        <v>2371.035836</v>
      </c>
      <c r="K17" s="204">
        <v>0</v>
      </c>
      <c r="L17" s="178">
        <f t="shared" si="1"/>
        <v>2294.058552189972</v>
      </c>
      <c r="N17" s="183" t="s">
        <v>84</v>
      </c>
      <c r="O17" s="182">
        <f t="shared" si="7"/>
        <v>53.666666666666671</v>
      </c>
      <c r="P17" s="181">
        <f t="shared" si="2"/>
        <v>6.1850000000000002E-2</v>
      </c>
      <c r="Q17" s="184">
        <f t="shared" si="8"/>
        <v>0.87545938560000003</v>
      </c>
      <c r="R17" s="204">
        <f t="shared" si="3"/>
        <v>7003.6750848000001</v>
      </c>
      <c r="S17" s="204">
        <v>0</v>
      </c>
      <c r="T17" s="178">
        <f t="shared" si="4"/>
        <v>6776.2960310842254</v>
      </c>
    </row>
    <row r="18" spans="6:20">
      <c r="F18" s="183" t="s">
        <v>85</v>
      </c>
      <c r="G18" s="182">
        <f t="shared" si="5"/>
        <v>39.750000000000007</v>
      </c>
      <c r="H18" s="181">
        <f>'Data for Q5'!C37</f>
        <v>5.985E-2</v>
      </c>
      <c r="I18" s="184">
        <f t="shared" si="6"/>
        <v>0.82131222260064007</v>
      </c>
      <c r="J18" s="204">
        <f t="shared" si="0"/>
        <v>2224.3872695434002</v>
      </c>
      <c r="K18" s="204">
        <v>0</v>
      </c>
      <c r="L18" s="178">
        <f t="shared" si="1"/>
        <v>2148.6224061461448</v>
      </c>
      <c r="N18" s="183" t="s">
        <v>85</v>
      </c>
      <c r="O18" s="182">
        <f t="shared" si="7"/>
        <v>53.750000000000007</v>
      </c>
      <c r="P18" s="181">
        <f t="shared" si="2"/>
        <v>5.985E-2</v>
      </c>
      <c r="Q18" s="184">
        <f t="shared" si="8"/>
        <v>0.82131222260064007</v>
      </c>
      <c r="R18" s="204">
        <f t="shared" si="3"/>
        <v>6570.4977808051208</v>
      </c>
      <c r="S18" s="204">
        <v>0</v>
      </c>
      <c r="T18" s="178">
        <f t="shared" si="4"/>
        <v>6346.7000304624589</v>
      </c>
    </row>
    <row r="19" spans="6:20">
      <c r="F19" s="183" t="s">
        <v>86</v>
      </c>
      <c r="G19" s="182">
        <f t="shared" si="5"/>
        <v>39.833333333333343</v>
      </c>
      <c r="H19" s="181">
        <f>'Data for Q5'!C38</f>
        <v>5.6860000000000001E-2</v>
      </c>
      <c r="I19" s="184">
        <f t="shared" si="6"/>
        <v>0.77215668607799182</v>
      </c>
      <c r="J19" s="204">
        <f t="shared" si="0"/>
        <v>2091.2576914612278</v>
      </c>
      <c r="K19" s="204">
        <v>0</v>
      </c>
      <c r="L19" s="178">
        <f t="shared" si="1"/>
        <v>2016.6966167144867</v>
      </c>
      <c r="N19" s="183" t="s">
        <v>86</v>
      </c>
      <c r="O19" s="182">
        <f t="shared" si="7"/>
        <v>53.833333333333343</v>
      </c>
      <c r="P19" s="181">
        <f t="shared" si="2"/>
        <v>5.6860000000000001E-2</v>
      </c>
      <c r="Q19" s="184">
        <f t="shared" si="8"/>
        <v>0.77215668607799182</v>
      </c>
      <c r="R19" s="204">
        <f t="shared" si="3"/>
        <v>6177.2534886239346</v>
      </c>
      <c r="S19" s="204">
        <v>0</v>
      </c>
      <c r="T19" s="178">
        <f t="shared" si="4"/>
        <v>5957.0115447566377</v>
      </c>
    </row>
    <row r="20" spans="6:20">
      <c r="F20" s="183" t="s">
        <v>87</v>
      </c>
      <c r="G20" s="182">
        <f t="shared" si="5"/>
        <v>39.916666666666679</v>
      </c>
      <c r="H20" s="181">
        <f>'Data for Q5'!C39</f>
        <v>5.3789999999999998E-2</v>
      </c>
      <c r="I20" s="184">
        <f t="shared" si="6"/>
        <v>0.72825185690759719</v>
      </c>
      <c r="J20" s="204">
        <f t="shared" si="0"/>
        <v>1972.3487791247426</v>
      </c>
      <c r="K20" s="204">
        <v>0</v>
      </c>
      <c r="L20" s="178">
        <f t="shared" si="1"/>
        <v>1898.8910740957415</v>
      </c>
      <c r="N20" s="183" t="s">
        <v>87</v>
      </c>
      <c r="O20" s="182">
        <f t="shared" si="7"/>
        <v>53.916666666666679</v>
      </c>
      <c r="P20" s="181">
        <f t="shared" si="2"/>
        <v>5.3789999999999998E-2</v>
      </c>
      <c r="Q20" s="184">
        <f t="shared" si="8"/>
        <v>0.72825185690759719</v>
      </c>
      <c r="R20" s="204">
        <f t="shared" si="3"/>
        <v>5826.0148552607779</v>
      </c>
      <c r="S20" s="204">
        <v>0</v>
      </c>
      <c r="T20" s="178">
        <f t="shared" si="4"/>
        <v>5609.0320957904978</v>
      </c>
    </row>
    <row r="21" spans="6:20">
      <c r="F21" s="183" t="s">
        <v>88</v>
      </c>
      <c r="G21" s="182">
        <f t="shared" si="5"/>
        <v>40.000000000000014</v>
      </c>
      <c r="H21" s="181">
        <f>'Data for Q5'!C40</f>
        <v>5.0869999999999999E-2</v>
      </c>
      <c r="I21" s="184">
        <f t="shared" si="6"/>
        <v>0.68907918952453751</v>
      </c>
      <c r="J21" s="204">
        <f t="shared" si="0"/>
        <v>1917.5781820987524</v>
      </c>
      <c r="K21" s="204">
        <v>0</v>
      </c>
      <c r="L21" s="178">
        <f t="shared" si="1"/>
        <v>1843.1162842164088</v>
      </c>
      <c r="N21" s="183" t="s">
        <v>88</v>
      </c>
      <c r="O21" s="182">
        <f t="shared" si="7"/>
        <v>54.000000000000014</v>
      </c>
      <c r="P21" s="181">
        <f t="shared" si="2"/>
        <v>5.0869999999999999E-2</v>
      </c>
      <c r="Q21" s="184">
        <f t="shared" si="8"/>
        <v>0.68907918952453751</v>
      </c>
      <c r="R21" s="204">
        <f t="shared" si="3"/>
        <v>5664.2309378916989</v>
      </c>
      <c r="S21" s="204">
        <v>0</v>
      </c>
      <c r="T21" s="178">
        <f t="shared" si="4"/>
        <v>5444.2819472238525</v>
      </c>
    </row>
    <row r="22" spans="6:20">
      <c r="F22" s="183" t="s">
        <v>89</v>
      </c>
      <c r="G22" s="182">
        <f t="shared" si="5"/>
        <v>40.08333333333335</v>
      </c>
      <c r="H22" s="181">
        <f>'Data for Q5'!C41</f>
        <v>4.8120000000000003E-2</v>
      </c>
      <c r="I22" s="184">
        <f t="shared" si="6"/>
        <v>0.65402573115342433</v>
      </c>
      <c r="J22" s="204">
        <f t="shared" si="0"/>
        <v>1820.0309799753888</v>
      </c>
      <c r="K22" s="204">
        <v>0</v>
      </c>
      <c r="L22" s="178">
        <f t="shared" si="1"/>
        <v>1746.4725174841258</v>
      </c>
      <c r="N22" s="183" t="s">
        <v>89</v>
      </c>
      <c r="O22" s="182">
        <f t="shared" si="7"/>
        <v>54.08333333333335</v>
      </c>
      <c r="P22" s="181">
        <f t="shared" si="2"/>
        <v>4.8120000000000003E-2</v>
      </c>
      <c r="Q22" s="184">
        <f t="shared" si="8"/>
        <v>0.65402573115342433</v>
      </c>
      <c r="R22" s="204">
        <f t="shared" si="3"/>
        <v>5376.091510081148</v>
      </c>
      <c r="S22" s="204">
        <v>0</v>
      </c>
      <c r="T22" s="178">
        <f t="shared" si="4"/>
        <v>5158.8111285684945</v>
      </c>
    </row>
    <row r="23" spans="6:20">
      <c r="F23" s="183" t="s">
        <v>90</v>
      </c>
      <c r="G23" s="182">
        <f t="shared" si="5"/>
        <v>40.166666666666686</v>
      </c>
      <c r="H23" s="181">
        <f>'Data for Q5'!C42</f>
        <v>4.5519999999999998E-2</v>
      </c>
      <c r="I23" s="184">
        <f t="shared" si="6"/>
        <v>0.62255401297032154</v>
      </c>
      <c r="J23" s="204">
        <f t="shared" si="0"/>
        <v>1732.4510892189733</v>
      </c>
      <c r="K23" s="204">
        <v>0</v>
      </c>
      <c r="L23" s="178">
        <f t="shared" si="1"/>
        <v>1659.6911450806122</v>
      </c>
      <c r="N23" s="183" t="s">
        <v>90</v>
      </c>
      <c r="O23" s="182">
        <f t="shared" si="7"/>
        <v>54.166666666666686</v>
      </c>
      <c r="P23" s="181">
        <f t="shared" si="2"/>
        <v>4.5519999999999998E-2</v>
      </c>
      <c r="Q23" s="184">
        <f t="shared" si="8"/>
        <v>0.62255401297032154</v>
      </c>
      <c r="R23" s="204">
        <f t="shared" si="3"/>
        <v>5117.3939866160435</v>
      </c>
      <c r="S23" s="204">
        <v>0</v>
      </c>
      <c r="T23" s="178">
        <f t="shared" si="4"/>
        <v>4902.4723054688848</v>
      </c>
    </row>
    <row r="24" spans="6:20">
      <c r="F24" s="183" t="s">
        <v>91</v>
      </c>
      <c r="G24" s="182">
        <f t="shared" si="5"/>
        <v>40.250000000000021</v>
      </c>
      <c r="H24" s="181">
        <f>'Data for Q5'!C43</f>
        <v>4.3049999999999998E-2</v>
      </c>
      <c r="I24" s="184">
        <f t="shared" si="6"/>
        <v>0.59421535429991246</v>
      </c>
      <c r="J24" s="204">
        <f t="shared" si="0"/>
        <v>1653.5899156377252</v>
      </c>
      <c r="K24" s="204">
        <v>0</v>
      </c>
      <c r="L24" s="178">
        <f t="shared" si="1"/>
        <v>1581.5299788151051</v>
      </c>
      <c r="N24" s="183" t="s">
        <v>91</v>
      </c>
      <c r="O24" s="182">
        <f t="shared" si="7"/>
        <v>54.250000000000021</v>
      </c>
      <c r="P24" s="181">
        <f t="shared" si="2"/>
        <v>4.3049999999999998E-2</v>
      </c>
      <c r="Q24" s="184">
        <f t="shared" si="8"/>
        <v>0.59421535429991246</v>
      </c>
      <c r="R24" s="204">
        <f t="shared" si="3"/>
        <v>4884.4502123452803</v>
      </c>
      <c r="S24" s="204">
        <v>0</v>
      </c>
      <c r="T24" s="178">
        <f t="shared" si="4"/>
        <v>4671.5962451153864</v>
      </c>
    </row>
    <row r="25" spans="6:20">
      <c r="F25" s="183" t="s">
        <v>92</v>
      </c>
      <c r="G25" s="182">
        <f t="shared" si="5"/>
        <v>40.333333333333357</v>
      </c>
      <c r="H25" s="181">
        <f>'Data for Q5'!C44</f>
        <v>4.0730000000000002E-2</v>
      </c>
      <c r="I25" s="184">
        <f t="shared" si="6"/>
        <v>0.5686343832973012</v>
      </c>
      <c r="J25" s="204">
        <f t="shared" si="0"/>
        <v>1582.4028697695212</v>
      </c>
      <c r="K25" s="204">
        <v>0</v>
      </c>
      <c r="L25" s="178">
        <f t="shared" si="1"/>
        <v>1510.9496570254289</v>
      </c>
      <c r="N25" s="183" t="s">
        <v>92</v>
      </c>
      <c r="O25" s="182">
        <f t="shared" si="7"/>
        <v>54.333333333333357</v>
      </c>
      <c r="P25" s="181">
        <f t="shared" si="2"/>
        <v>4.0730000000000002E-2</v>
      </c>
      <c r="Q25" s="184">
        <f t="shared" si="8"/>
        <v>0.5686343832973012</v>
      </c>
      <c r="R25" s="204">
        <f t="shared" si="3"/>
        <v>4674.1746307038156</v>
      </c>
      <c r="S25" s="204">
        <v>0</v>
      </c>
      <c r="T25" s="178">
        <f t="shared" si="4"/>
        <v>4463.1128330597276</v>
      </c>
    </row>
    <row r="26" spans="6:20">
      <c r="F26" s="183" t="s">
        <v>93</v>
      </c>
      <c r="G26" s="182">
        <f t="shared" si="5"/>
        <v>40.416666666666693</v>
      </c>
      <c r="H26" s="181">
        <f>'Data for Q5'!C45</f>
        <v>3.8519999999999999E-2</v>
      </c>
      <c r="I26" s="184">
        <f t="shared" si="6"/>
        <v>0.5454739048656021</v>
      </c>
      <c r="J26" s="204">
        <f t="shared" si="0"/>
        <v>1517.9516008838086</v>
      </c>
      <c r="K26" s="204">
        <v>0</v>
      </c>
      <c r="L26" s="178">
        <f t="shared" si="1"/>
        <v>1447.0188082874886</v>
      </c>
      <c r="N26" s="183" t="s">
        <v>93</v>
      </c>
      <c r="O26" s="182">
        <f t="shared" si="7"/>
        <v>54.416666666666693</v>
      </c>
      <c r="P26" s="181">
        <f t="shared" si="2"/>
        <v>3.8519999999999999E-2</v>
      </c>
      <c r="Q26" s="184">
        <f t="shared" si="8"/>
        <v>0.5454739048656021</v>
      </c>
      <c r="R26" s="204">
        <f t="shared" si="3"/>
        <v>4483.7954979952492</v>
      </c>
      <c r="S26" s="204">
        <v>0</v>
      </c>
      <c r="T26" s="178">
        <f t="shared" si="4"/>
        <v>4274.2709414030423</v>
      </c>
    </row>
    <row r="27" spans="6:20">
      <c r="F27" s="183" t="s">
        <v>94</v>
      </c>
      <c r="G27" s="182">
        <f t="shared" si="5"/>
        <v>40.500000000000028</v>
      </c>
      <c r="H27" s="181">
        <f>'Data for Q5'!C46</f>
        <v>3.644E-2</v>
      </c>
      <c r="I27" s="184">
        <f t="shared" si="6"/>
        <v>0.5244622500501791</v>
      </c>
      <c r="J27" s="204">
        <f t="shared" si="0"/>
        <v>1459.4801052177643</v>
      </c>
      <c r="K27" s="204">
        <v>0</v>
      </c>
      <c r="L27" s="178">
        <f t="shared" si="1"/>
        <v>1388.9856211117901</v>
      </c>
      <c r="N27" s="183" t="s">
        <v>94</v>
      </c>
      <c r="O27" s="182">
        <f t="shared" si="7"/>
        <v>54.500000000000028</v>
      </c>
      <c r="P27" s="181">
        <f t="shared" si="2"/>
        <v>3.644E-2</v>
      </c>
      <c r="Q27" s="184">
        <f t="shared" si="8"/>
        <v>0.5244622500501791</v>
      </c>
      <c r="R27" s="204">
        <f t="shared" si="3"/>
        <v>4311.0796954124726</v>
      </c>
      <c r="S27" s="204">
        <v>0</v>
      </c>
      <c r="T27" s="178">
        <f t="shared" si="4"/>
        <v>4102.849834668672</v>
      </c>
    </row>
    <row r="28" spans="6:20">
      <c r="F28" s="183" t="s">
        <v>95</v>
      </c>
      <c r="G28" s="182">
        <f t="shared" si="5"/>
        <v>40.583333333333364</v>
      </c>
      <c r="H28" s="181">
        <f>'Data for Q5'!C47</f>
        <v>3.4459999999999998E-2</v>
      </c>
      <c r="I28" s="184">
        <f t="shared" si="6"/>
        <v>0.50535084565835053</v>
      </c>
      <c r="J28" s="204">
        <f t="shared" si="0"/>
        <v>1406.2966501836288</v>
      </c>
      <c r="K28" s="204">
        <v>0</v>
      </c>
      <c r="L28" s="178">
        <f t="shared" si="1"/>
        <v>1336.1642012673681</v>
      </c>
      <c r="N28" s="183" t="s">
        <v>95</v>
      </c>
      <c r="O28" s="182">
        <f t="shared" si="7"/>
        <v>54.583333333333364</v>
      </c>
      <c r="P28" s="181">
        <f t="shared" si="2"/>
        <v>3.4459999999999998E-2</v>
      </c>
      <c r="Q28" s="184">
        <f t="shared" si="8"/>
        <v>0.50535084565835053</v>
      </c>
      <c r="R28" s="204">
        <f t="shared" si="3"/>
        <v>4153.9839513116412</v>
      </c>
      <c r="S28" s="204">
        <v>0</v>
      </c>
      <c r="T28" s="178">
        <f t="shared" si="4"/>
        <v>3946.8234868205327</v>
      </c>
    </row>
    <row r="29" spans="6:20">
      <c r="F29" s="183" t="s">
        <v>96</v>
      </c>
      <c r="G29" s="182">
        <f t="shared" si="5"/>
        <v>40.6666666666667</v>
      </c>
      <c r="H29" s="181">
        <f>'Data for Q5'!C48</f>
        <v>3.2599999999999997E-2</v>
      </c>
      <c r="I29" s="184">
        <f t="shared" si="6"/>
        <v>0.48793645551696374</v>
      </c>
      <c r="J29" s="204">
        <f t="shared" si="0"/>
        <v>1357.8356676183009</v>
      </c>
      <c r="K29" s="204">
        <v>0</v>
      </c>
      <c r="L29" s="178">
        <f t="shared" si="1"/>
        <v>1287.9927581353495</v>
      </c>
      <c r="N29" s="183" t="s">
        <v>96</v>
      </c>
      <c r="O29" s="182">
        <f t="shared" si="7"/>
        <v>54.6666666666667</v>
      </c>
      <c r="P29" s="181">
        <f t="shared" si="2"/>
        <v>3.2599999999999997E-2</v>
      </c>
      <c r="Q29" s="184">
        <f t="shared" si="8"/>
        <v>0.48793645551696374</v>
      </c>
      <c r="R29" s="204">
        <f t="shared" si="3"/>
        <v>4010.8376643494421</v>
      </c>
      <c r="S29" s="204">
        <v>0</v>
      </c>
      <c r="T29" s="178">
        <f t="shared" si="4"/>
        <v>3804.5324547998011</v>
      </c>
    </row>
    <row r="30" spans="6:20">
      <c r="F30" s="183" t="s">
        <v>97</v>
      </c>
      <c r="G30" s="182">
        <f t="shared" si="5"/>
        <v>40.750000000000036</v>
      </c>
      <c r="H30" s="181">
        <f>'Data for Q5'!C49</f>
        <v>3.083E-2</v>
      </c>
      <c r="I30" s="184">
        <f t="shared" si="6"/>
        <v>0.47202972706711072</v>
      </c>
      <c r="J30" s="204">
        <f t="shared" si="0"/>
        <v>1313.5702248539442</v>
      </c>
      <c r="K30" s="204">
        <v>0</v>
      </c>
      <c r="L30" s="178">
        <f t="shared" si="1"/>
        <v>1243.9497101383436</v>
      </c>
      <c r="N30" s="183" t="s">
        <v>97</v>
      </c>
      <c r="O30" s="182">
        <f t="shared" si="7"/>
        <v>54.750000000000036</v>
      </c>
      <c r="P30" s="181">
        <f t="shared" si="2"/>
        <v>3.083E-2</v>
      </c>
      <c r="Q30" s="184">
        <f t="shared" si="8"/>
        <v>0.47202972706711072</v>
      </c>
      <c r="R30" s="204">
        <f t="shared" si="3"/>
        <v>3880.0843564916504</v>
      </c>
      <c r="S30" s="204">
        <v>0</v>
      </c>
      <c r="T30" s="178">
        <f t="shared" si="4"/>
        <v>3674.4360668701838</v>
      </c>
    </row>
    <row r="31" spans="6:20">
      <c r="F31" s="183" t="s">
        <v>98</v>
      </c>
      <c r="G31" s="182">
        <f t="shared" si="5"/>
        <v>40.833333333333371</v>
      </c>
      <c r="H31" s="181">
        <f>'Data for Q5'!C50</f>
        <v>2.9170000000000001E-2</v>
      </c>
      <c r="I31" s="184">
        <f t="shared" si="6"/>
        <v>0.45747705058163168</v>
      </c>
      <c r="J31" s="204">
        <f t="shared" si="0"/>
        <v>1273.0728548216971</v>
      </c>
      <c r="K31" s="204">
        <v>0</v>
      </c>
      <c r="L31" s="178">
        <f t="shared" si="1"/>
        <v>1203.6108793516535</v>
      </c>
      <c r="N31" s="183" t="s">
        <v>98</v>
      </c>
      <c r="O31" s="182">
        <f t="shared" si="7"/>
        <v>54.833333333333371</v>
      </c>
      <c r="P31" s="181">
        <f t="shared" si="2"/>
        <v>2.9170000000000001E-2</v>
      </c>
      <c r="Q31" s="184">
        <f t="shared" si="8"/>
        <v>0.45747705058163168</v>
      </c>
      <c r="R31" s="204">
        <f t="shared" si="3"/>
        <v>3760.4613557810126</v>
      </c>
      <c r="S31" s="204">
        <v>0</v>
      </c>
      <c r="T31" s="178">
        <f t="shared" si="4"/>
        <v>3555.2813667002683</v>
      </c>
    </row>
    <row r="32" spans="6:20">
      <c r="F32" s="183" t="s">
        <v>99</v>
      </c>
      <c r="G32" s="182">
        <f t="shared" si="5"/>
        <v>40.916666666666707</v>
      </c>
      <c r="H32" s="181">
        <f>'Data for Q5'!C51</f>
        <v>2.759E-2</v>
      </c>
      <c r="I32" s="184">
        <f t="shared" si="6"/>
        <v>0.4441324450161655</v>
      </c>
      <c r="J32" s="204">
        <f t="shared" si="0"/>
        <v>1235.9373196465483</v>
      </c>
      <c r="K32" s="204">
        <v>0</v>
      </c>
      <c r="L32" s="178">
        <f t="shared" si="1"/>
        <v>1166.5748567802173</v>
      </c>
      <c r="N32" s="183" t="s">
        <v>99</v>
      </c>
      <c r="O32" s="182">
        <f t="shared" si="7"/>
        <v>54.916666666666707</v>
      </c>
      <c r="P32" s="181">
        <f t="shared" si="2"/>
        <v>2.759E-2</v>
      </c>
      <c r="Q32" s="184">
        <f t="shared" si="8"/>
        <v>0.4441324450161655</v>
      </c>
      <c r="R32" s="204">
        <f t="shared" si="3"/>
        <v>3650.7686980328808</v>
      </c>
      <c r="S32" s="204">
        <v>0</v>
      </c>
      <c r="T32" s="178">
        <f t="shared" si="4"/>
        <v>3445.8826538738722</v>
      </c>
    </row>
    <row r="33" spans="6:20">
      <c r="F33" s="183" t="s">
        <v>100</v>
      </c>
      <c r="G33" s="182">
        <f t="shared" si="5"/>
        <v>41.000000000000043</v>
      </c>
      <c r="H33" s="181">
        <f>'Data for Q5'!C52</f>
        <v>2.6100000000000002E-2</v>
      </c>
      <c r="I33" s="184">
        <f t="shared" si="6"/>
        <v>0.43187883085816947</v>
      </c>
      <c r="J33" s="204">
        <f t="shared" si="0"/>
        <v>1234.8883487449314</v>
      </c>
      <c r="K33" s="204">
        <v>0</v>
      </c>
      <c r="L33" s="178">
        <f t="shared" si="1"/>
        <v>1163.6628716942673</v>
      </c>
      <c r="N33" s="183" t="s">
        <v>100</v>
      </c>
      <c r="O33" s="182">
        <f t="shared" si="7"/>
        <v>55.000000000000043</v>
      </c>
      <c r="P33" s="181">
        <f t="shared" si="2"/>
        <v>2.6100000000000002E-2</v>
      </c>
      <c r="Q33" s="184">
        <f t="shared" si="8"/>
        <v>0.43187883085816947</v>
      </c>
      <c r="R33" s="204">
        <f t="shared" si="3"/>
        <v>3647.6701993696429</v>
      </c>
      <c r="S33" s="204">
        <v>0</v>
      </c>
      <c r="T33" s="178">
        <f t="shared" si="4"/>
        <v>3437.2810979276819</v>
      </c>
    </row>
    <row r="34" spans="6:20">
      <c r="F34" s="183" t="s">
        <v>101</v>
      </c>
      <c r="G34" s="182">
        <f t="shared" si="5"/>
        <v>41.083333333333378</v>
      </c>
      <c r="H34" s="181">
        <f>'Data for Q5'!C53</f>
        <v>3.7680000000000005E-2</v>
      </c>
      <c r="I34" s="184">
        <f t="shared" si="6"/>
        <v>0.42060679337277124</v>
      </c>
      <c r="J34" s="204">
        <f t="shared" si="0"/>
        <v>1202.6577628426885</v>
      </c>
      <c r="K34" s="204">
        <v>0</v>
      </c>
      <c r="L34" s="178">
        <f t="shared" si="1"/>
        <v>1131.4226342757079</v>
      </c>
      <c r="N34" s="183" t="s">
        <v>101</v>
      </c>
      <c r="O34" s="182">
        <f t="shared" si="7"/>
        <v>55.083333333333378</v>
      </c>
      <c r="P34" s="181">
        <f t="shared" si="2"/>
        <v>3.7680000000000005E-2</v>
      </c>
      <c r="Q34" s="184">
        <f t="shared" si="8"/>
        <v>0.42060679337277124</v>
      </c>
      <c r="R34" s="204">
        <f t="shared" si="3"/>
        <v>3552.4660071660951</v>
      </c>
      <c r="S34" s="204">
        <v>0</v>
      </c>
      <c r="T34" s="178">
        <f t="shared" si="4"/>
        <v>3342.0483966297834</v>
      </c>
    </row>
    <row r="35" spans="6:20">
      <c r="F35" s="183" t="s">
        <v>102</v>
      </c>
      <c r="G35" s="182">
        <f t="shared" si="5"/>
        <v>41.166666666666714</v>
      </c>
      <c r="H35" s="181">
        <f>'Data for Q5'!C54</f>
        <v>6.234E-2</v>
      </c>
      <c r="I35" s="184">
        <f t="shared" si="6"/>
        <v>0.40475832939848522</v>
      </c>
      <c r="J35" s="204">
        <f t="shared" si="0"/>
        <v>1157.341618338776</v>
      </c>
      <c r="K35" s="204">
        <v>0</v>
      </c>
      <c r="L35" s="178">
        <f t="shared" si="1"/>
        <v>1086.9953681908214</v>
      </c>
      <c r="N35" s="183" t="s">
        <v>102</v>
      </c>
      <c r="O35" s="182">
        <f t="shared" si="7"/>
        <v>55.166666666666714</v>
      </c>
      <c r="P35" s="181">
        <f t="shared" si="2"/>
        <v>6.234E-2</v>
      </c>
      <c r="Q35" s="184">
        <f t="shared" si="8"/>
        <v>0.40475832939848522</v>
      </c>
      <c r="R35" s="204">
        <f t="shared" si="3"/>
        <v>3418.6090880160768</v>
      </c>
      <c r="S35" s="204">
        <v>0</v>
      </c>
      <c r="T35" s="178">
        <f t="shared" si="4"/>
        <v>3210.817087579042</v>
      </c>
    </row>
    <row r="36" spans="6:20">
      <c r="F36" s="183" t="s">
        <v>103</v>
      </c>
      <c r="G36" s="182">
        <f t="shared" si="5"/>
        <v>41.25000000000005</v>
      </c>
      <c r="H36" s="181">
        <f>'Data for Q5'!C55</f>
        <v>0.16508</v>
      </c>
      <c r="I36" s="184">
        <f t="shared" si="6"/>
        <v>0.37952569514378365</v>
      </c>
      <c r="J36" s="204">
        <f t="shared" si="0"/>
        <v>1085.1929418515367</v>
      </c>
      <c r="K36" s="204">
        <v>0</v>
      </c>
      <c r="L36" s="178">
        <f t="shared" si="1"/>
        <v>1017.5515078936279</v>
      </c>
      <c r="N36" s="183" t="s">
        <v>103</v>
      </c>
      <c r="O36" s="182">
        <f t="shared" si="7"/>
        <v>55.25000000000005</v>
      </c>
      <c r="P36" s="181">
        <f t="shared" si="2"/>
        <v>0.16508</v>
      </c>
      <c r="Q36" s="184">
        <f t="shared" si="8"/>
        <v>0.37952569514378365</v>
      </c>
      <c r="R36" s="204">
        <f t="shared" si="3"/>
        <v>3205.4929974691545</v>
      </c>
      <c r="S36" s="204">
        <v>0</v>
      </c>
      <c r="T36" s="178">
        <f t="shared" si="4"/>
        <v>3005.6906079319469</v>
      </c>
    </row>
    <row r="37" spans="6:20">
      <c r="F37" s="183" t="s">
        <v>104</v>
      </c>
      <c r="G37" s="182">
        <f t="shared" si="5"/>
        <v>41.333333333333385</v>
      </c>
      <c r="H37" s="181">
        <f>'Data for Q5'!C56</f>
        <v>7.288E-2</v>
      </c>
      <c r="I37" s="184">
        <f t="shared" si="6"/>
        <v>0.31687359338944782</v>
      </c>
      <c r="J37" s="204">
        <f t="shared" si="0"/>
        <v>906.0492910106849</v>
      </c>
      <c r="K37" s="204">
        <v>0</v>
      </c>
      <c r="L37" s="178">
        <f t="shared" si="1"/>
        <v>848.17327784407189</v>
      </c>
      <c r="N37" s="183" t="s">
        <v>104</v>
      </c>
      <c r="O37" s="182">
        <f t="shared" si="7"/>
        <v>55.333333333333385</v>
      </c>
      <c r="P37" s="181">
        <f t="shared" si="2"/>
        <v>7.288E-2</v>
      </c>
      <c r="Q37" s="184">
        <f t="shared" si="8"/>
        <v>0.31687359338944782</v>
      </c>
      <c r="R37" s="204">
        <f t="shared" si="3"/>
        <v>2676.3302134469463</v>
      </c>
      <c r="S37" s="204">
        <v>0</v>
      </c>
      <c r="T37" s="178">
        <f t="shared" si="4"/>
        <v>2505.373374554797</v>
      </c>
    </row>
    <row r="38" spans="6:20">
      <c r="F38" s="183" t="s">
        <v>105</v>
      </c>
      <c r="G38" s="182">
        <f t="shared" si="5"/>
        <v>41.416666666666721</v>
      </c>
      <c r="H38" s="181">
        <f>'Data for Q5'!C57</f>
        <v>3.2750000000000001E-2</v>
      </c>
      <c r="I38" s="184">
        <f t="shared" si="6"/>
        <v>0.29377984590322487</v>
      </c>
      <c r="J38" s="204">
        <f t="shared" si="0"/>
        <v>840.01641868182628</v>
      </c>
      <c r="K38" s="204">
        <v>0</v>
      </c>
      <c r="L38" s="178">
        <f t="shared" si="1"/>
        <v>785.0618159387401</v>
      </c>
      <c r="N38" s="183" t="s">
        <v>105</v>
      </c>
      <c r="O38" s="182">
        <f t="shared" si="7"/>
        <v>55.416666666666721</v>
      </c>
      <c r="P38" s="181">
        <f t="shared" si="2"/>
        <v>3.2750000000000001E-2</v>
      </c>
      <c r="Q38" s="184">
        <f t="shared" si="8"/>
        <v>0.29377984590322487</v>
      </c>
      <c r="R38" s="204">
        <f t="shared" si="3"/>
        <v>2481.2792674909329</v>
      </c>
      <c r="S38" s="204">
        <v>0</v>
      </c>
      <c r="T38" s="178">
        <f t="shared" si="4"/>
        <v>2318.9518255421244</v>
      </c>
    </row>
    <row r="39" spans="6:20">
      <c r="F39" s="183" t="s">
        <v>106</v>
      </c>
      <c r="G39" s="182">
        <f t="shared" si="5"/>
        <v>41.500000000000057</v>
      </c>
      <c r="H39" s="181">
        <f>'Data for Q5'!C58</f>
        <v>1.8679999999999999E-2</v>
      </c>
      <c r="I39" s="184">
        <f t="shared" si="6"/>
        <v>0.28415855594989425</v>
      </c>
      <c r="J39" s="204">
        <f t="shared" si="0"/>
        <v>812.50588096999638</v>
      </c>
      <c r="K39" s="204">
        <v>0</v>
      </c>
      <c r="L39" s="178">
        <f t="shared" si="1"/>
        <v>758.09897936741822</v>
      </c>
      <c r="N39" s="183" t="s">
        <v>106</v>
      </c>
      <c r="O39" s="182">
        <f t="shared" si="7"/>
        <v>55.500000000000057</v>
      </c>
      <c r="P39" s="181">
        <f t="shared" si="2"/>
        <v>1.8679999999999999E-2</v>
      </c>
      <c r="Q39" s="184">
        <f t="shared" si="8"/>
        <v>0.28415855594989425</v>
      </c>
      <c r="R39" s="204">
        <f t="shared" si="3"/>
        <v>2400.0173714806047</v>
      </c>
      <c r="S39" s="204">
        <v>0</v>
      </c>
      <c r="T39" s="178">
        <f t="shared" si="4"/>
        <v>2239.3077544391431</v>
      </c>
    </row>
    <row r="40" spans="6:20">
      <c r="F40" s="183" t="s">
        <v>107</v>
      </c>
      <c r="G40" s="182">
        <f t="shared" si="5"/>
        <v>41.583333333333393</v>
      </c>
      <c r="H40" s="181">
        <f>'Data for Q5'!C59</f>
        <v>1.7680000000000001E-2</v>
      </c>
      <c r="I40" s="184">
        <f t="shared" si="6"/>
        <v>0.27885047412475022</v>
      </c>
      <c r="J40" s="204">
        <f t="shared" si="0"/>
        <v>797.32827111347683</v>
      </c>
      <c r="K40" s="204">
        <v>0</v>
      </c>
      <c r="L40" s="178">
        <f t="shared" si="1"/>
        <v>742.71104276187964</v>
      </c>
      <c r="N40" s="183" t="s">
        <v>107</v>
      </c>
      <c r="O40" s="182">
        <f t="shared" si="7"/>
        <v>55.583333333333393</v>
      </c>
      <c r="P40" s="181">
        <f t="shared" si="2"/>
        <v>1.7680000000000001E-2</v>
      </c>
      <c r="Q40" s="184">
        <f t="shared" si="8"/>
        <v>0.27885047412475022</v>
      </c>
      <c r="R40" s="204">
        <f t="shared" si="3"/>
        <v>2355.1850469813471</v>
      </c>
      <c r="S40" s="204">
        <v>0</v>
      </c>
      <c r="T40" s="178">
        <f t="shared" si="4"/>
        <v>2193.8541570812445</v>
      </c>
    </row>
    <row r="41" spans="6:20">
      <c r="F41" s="183" t="s">
        <v>108</v>
      </c>
      <c r="G41" s="182">
        <f t="shared" si="5"/>
        <v>41.666666666666728</v>
      </c>
      <c r="H41" s="181">
        <f>'Data for Q5'!C60</f>
        <v>1.6719999999999999E-2</v>
      </c>
      <c r="I41" s="184">
        <f t="shared" si="6"/>
        <v>0.27392039774222465</v>
      </c>
      <c r="J41" s="204">
        <f t="shared" si="0"/>
        <v>783.23150728019061</v>
      </c>
      <c r="K41" s="204">
        <v>0</v>
      </c>
      <c r="L41" s="178">
        <f t="shared" si="1"/>
        <v>728.37693779463802</v>
      </c>
      <c r="N41" s="183" t="s">
        <v>108</v>
      </c>
      <c r="O41" s="182">
        <f t="shared" si="7"/>
        <v>55.666666666666728</v>
      </c>
      <c r="P41" s="181">
        <f t="shared" si="2"/>
        <v>1.6719999999999999E-2</v>
      </c>
      <c r="Q41" s="184">
        <f t="shared" si="8"/>
        <v>0.27392039774222465</v>
      </c>
      <c r="R41" s="204">
        <f t="shared" si="3"/>
        <v>2313.5453753507172</v>
      </c>
      <c r="S41" s="204">
        <v>0</v>
      </c>
      <c r="T41" s="178">
        <f t="shared" si="4"/>
        <v>2151.5134162549311</v>
      </c>
    </row>
    <row r="42" spans="6:20">
      <c r="F42" s="183" t="s">
        <v>109</v>
      </c>
      <c r="G42" s="182">
        <f t="shared" si="5"/>
        <v>41.750000000000064</v>
      </c>
      <c r="H42" s="181">
        <f>'Data for Q5'!C61</f>
        <v>1.5810000000000001E-2</v>
      </c>
      <c r="I42" s="184">
        <f t="shared" si="6"/>
        <v>0.26934044869197465</v>
      </c>
      <c r="J42" s="204">
        <f t="shared" si="0"/>
        <v>770.13587647846589</v>
      </c>
      <c r="K42" s="204">
        <v>0</v>
      </c>
      <c r="L42" s="178">
        <f t="shared" si="1"/>
        <v>715.01756575257048</v>
      </c>
      <c r="N42" s="183" t="s">
        <v>109</v>
      </c>
      <c r="O42" s="182">
        <f t="shared" si="7"/>
        <v>55.750000000000064</v>
      </c>
      <c r="P42" s="181">
        <f t="shared" si="2"/>
        <v>1.5810000000000001E-2</v>
      </c>
      <c r="Q42" s="184">
        <f t="shared" si="8"/>
        <v>0.26934044869197465</v>
      </c>
      <c r="R42" s="204">
        <f t="shared" si="3"/>
        <v>2274.8628966748529</v>
      </c>
      <c r="S42" s="204">
        <v>0</v>
      </c>
      <c r="T42" s="178">
        <f t="shared" si="4"/>
        <v>2112.0518865306694</v>
      </c>
    </row>
    <row r="43" spans="6:20">
      <c r="F43" s="183" t="s">
        <v>110</v>
      </c>
      <c r="G43" s="182">
        <f t="shared" si="5"/>
        <v>41.8333333333334</v>
      </c>
      <c r="H43" s="181">
        <f>'Data for Q5'!C62</f>
        <v>1.495E-2</v>
      </c>
      <c r="I43" s="184">
        <f t="shared" si="6"/>
        <v>0.26508217619815455</v>
      </c>
      <c r="J43" s="204">
        <f t="shared" si="0"/>
        <v>757.96002827134134</v>
      </c>
      <c r="K43" s="204">
        <v>0</v>
      </c>
      <c r="L43" s="178">
        <f t="shared" si="1"/>
        <v>702.55281494524729</v>
      </c>
      <c r="N43" s="183" t="s">
        <v>110</v>
      </c>
      <c r="O43" s="182">
        <f t="shared" si="7"/>
        <v>55.8333333333334</v>
      </c>
      <c r="P43" s="181">
        <f t="shared" si="2"/>
        <v>1.495E-2</v>
      </c>
      <c r="Q43" s="184">
        <f t="shared" si="8"/>
        <v>0.26508217619815455</v>
      </c>
      <c r="R43" s="204">
        <f t="shared" si="3"/>
        <v>2238.8973142784239</v>
      </c>
      <c r="S43" s="204">
        <v>0</v>
      </c>
      <c r="T43" s="178">
        <f t="shared" si="4"/>
        <v>2075.2329302998073</v>
      </c>
    </row>
    <row r="44" spans="6:20">
      <c r="F44" s="183" t="s">
        <v>111</v>
      </c>
      <c r="G44" s="182">
        <f t="shared" si="5"/>
        <v>41.916666666666735</v>
      </c>
      <c r="H44" s="181">
        <f>'Data for Q5'!C63</f>
        <v>1.4200000000000001E-2</v>
      </c>
      <c r="I44" s="184">
        <f t="shared" si="6"/>
        <v>0.26111919766399211</v>
      </c>
      <c r="J44" s="204">
        <f t="shared" si="0"/>
        <v>746.62852584868472</v>
      </c>
      <c r="K44" s="204">
        <v>0</v>
      </c>
      <c r="L44" s="178">
        <f t="shared" si="1"/>
        <v>690.90855870492192</v>
      </c>
      <c r="N44" s="183" t="s">
        <v>111</v>
      </c>
      <c r="O44" s="182">
        <f t="shared" si="7"/>
        <v>55.916666666666735</v>
      </c>
      <c r="P44" s="181">
        <f t="shared" si="2"/>
        <v>1.4200000000000001E-2</v>
      </c>
      <c r="Q44" s="184">
        <f t="shared" si="8"/>
        <v>0.26111919766399211</v>
      </c>
      <c r="R44" s="204">
        <f t="shared" si="3"/>
        <v>2205.425799429961</v>
      </c>
      <c r="S44" s="204">
        <v>0</v>
      </c>
      <c r="T44" s="178">
        <f t="shared" si="4"/>
        <v>2040.8375887899233</v>
      </c>
    </row>
    <row r="45" spans="6:20">
      <c r="F45" s="183" t="s">
        <v>12</v>
      </c>
      <c r="G45" s="182">
        <f t="shared" si="5"/>
        <v>42.000000000000071</v>
      </c>
      <c r="H45" s="181">
        <f>'Data for Q5'!C64</f>
        <v>0.16200000000000001</v>
      </c>
      <c r="I45" s="180">
        <f>I44*(1-H44)*(1-H45)^0.5</f>
        <v>0.23564033189565076</v>
      </c>
      <c r="J45" s="204">
        <f t="shared" ref="J45:J67" si="9">G$8*I45*1.0275^(ROUNDDOWN(G45-G$7-0.5,0))</f>
        <v>8307.6554880331223</v>
      </c>
      <c r="K45" s="204">
        <f t="shared" ref="K45:K67" si="10">-(1000*12*1.03^3.5)*I45*1.0275^(G45-$G$45)</f>
        <v>-3135.8924411265284</v>
      </c>
      <c r="L45" s="178">
        <f t="shared" si="1"/>
        <v>4777.9096353775985</v>
      </c>
      <c r="N45" s="183" t="s">
        <v>12</v>
      </c>
      <c r="O45" s="182">
        <f t="shared" si="7"/>
        <v>56.000000000000071</v>
      </c>
      <c r="P45" s="181">
        <f t="shared" si="2"/>
        <v>0.16200000000000001</v>
      </c>
      <c r="Q45" s="180">
        <f>Q44*(1-P44)*(1-P45)^0.5</f>
        <v>0.23564033189565076</v>
      </c>
      <c r="R45" s="204">
        <f t="shared" ref="R45:R53" si="11">O$8*Q45*1.0275^(ROUNDDOWN(O45-O$7-0.5,0))</f>
        <v>24539.536210805534</v>
      </c>
      <c r="S45" s="204">
        <f t="shared" ref="S45:S53" si="12">-(1000*12*1.03^3.5)*Q45*1.0275^(O45-$G$45)</f>
        <v>-4584.6563282357683</v>
      </c>
      <c r="T45" s="178">
        <f t="shared" si="4"/>
        <v>18435.224506420556</v>
      </c>
    </row>
    <row r="46" spans="6:20">
      <c r="F46" s="183" t="s">
        <v>13</v>
      </c>
      <c r="G46" s="182">
        <f t="shared" ref="G46:G67" si="13">G45+1</f>
        <v>43.000000000000071</v>
      </c>
      <c r="H46" s="181">
        <f>'Data for Q5'!C65</f>
        <v>8.1000000000000003E-2</v>
      </c>
      <c r="I46" s="180">
        <f t="shared" ref="I46:I67" si="14">I45*(1-H45)^0.5*(1-H46)^0.5</f>
        <v>0.20678993217487915</v>
      </c>
      <c r="J46" s="204">
        <f t="shared" si="9"/>
        <v>7491.004775634653</v>
      </c>
      <c r="K46" s="204">
        <f t="shared" si="10"/>
        <v>-2827.6311272408138</v>
      </c>
      <c r="L46" s="178">
        <f t="shared" si="1"/>
        <v>4223.7611910992355</v>
      </c>
      <c r="N46" s="183" t="s">
        <v>13</v>
      </c>
      <c r="O46" s="182">
        <f t="shared" ref="O46:O53" si="15">O45+1</f>
        <v>57.000000000000071</v>
      </c>
      <c r="P46" s="181">
        <f t="shared" si="2"/>
        <v>8.1000000000000003E-2</v>
      </c>
      <c r="Q46" s="180">
        <f t="shared" ref="Q46:Q53" si="16">Q45*(1-P45)^0.5*(1-P46)^0.5</f>
        <v>0.20678993217487915</v>
      </c>
      <c r="R46" s="204">
        <f t="shared" si="11"/>
        <v>22127.275644951591</v>
      </c>
      <c r="S46" s="204">
        <f t="shared" si="12"/>
        <v>-4133.9800981069329</v>
      </c>
      <c r="T46" s="178">
        <f t="shared" si="4"/>
        <v>16297.082147152611</v>
      </c>
    </row>
    <row r="47" spans="6:20">
      <c r="F47" s="183" t="s">
        <v>14</v>
      </c>
      <c r="G47" s="182">
        <f t="shared" si="13"/>
        <v>44.000000000000071</v>
      </c>
      <c r="H47" s="181">
        <f>'Data for Q5'!C66</f>
        <v>4.0500000000000001E-2</v>
      </c>
      <c r="I47" s="180">
        <f t="shared" si="14"/>
        <v>0.1941822978528919</v>
      </c>
      <c r="J47" s="204">
        <f t="shared" si="9"/>
        <v>7227.733812549136</v>
      </c>
      <c r="K47" s="204">
        <f t="shared" si="10"/>
        <v>-2728.2541821692221</v>
      </c>
      <c r="L47" s="178">
        <f t="shared" ref="L47:L67" si="17">MAX(0,J47+K47)/(1+$C$11)^(G47-G$7+0.5)</f>
        <v>3995.4091465070628</v>
      </c>
      <c r="N47" s="183" t="s">
        <v>14</v>
      </c>
      <c r="O47" s="182">
        <f t="shared" si="15"/>
        <v>58.000000000000071</v>
      </c>
      <c r="P47" s="181">
        <f t="shared" si="2"/>
        <v>4.0500000000000001E-2</v>
      </c>
      <c r="Q47" s="180">
        <f t="shared" si="16"/>
        <v>0.1941822978528919</v>
      </c>
      <c r="R47" s="204">
        <f t="shared" si="11"/>
        <v>21349.613723222064</v>
      </c>
      <c r="S47" s="204">
        <f t="shared" si="12"/>
        <v>-3988.691588166987</v>
      </c>
      <c r="T47" s="178">
        <f t="shared" si="4"/>
        <v>15416.002024291691</v>
      </c>
    </row>
    <row r="48" spans="6:20">
      <c r="F48" s="183" t="s">
        <v>15</v>
      </c>
      <c r="G48" s="182">
        <f t="shared" si="13"/>
        <v>45.000000000000071</v>
      </c>
      <c r="H48" s="181">
        <f>'Data for Q5'!C67</f>
        <v>3.0380000000000001E-2</v>
      </c>
      <c r="I48" s="180">
        <f t="shared" si="14"/>
        <v>0.18729789997965074</v>
      </c>
      <c r="J48" s="204">
        <f t="shared" si="9"/>
        <v>7163.2028903347727</v>
      </c>
      <c r="K48" s="204">
        <f t="shared" si="10"/>
        <v>-2703.8956815690899</v>
      </c>
      <c r="L48" s="178">
        <f t="shared" si="17"/>
        <v>3882.0952801573599</v>
      </c>
      <c r="N48" s="183" t="s">
        <v>15</v>
      </c>
      <c r="O48" s="182">
        <f t="shared" si="15"/>
        <v>59.000000000000071</v>
      </c>
      <c r="P48" s="181">
        <f t="shared" si="2"/>
        <v>3.0380000000000001E-2</v>
      </c>
      <c r="Q48" s="180">
        <f t="shared" si="16"/>
        <v>0.18729789997965074</v>
      </c>
      <c r="R48" s="204">
        <f t="shared" si="11"/>
        <v>21158.99930683502</v>
      </c>
      <c r="S48" s="204">
        <f t="shared" si="12"/>
        <v>-3953.0796033749921</v>
      </c>
      <c r="T48" s="178">
        <f t="shared" si="4"/>
        <v>14978.788530260797</v>
      </c>
    </row>
    <row r="49" spans="6:20">
      <c r="F49" s="183" t="s">
        <v>139</v>
      </c>
      <c r="G49" s="182">
        <f t="shared" si="13"/>
        <v>46.000000000000071</v>
      </c>
      <c r="H49" s="181">
        <f>'Data for Q5'!C68</f>
        <v>2.2790000000000001E-2</v>
      </c>
      <c r="I49" s="180">
        <f t="shared" si="14"/>
        <v>0.18231719973353211</v>
      </c>
      <c r="J49" s="204">
        <f t="shared" si="9"/>
        <v>7164.4658443432509</v>
      </c>
      <c r="K49" s="204">
        <f t="shared" si="10"/>
        <v>-2704.3724090807668</v>
      </c>
      <c r="L49" s="178">
        <f t="shared" si="17"/>
        <v>3806.6468016047515</v>
      </c>
      <c r="N49" s="183" t="s">
        <v>139</v>
      </c>
      <c r="O49" s="182">
        <f t="shared" si="15"/>
        <v>60.000000000000071</v>
      </c>
      <c r="P49" s="181">
        <f t="shared" si="2"/>
        <v>2.2790000000000001E-2</v>
      </c>
      <c r="Q49" s="180">
        <f t="shared" si="16"/>
        <v>0.18231719973353211</v>
      </c>
      <c r="R49" s="204">
        <f t="shared" si="11"/>
        <v>21162.729878675447</v>
      </c>
      <c r="S49" s="204">
        <f t="shared" si="12"/>
        <v>-3953.7765761966966</v>
      </c>
      <c r="T49" s="178">
        <f t="shared" si="4"/>
        <v>14687.675941925861</v>
      </c>
    </row>
    <row r="50" spans="6:20">
      <c r="F50" s="183" t="s">
        <v>138</v>
      </c>
      <c r="G50" s="182">
        <f t="shared" si="13"/>
        <v>47.000000000000071</v>
      </c>
      <c r="H50" s="181">
        <f t="shared" ref="H50:H67" si="18">H49</f>
        <v>2.2790000000000001E-2</v>
      </c>
      <c r="I50" s="180">
        <f t="shared" si="14"/>
        <v>0.17816219075160494</v>
      </c>
      <c r="J50" s="204">
        <f t="shared" si="9"/>
        <v>7193.7203286138119</v>
      </c>
      <c r="K50" s="204">
        <f t="shared" si="10"/>
        <v>-2715.4151053294572</v>
      </c>
      <c r="L50" s="178">
        <f t="shared" si="17"/>
        <v>3747.2454777682092</v>
      </c>
      <c r="N50" s="183" t="s">
        <v>138</v>
      </c>
      <c r="O50" s="182">
        <f t="shared" si="15"/>
        <v>61.000000000000071</v>
      </c>
      <c r="P50" s="181">
        <f t="shared" si="2"/>
        <v>2.2790000000000001E-2</v>
      </c>
      <c r="Q50" s="180">
        <f t="shared" si="16"/>
        <v>0.17816219075160494</v>
      </c>
      <c r="R50" s="204">
        <f t="shared" si="11"/>
        <v>21249.1431245208</v>
      </c>
      <c r="S50" s="204">
        <f t="shared" si="12"/>
        <v>-3969.9209332458668</v>
      </c>
      <c r="T50" s="178">
        <f t="shared" si="4"/>
        <v>14458.480158732973</v>
      </c>
    </row>
    <row r="51" spans="6:20">
      <c r="F51" s="183" t="s">
        <v>137</v>
      </c>
      <c r="G51" s="182">
        <f t="shared" si="13"/>
        <v>48.000000000000071</v>
      </c>
      <c r="H51" s="181">
        <f t="shared" si="18"/>
        <v>2.2790000000000001E-2</v>
      </c>
      <c r="I51" s="180">
        <f t="shared" si="14"/>
        <v>0.17410187442437586</v>
      </c>
      <c r="J51" s="204">
        <f t="shared" si="9"/>
        <v>7223.0942669886344</v>
      </c>
      <c r="K51" s="204">
        <f t="shared" si="10"/>
        <v>-2726.5028919436709</v>
      </c>
      <c r="L51" s="178">
        <f t="shared" si="17"/>
        <v>3688.7710897514166</v>
      </c>
      <c r="N51" s="183" t="s">
        <v>137</v>
      </c>
      <c r="O51" s="182">
        <f t="shared" si="15"/>
        <v>62.000000000000071</v>
      </c>
      <c r="P51" s="181">
        <f t="shared" si="2"/>
        <v>2.2790000000000001E-2</v>
      </c>
      <c r="Q51" s="180">
        <f t="shared" si="16"/>
        <v>0.17410187442437586</v>
      </c>
      <c r="R51" s="204">
        <f t="shared" si="11"/>
        <v>21335.909219412581</v>
      </c>
      <c r="S51" s="204">
        <f t="shared" si="12"/>
        <v>-3986.1312121445662</v>
      </c>
      <c r="T51" s="178">
        <f t="shared" si="4"/>
        <v>14232.860891473652</v>
      </c>
    </row>
    <row r="52" spans="6:20">
      <c r="F52" s="183" t="s">
        <v>415</v>
      </c>
      <c r="G52" s="182">
        <f t="shared" si="13"/>
        <v>49.000000000000071</v>
      </c>
      <c r="H52" s="181">
        <f t="shared" si="18"/>
        <v>2.2790000000000001E-2</v>
      </c>
      <c r="I52" s="180">
        <f t="shared" si="14"/>
        <v>0.17013409270624436</v>
      </c>
      <c r="J52" s="204">
        <f t="shared" si="9"/>
        <v>7252.5881472316732</v>
      </c>
      <c r="K52" s="204">
        <f t="shared" si="10"/>
        <v>-2737.6359530397726</v>
      </c>
      <c r="L52" s="178">
        <f t="shared" si="17"/>
        <v>3631.2091730616885</v>
      </c>
      <c r="N52" s="183" t="s">
        <v>415</v>
      </c>
      <c r="O52" s="182">
        <f t="shared" si="15"/>
        <v>63.000000000000071</v>
      </c>
      <c r="P52" s="181">
        <f t="shared" si="2"/>
        <v>2.2790000000000001E-2</v>
      </c>
      <c r="Q52" s="180">
        <f t="shared" si="16"/>
        <v>0.17013409270624436</v>
      </c>
      <c r="R52" s="204">
        <f t="shared" si="11"/>
        <v>21423.029604130479</v>
      </c>
      <c r="S52" s="204">
        <f t="shared" si="12"/>
        <v>-4002.4076820698369</v>
      </c>
      <c r="T52" s="178">
        <f t="shared" si="4"/>
        <v>14010.762329931653</v>
      </c>
    </row>
    <row r="53" spans="6:20">
      <c r="F53" s="183" t="s">
        <v>414</v>
      </c>
      <c r="G53" s="182">
        <f t="shared" si="13"/>
        <v>50.000000000000071</v>
      </c>
      <c r="H53" s="181">
        <f t="shared" si="18"/>
        <v>2.2790000000000001E-2</v>
      </c>
      <c r="I53" s="180">
        <f t="shared" si="14"/>
        <v>0.16625673673346905</v>
      </c>
      <c r="J53" s="204">
        <f t="shared" si="9"/>
        <v>7282.2024590985611</v>
      </c>
      <c r="K53" s="204">
        <f t="shared" si="10"/>
        <v>-2748.8144734859211</v>
      </c>
      <c r="L53" s="178">
        <f t="shared" si="17"/>
        <v>3574.5454889194339</v>
      </c>
      <c r="N53" s="183" t="s">
        <v>414</v>
      </c>
      <c r="O53" s="182">
        <f t="shared" si="15"/>
        <v>64.000000000000071</v>
      </c>
      <c r="P53" s="181">
        <f t="shared" si="2"/>
        <v>2.2790000000000001E-2</v>
      </c>
      <c r="Q53" s="180">
        <f t="shared" si="16"/>
        <v>0.16625673673346905</v>
      </c>
      <c r="R53" s="204">
        <f t="shared" si="11"/>
        <v>21510.505725337287</v>
      </c>
      <c r="S53" s="204">
        <f t="shared" si="12"/>
        <v>-4018.750613297841</v>
      </c>
      <c r="T53" s="178">
        <f t="shared" si="4"/>
        <v>13792.129534788633</v>
      </c>
    </row>
    <row r="54" spans="6:20">
      <c r="F54" s="183" t="s">
        <v>413</v>
      </c>
      <c r="G54" s="182">
        <f t="shared" si="13"/>
        <v>51.000000000000071</v>
      </c>
      <c r="H54" s="181">
        <f t="shared" si="18"/>
        <v>2.2790000000000001E-2</v>
      </c>
      <c r="I54" s="180">
        <f t="shared" si="14"/>
        <v>0.16246774570331329</v>
      </c>
      <c r="J54" s="204">
        <f t="shared" si="9"/>
        <v>7311.9376943447369</v>
      </c>
      <c r="K54" s="204">
        <f t="shared" si="10"/>
        <v>-2760.0386389051446</v>
      </c>
      <c r="L54" s="178">
        <f t="shared" si="17"/>
        <v>3518.7660207359809</v>
      </c>
    </row>
    <row r="55" spans="6:20">
      <c r="F55" s="183" t="s">
        <v>412</v>
      </c>
      <c r="G55" s="182">
        <f t="shared" si="13"/>
        <v>52.000000000000071</v>
      </c>
      <c r="H55" s="181">
        <f t="shared" si="18"/>
        <v>2.2790000000000001E-2</v>
      </c>
      <c r="I55" s="180">
        <f t="shared" si="14"/>
        <v>0.15876510577873479</v>
      </c>
      <c r="J55" s="204">
        <f t="shared" si="9"/>
        <v>7341.7943467336136</v>
      </c>
      <c r="K55" s="204">
        <f t="shared" si="10"/>
        <v>-2771.3086356784206</v>
      </c>
      <c r="L55" s="178">
        <f t="shared" si="17"/>
        <v>3463.8569706463741</v>
      </c>
    </row>
    <row r="56" spans="6:20">
      <c r="F56" s="183" t="s">
        <v>411</v>
      </c>
      <c r="G56" s="182">
        <f t="shared" si="13"/>
        <v>53.000000000000071</v>
      </c>
      <c r="H56" s="181">
        <f t="shared" si="18"/>
        <v>2.2790000000000001E-2</v>
      </c>
      <c r="I56" s="180">
        <f t="shared" si="14"/>
        <v>0.15514684901803744</v>
      </c>
      <c r="J56" s="204">
        <f t="shared" si="9"/>
        <v>7371.7729120447739</v>
      </c>
      <c r="K56" s="204">
        <f t="shared" si="10"/>
        <v>-2782.6246509477701</v>
      </c>
      <c r="L56" s="178">
        <f t="shared" si="17"/>
        <v>3409.8047560962659</v>
      </c>
    </row>
    <row r="57" spans="6:20">
      <c r="F57" s="183" t="s">
        <v>410</v>
      </c>
      <c r="G57" s="182">
        <f t="shared" si="13"/>
        <v>54.000000000000071</v>
      </c>
      <c r="H57" s="181">
        <f t="shared" si="18"/>
        <v>2.2790000000000001E-2</v>
      </c>
      <c r="I57" s="180">
        <f t="shared" si="14"/>
        <v>0.15161105232891636</v>
      </c>
      <c r="J57" s="204">
        <f t="shared" si="9"/>
        <v>7401.873888082202</v>
      </c>
      <c r="K57" s="204">
        <f t="shared" si="10"/>
        <v>-2793.986872619369</v>
      </c>
      <c r="L57" s="178">
        <f t="shared" si="17"/>
        <v>3356.5960064820729</v>
      </c>
    </row>
    <row r="58" spans="6:20">
      <c r="F58" s="183" t="s">
        <v>409</v>
      </c>
      <c r="G58" s="182">
        <f t="shared" si="13"/>
        <v>55.000000000000071</v>
      </c>
      <c r="H58" s="181">
        <f t="shared" si="18"/>
        <v>2.2790000000000001E-2</v>
      </c>
      <c r="I58" s="180">
        <f t="shared" si="14"/>
        <v>0.14815583644634037</v>
      </c>
      <c r="J58" s="204">
        <f t="shared" si="9"/>
        <v>7432.097774682562</v>
      </c>
      <c r="K58" s="204">
        <f t="shared" si="10"/>
        <v>-2805.3954893666646</v>
      </c>
      <c r="L58" s="178">
        <f t="shared" si="17"/>
        <v>3304.2175598435697</v>
      </c>
    </row>
    <row r="59" spans="6:20">
      <c r="F59" s="183" t="s">
        <v>408</v>
      </c>
      <c r="G59" s="182">
        <f t="shared" si="13"/>
        <v>56.000000000000071</v>
      </c>
      <c r="H59" s="181">
        <f t="shared" si="18"/>
        <v>2.2790000000000001E-2</v>
      </c>
      <c r="I59" s="180">
        <f t="shared" si="14"/>
        <v>0.14477936493372826</v>
      </c>
      <c r="J59" s="204">
        <f t="shared" si="9"/>
        <v>7462.4450737234774</v>
      </c>
      <c r="K59" s="204">
        <f t="shared" si="10"/>
        <v>-2816.8506906335083</v>
      </c>
      <c r="L59" s="178">
        <f t="shared" si="17"/>
        <v>3252.6564596080771</v>
      </c>
    </row>
    <row r="60" spans="6:20">
      <c r="F60" s="183" t="s">
        <v>407</v>
      </c>
      <c r="G60" s="182">
        <f t="shared" si="13"/>
        <v>57.000000000000071</v>
      </c>
      <c r="H60" s="181">
        <f t="shared" si="18"/>
        <v>2.2790000000000001E-2</v>
      </c>
      <c r="I60" s="180">
        <f t="shared" si="14"/>
        <v>0.14147984320688861</v>
      </c>
      <c r="J60" s="204">
        <f t="shared" si="9"/>
        <v>7492.9162891318892</v>
      </c>
      <c r="K60" s="204">
        <f t="shared" si="10"/>
        <v>-2828.352666637305</v>
      </c>
      <c r="L60" s="178">
        <f t="shared" si="17"/>
        <v>3201.8999513854769</v>
      </c>
    </row>
    <row r="61" spans="6:20">
      <c r="F61" s="183" t="s">
        <v>406</v>
      </c>
      <c r="G61" s="182">
        <f t="shared" si="13"/>
        <v>58.000000000000071</v>
      </c>
      <c r="H61" s="181">
        <f t="shared" si="18"/>
        <v>2.2790000000000001E-2</v>
      </c>
      <c r="I61" s="180">
        <f t="shared" si="14"/>
        <v>0.1382555175802036</v>
      </c>
      <c r="J61" s="204">
        <f t="shared" si="9"/>
        <v>7523.5119268923918</v>
      </c>
      <c r="K61" s="204">
        <f t="shared" si="10"/>
        <v>-2839.9016083721681</v>
      </c>
      <c r="L61" s="178">
        <f t="shared" si="17"/>
        <v>3151.935479813204</v>
      </c>
    </row>
    <row r="62" spans="6:20">
      <c r="F62" s="183" t="s">
        <v>405</v>
      </c>
      <c r="G62" s="182">
        <f t="shared" si="13"/>
        <v>59.000000000000071</v>
      </c>
      <c r="H62" s="181">
        <f t="shared" si="18"/>
        <v>2.2790000000000001E-2</v>
      </c>
      <c r="I62" s="180">
        <f t="shared" si="14"/>
        <v>0.13510467433455076</v>
      </c>
      <c r="J62" s="204">
        <f t="shared" si="9"/>
        <v>7554.232495055674</v>
      </c>
      <c r="K62" s="204">
        <f t="shared" si="10"/>
        <v>-2851.497707612094</v>
      </c>
      <c r="L62" s="178">
        <f t="shared" si="17"/>
        <v>3102.7506854505282</v>
      </c>
    </row>
    <row r="63" spans="6:20">
      <c r="F63" s="183" t="s">
        <v>404</v>
      </c>
      <c r="G63" s="182">
        <f t="shared" si="13"/>
        <v>60.000000000000071</v>
      </c>
      <c r="H63" s="181">
        <f t="shared" si="18"/>
        <v>2.2790000000000001E-2</v>
      </c>
      <c r="I63" s="180">
        <f t="shared" si="14"/>
        <v>0.13202563880646634</v>
      </c>
      <c r="J63" s="204">
        <f t="shared" si="9"/>
        <v>7585.0785037469232</v>
      </c>
      <c r="K63" s="204">
        <f t="shared" si="10"/>
        <v>-2863.1411569141442</v>
      </c>
      <c r="L63" s="178">
        <f t="shared" si="17"/>
        <v>3054.3334017212369</v>
      </c>
    </row>
    <row r="64" spans="6:20">
      <c r="F64" s="183" t="s">
        <v>403</v>
      </c>
      <c r="G64" s="182">
        <f t="shared" si="13"/>
        <v>61.000000000000071</v>
      </c>
      <c r="H64" s="181">
        <f t="shared" si="18"/>
        <v>2.2790000000000001E-2</v>
      </c>
      <c r="I64" s="180">
        <f t="shared" si="14"/>
        <v>0.12901677449806698</v>
      </c>
      <c r="J64" s="204">
        <f t="shared" si="9"/>
        <v>7616.0504651743104</v>
      </c>
      <c r="K64" s="204">
        <f t="shared" si="10"/>
        <v>-2874.8321496216427</v>
      </c>
      <c r="L64" s="178">
        <f t="shared" si="17"/>
        <v>3006.6716519040683</v>
      </c>
    </row>
    <row r="65" spans="6:12">
      <c r="F65" s="183" t="s">
        <v>402</v>
      </c>
      <c r="G65" s="182">
        <f t="shared" si="13"/>
        <v>62.000000000000071</v>
      </c>
      <c r="H65" s="181">
        <f t="shared" si="18"/>
        <v>2.2790000000000001E-2</v>
      </c>
      <c r="I65" s="180">
        <f t="shared" si="14"/>
        <v>0.12607648220725604</v>
      </c>
      <c r="J65" s="204">
        <f t="shared" si="9"/>
        <v>7647.1488936374972</v>
      </c>
      <c r="K65" s="204">
        <f t="shared" si="10"/>
        <v>-2886.5708798673895</v>
      </c>
      <c r="L65" s="178">
        <f t="shared" si="17"/>
        <v>2959.7536461700961</v>
      </c>
    </row>
    <row r="66" spans="6:12">
      <c r="F66" s="183" t="s">
        <v>401</v>
      </c>
      <c r="G66" s="182">
        <f t="shared" si="13"/>
        <v>63.000000000000071</v>
      </c>
      <c r="H66" s="181">
        <f t="shared" si="18"/>
        <v>2.2790000000000001E-2</v>
      </c>
      <c r="I66" s="180">
        <f t="shared" si="14"/>
        <v>0.12320319917775267</v>
      </c>
      <c r="J66" s="204">
        <f t="shared" si="9"/>
        <v>7678.3743055361638</v>
      </c>
      <c r="K66" s="204">
        <f t="shared" si="10"/>
        <v>-2898.3575425768804</v>
      </c>
      <c r="L66" s="178">
        <f t="shared" si="17"/>
        <v>2913.5677786663337</v>
      </c>
    </row>
    <row r="67" spans="6:12">
      <c r="F67" s="183" t="s">
        <v>400</v>
      </c>
      <c r="G67" s="182">
        <f t="shared" si="13"/>
        <v>64.000000000000071</v>
      </c>
      <c r="H67" s="181">
        <f t="shared" si="18"/>
        <v>2.2790000000000001E-2</v>
      </c>
      <c r="I67" s="180">
        <f t="shared" si="14"/>
        <v>0.1203953982684917</v>
      </c>
      <c r="J67" s="204">
        <f t="shared" si="9"/>
        <v>7709.7272193786039</v>
      </c>
      <c r="K67" s="204">
        <f t="shared" si="10"/>
        <v>-2910.1923334715461</v>
      </c>
      <c r="L67" s="178">
        <f t="shared" si="17"/>
        <v>2868.1026246448714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A1140-E602-4A84-AA94-FB67205D33CD}">
  <dimension ref="B1:T67"/>
  <sheetViews>
    <sheetView showGridLines="0" topLeftCell="I1" zoomScale="85" zoomScaleNormal="85" workbookViewId="0">
      <selection activeCell="X16" sqref="X16"/>
    </sheetView>
  </sheetViews>
  <sheetFormatPr baseColWidth="10" defaultColWidth="8.81640625" defaultRowHeight="14.5"/>
  <cols>
    <col min="1" max="1" width="2.453125" customWidth="1"/>
    <col min="2" max="2" width="30.453125" bestFit="1" customWidth="1"/>
    <col min="3" max="3" width="11.81640625" customWidth="1"/>
    <col min="4" max="4" width="10.7265625" customWidth="1"/>
    <col min="5" max="5" width="2.453125" customWidth="1"/>
    <col min="6" max="6" width="33.54296875" customWidth="1"/>
    <col min="7" max="7" width="10.453125" bestFit="1" customWidth="1"/>
    <col min="8" max="12" width="13.1796875" customWidth="1"/>
    <col min="13" max="13" width="2.453125" customWidth="1"/>
    <col min="14" max="14" width="33.54296875" customWidth="1"/>
    <col min="15" max="15" width="10.453125" bestFit="1" customWidth="1"/>
    <col min="16" max="20" width="13.1796875" customWidth="1"/>
    <col min="21" max="21" width="2.453125" customWidth="1"/>
  </cols>
  <sheetData>
    <row r="1" spans="2:20" ht="15" thickBot="1"/>
    <row r="2" spans="2:20">
      <c r="B2" s="203"/>
      <c r="C2" s="202"/>
    </row>
    <row r="3" spans="2:20">
      <c r="B3" s="200"/>
      <c r="C3" s="201"/>
    </row>
    <row r="4" spans="2:20" ht="15" thickBot="1">
      <c r="B4" s="200" t="s">
        <v>433</v>
      </c>
      <c r="C4" s="199">
        <f>('Solution for Q5 (a)'!$C$11*'Data for Q5'!$C$14+'Solution for Q5 (a)'!$C$12*'Data for Q5'!$C$15)/12</f>
        <v>72625</v>
      </c>
      <c r="D4" s="174" t="s">
        <v>439</v>
      </c>
    </row>
    <row r="5" spans="2:20" ht="15" thickBot="1">
      <c r="B5" s="200" t="s">
        <v>432</v>
      </c>
      <c r="C5" s="214">
        <f>($L$12+$T$12)/12</f>
        <v>2850.569497089265</v>
      </c>
      <c r="D5" s="214">
        <f>'Sol for Q5 (b) - Proposed Plan'!$C$5</f>
        <v>2967.8968318688817</v>
      </c>
    </row>
    <row r="6" spans="2:20" ht="15" thickBot="1">
      <c r="B6" s="198" t="s">
        <v>431</v>
      </c>
      <c r="C6" s="213">
        <f>C5/(C4/100)</f>
        <v>3.9250526638062171</v>
      </c>
      <c r="D6" s="213">
        <f>'Sol for Q5 (b) - Proposed Plan'!$C$6</f>
        <v>4.0866049320053452</v>
      </c>
      <c r="F6" s="9" t="s">
        <v>430</v>
      </c>
      <c r="G6" s="196"/>
      <c r="N6" s="9" t="s">
        <v>429</v>
      </c>
      <c r="O6" s="196"/>
    </row>
    <row r="7" spans="2:20">
      <c r="B7" s="212" t="s">
        <v>438</v>
      </c>
      <c r="C7" s="211"/>
      <c r="D7" s="211"/>
      <c r="F7" t="s">
        <v>428</v>
      </c>
      <c r="G7">
        <f>'Data for Q5'!$D$14</f>
        <v>38.5</v>
      </c>
      <c r="N7" t="s">
        <v>428</v>
      </c>
      <c r="O7">
        <f>'Data for Q5'!$D$15</f>
        <v>52.5</v>
      </c>
    </row>
    <row r="8" spans="2:20" ht="15" customHeight="1">
      <c r="C8" s="174" t="s">
        <v>427</v>
      </c>
      <c r="F8" t="s">
        <v>8</v>
      </c>
      <c r="G8" s="142">
        <f>'Solution for Q5 (a)'!$C$11</f>
        <v>32500</v>
      </c>
      <c r="N8" t="s">
        <v>8</v>
      </c>
      <c r="O8" s="142">
        <f>'Solution for Q5 (a)'!$C$12</f>
        <v>96000</v>
      </c>
    </row>
    <row r="9" spans="2:20" ht="15" thickBot="1">
      <c r="G9" s="142"/>
      <c r="O9" s="142"/>
    </row>
    <row r="10" spans="2:20" ht="15" thickBot="1">
      <c r="B10" s="195" t="s">
        <v>288</v>
      </c>
      <c r="C10" s="210">
        <v>0.08</v>
      </c>
      <c r="F10" s="193" t="s">
        <v>426</v>
      </c>
      <c r="G10" s="192"/>
      <c r="H10" s="191"/>
      <c r="I10" s="191"/>
      <c r="J10" s="191"/>
      <c r="K10" s="191"/>
      <c r="L10" s="191"/>
      <c r="N10" s="193" t="s">
        <v>426</v>
      </c>
      <c r="O10" s="192"/>
      <c r="P10" s="191"/>
      <c r="Q10" s="191"/>
      <c r="R10" s="191"/>
      <c r="S10" s="191"/>
      <c r="T10" s="191"/>
    </row>
    <row r="12" spans="2:20">
      <c r="K12" s="174" t="s">
        <v>425</v>
      </c>
      <c r="L12" s="190">
        <f>SUM(L15:L67)*(20/1000)*'Data for Q5'!$C$14*(1+15%+5%)</f>
        <v>19868.108897480539</v>
      </c>
      <c r="S12" s="174" t="s">
        <v>425</v>
      </c>
      <c r="T12" s="190">
        <f>SUM(T15:T53)*(20/1000)*'Data for Q5'!$C$15*(1+15%+5%)</f>
        <v>14338.725067590638</v>
      </c>
    </row>
    <row r="13" spans="2:20">
      <c r="F13" s="189"/>
      <c r="J13" s="206"/>
      <c r="K13" s="188" t="s">
        <v>437</v>
      </c>
      <c r="N13" s="189"/>
      <c r="S13" s="188" t="s">
        <v>437</v>
      </c>
    </row>
    <row r="14" spans="2:20" ht="29">
      <c r="F14" s="185" t="s">
        <v>422</v>
      </c>
      <c r="G14" s="187" t="s">
        <v>421</v>
      </c>
      <c r="H14" s="177" t="s">
        <v>420</v>
      </c>
      <c r="I14" s="186" t="s">
        <v>419</v>
      </c>
      <c r="J14" s="205" t="s">
        <v>418</v>
      </c>
      <c r="K14" s="205" t="s">
        <v>417</v>
      </c>
      <c r="L14" s="177" t="s">
        <v>416</v>
      </c>
      <c r="N14" s="185" t="s">
        <v>422</v>
      </c>
      <c r="O14" s="187" t="s">
        <v>421</v>
      </c>
      <c r="P14" s="185" t="s">
        <v>420</v>
      </c>
      <c r="Q14" s="186" t="s">
        <v>419</v>
      </c>
      <c r="R14" s="205" t="s">
        <v>418</v>
      </c>
      <c r="S14" s="205" t="s">
        <v>417</v>
      </c>
      <c r="T14" s="177" t="s">
        <v>416</v>
      </c>
    </row>
    <row r="15" spans="2:20">
      <c r="F15" s="183" t="s">
        <v>82</v>
      </c>
      <c r="G15" s="182">
        <f>G7+1</f>
        <v>39.5</v>
      </c>
      <c r="H15" s="209">
        <f>'Data for Q5'!C34*1.25</f>
        <v>8.1049999999999997E-2</v>
      </c>
      <c r="I15" s="184">
        <v>1</v>
      </c>
      <c r="J15" s="204">
        <f t="shared" ref="J15:J44" si="0">G$8/12*I15*1.0275^(ROUNDDOWN(G15-G$7-0.5,0))</f>
        <v>2708.3333333333335</v>
      </c>
      <c r="K15" s="204">
        <v>0</v>
      </c>
      <c r="L15" s="204">
        <f t="shared" ref="L15:L46" si="1">MAX(0,J15+K15)/(1+$C$10)^(G15-G$7+0.5)</f>
        <v>2413.05089360376</v>
      </c>
      <c r="N15" s="183" t="s">
        <v>82</v>
      </c>
      <c r="O15" s="182">
        <f>O7+1</f>
        <v>53.5</v>
      </c>
      <c r="P15" s="181">
        <f t="shared" ref="P15:P53" si="2">$H15</f>
        <v>8.1049999999999997E-2</v>
      </c>
      <c r="Q15" s="184">
        <v>1</v>
      </c>
      <c r="R15" s="204">
        <f t="shared" ref="R15:R44" si="3">O$8/12*Q15*1.0275^(ROUNDDOWN(O15-O$7-0.5,0))</f>
        <v>8000</v>
      </c>
      <c r="S15" s="204">
        <v>0</v>
      </c>
      <c r="T15" s="204">
        <f t="shared" ref="T15:T53" si="4">MAX(0,R15+S15)/(1+$C$10)^(O15-O$7+0.5)</f>
        <v>7127.7811011064905</v>
      </c>
    </row>
    <row r="16" spans="2:20">
      <c r="F16" s="183" t="s">
        <v>83</v>
      </c>
      <c r="G16" s="182">
        <f t="shared" ref="G16:G45" si="5">G15+1/12</f>
        <v>39.583333333333336</v>
      </c>
      <c r="H16" s="209">
        <f>'Data for Q5'!C35*1.25</f>
        <v>7.9799999999999996E-2</v>
      </c>
      <c r="I16" s="184">
        <f t="shared" ref="I16:I44" si="6">I15*(1-H15)</f>
        <v>0.91895000000000004</v>
      </c>
      <c r="J16" s="204">
        <f t="shared" si="0"/>
        <v>2488.822916666667</v>
      </c>
      <c r="K16" s="204">
        <v>0</v>
      </c>
      <c r="L16" s="204">
        <f t="shared" si="1"/>
        <v>2203.2970391857721</v>
      </c>
      <c r="N16" s="183" t="s">
        <v>83</v>
      </c>
      <c r="O16" s="182">
        <f t="shared" ref="O16:O45" si="7">O15+1/12</f>
        <v>53.583333333333336</v>
      </c>
      <c r="P16" s="181">
        <f t="shared" si="2"/>
        <v>7.9799999999999996E-2</v>
      </c>
      <c r="Q16" s="184">
        <f t="shared" ref="Q16:Q44" si="8">Q15*(1-P15)</f>
        <v>0.91895000000000004</v>
      </c>
      <c r="R16" s="204">
        <f t="shared" si="3"/>
        <v>7351.6</v>
      </c>
      <c r="S16" s="204">
        <v>0</v>
      </c>
      <c r="T16" s="204">
        <f t="shared" si="4"/>
        <v>6508.2004849795112</v>
      </c>
    </row>
    <row r="17" spans="6:20">
      <c r="F17" s="183" t="s">
        <v>84</v>
      </c>
      <c r="G17" s="182">
        <f t="shared" si="5"/>
        <v>39.666666666666671</v>
      </c>
      <c r="H17" s="209">
        <f>'Data for Q5'!C36*1.25</f>
        <v>7.7312500000000006E-2</v>
      </c>
      <c r="I17" s="184">
        <f t="shared" si="6"/>
        <v>0.84561779000000004</v>
      </c>
      <c r="J17" s="204">
        <f t="shared" si="0"/>
        <v>2290.2148479166667</v>
      </c>
      <c r="K17" s="204">
        <v>0</v>
      </c>
      <c r="L17" s="204">
        <f t="shared" si="1"/>
        <v>2014.5125013679672</v>
      </c>
      <c r="N17" s="183" t="s">
        <v>84</v>
      </c>
      <c r="O17" s="182">
        <f t="shared" si="7"/>
        <v>53.666666666666671</v>
      </c>
      <c r="P17" s="181">
        <f t="shared" si="2"/>
        <v>7.7312500000000006E-2</v>
      </c>
      <c r="Q17" s="184">
        <f t="shared" si="8"/>
        <v>0.84561779000000004</v>
      </c>
      <c r="R17" s="204">
        <f t="shared" si="3"/>
        <v>6764.9423200000001</v>
      </c>
      <c r="S17" s="204">
        <v>0</v>
      </c>
      <c r="T17" s="204">
        <f t="shared" si="4"/>
        <v>5950.5600040407644</v>
      </c>
    </row>
    <row r="18" spans="6:20">
      <c r="F18" s="183" t="s">
        <v>85</v>
      </c>
      <c r="G18" s="182">
        <f t="shared" si="5"/>
        <v>39.750000000000007</v>
      </c>
      <c r="H18" s="209">
        <f>'Data for Q5'!C37*1.25</f>
        <v>7.4812500000000004E-2</v>
      </c>
      <c r="I18" s="184">
        <f t="shared" si="6"/>
        <v>0.78024096461062498</v>
      </c>
      <c r="J18" s="204">
        <f t="shared" si="0"/>
        <v>2113.1526124871093</v>
      </c>
      <c r="K18" s="204">
        <v>0</v>
      </c>
      <c r="L18" s="204">
        <f t="shared" si="1"/>
        <v>1846.8826053137257</v>
      </c>
      <c r="N18" s="183" t="s">
        <v>85</v>
      </c>
      <c r="O18" s="182">
        <f t="shared" si="7"/>
        <v>53.750000000000007</v>
      </c>
      <c r="P18" s="181">
        <f t="shared" si="2"/>
        <v>7.4812500000000004E-2</v>
      </c>
      <c r="Q18" s="184">
        <f t="shared" si="8"/>
        <v>0.78024096461062498</v>
      </c>
      <c r="R18" s="204">
        <f t="shared" si="3"/>
        <v>6241.9277168849994</v>
      </c>
      <c r="S18" s="204">
        <v>0</v>
      </c>
      <c r="T18" s="204">
        <f t="shared" si="4"/>
        <v>5455.4070803113118</v>
      </c>
    </row>
    <row r="19" spans="6:20">
      <c r="F19" s="183" t="s">
        <v>86</v>
      </c>
      <c r="G19" s="182">
        <f t="shared" si="5"/>
        <v>39.833333333333343</v>
      </c>
      <c r="H19" s="209">
        <f>'Data for Q5'!C38*1.25</f>
        <v>7.1074999999999999E-2</v>
      </c>
      <c r="I19" s="184">
        <f t="shared" si="6"/>
        <v>0.72186918744569262</v>
      </c>
      <c r="J19" s="204">
        <f t="shared" si="0"/>
        <v>1955.0623826654175</v>
      </c>
      <c r="K19" s="204">
        <v>0</v>
      </c>
      <c r="L19" s="204">
        <f t="shared" si="1"/>
        <v>1697.7890743787048</v>
      </c>
      <c r="N19" s="183" t="s">
        <v>86</v>
      </c>
      <c r="O19" s="182">
        <f t="shared" si="7"/>
        <v>53.833333333333343</v>
      </c>
      <c r="P19" s="181">
        <f t="shared" si="2"/>
        <v>7.1074999999999999E-2</v>
      </c>
      <c r="Q19" s="184">
        <f t="shared" si="8"/>
        <v>0.72186918744569262</v>
      </c>
      <c r="R19" s="204">
        <f t="shared" si="3"/>
        <v>5774.9534995655413</v>
      </c>
      <c r="S19" s="204">
        <v>0</v>
      </c>
      <c r="T19" s="204">
        <f t="shared" si="4"/>
        <v>5015.0077273955594</v>
      </c>
    </row>
    <row r="20" spans="6:20">
      <c r="F20" s="183" t="s">
        <v>87</v>
      </c>
      <c r="G20" s="182">
        <f t="shared" si="5"/>
        <v>39.916666666666679</v>
      </c>
      <c r="H20" s="209">
        <f>'Data for Q5'!C39*1.25</f>
        <v>6.7237499999999992E-2</v>
      </c>
      <c r="I20" s="184">
        <f t="shared" si="6"/>
        <v>0.67056233494799</v>
      </c>
      <c r="J20" s="204">
        <f t="shared" si="0"/>
        <v>1816.1063238174729</v>
      </c>
      <c r="K20" s="204">
        <v>0</v>
      </c>
      <c r="L20" s="204">
        <f t="shared" si="1"/>
        <v>1567.0363568140265</v>
      </c>
      <c r="N20" s="183" t="s">
        <v>87</v>
      </c>
      <c r="O20" s="182">
        <f t="shared" si="7"/>
        <v>53.916666666666679</v>
      </c>
      <c r="P20" s="181">
        <f t="shared" si="2"/>
        <v>6.7237499999999992E-2</v>
      </c>
      <c r="Q20" s="184">
        <f t="shared" si="8"/>
        <v>0.67056233494799</v>
      </c>
      <c r="R20" s="204">
        <f t="shared" si="3"/>
        <v>5364.4986795839204</v>
      </c>
      <c r="S20" s="204">
        <v>0</v>
      </c>
      <c r="T20" s="204">
        <f t="shared" si="4"/>
        <v>4628.7843155122018</v>
      </c>
    </row>
    <row r="21" spans="6:20">
      <c r="F21" s="183" t="s">
        <v>88</v>
      </c>
      <c r="G21" s="182">
        <f t="shared" si="5"/>
        <v>40.000000000000014</v>
      </c>
      <c r="H21" s="209">
        <f>'Data for Q5'!C40*1.25</f>
        <v>6.3587499999999991E-2</v>
      </c>
      <c r="I21" s="184">
        <f t="shared" si="6"/>
        <v>0.62547539995192458</v>
      </c>
      <c r="J21" s="204">
        <f t="shared" si="0"/>
        <v>1740.5807614287155</v>
      </c>
      <c r="K21" s="204">
        <v>0</v>
      </c>
      <c r="L21" s="204">
        <f t="shared" si="1"/>
        <v>1492.2674566432727</v>
      </c>
      <c r="N21" s="183" t="s">
        <v>88</v>
      </c>
      <c r="O21" s="182">
        <f t="shared" si="7"/>
        <v>54.000000000000014</v>
      </c>
      <c r="P21" s="181">
        <f t="shared" si="2"/>
        <v>6.3587499999999991E-2</v>
      </c>
      <c r="Q21" s="184">
        <f t="shared" si="8"/>
        <v>0.62547539995192458</v>
      </c>
      <c r="R21" s="204">
        <f t="shared" si="3"/>
        <v>5141.4077876048204</v>
      </c>
      <c r="S21" s="204">
        <v>0</v>
      </c>
      <c r="T21" s="204">
        <f t="shared" si="4"/>
        <v>4407.9284873155129</v>
      </c>
    </row>
    <row r="22" spans="6:20">
      <c r="F22" s="183" t="s">
        <v>89</v>
      </c>
      <c r="G22" s="182">
        <f t="shared" si="5"/>
        <v>40.08333333333335</v>
      </c>
      <c r="H22" s="209">
        <f>'Data for Q5'!C41*1.25</f>
        <v>6.0150000000000002E-2</v>
      </c>
      <c r="I22" s="184">
        <f t="shared" si="6"/>
        <v>0.58570298295748158</v>
      </c>
      <c r="J22" s="204">
        <f t="shared" si="0"/>
        <v>1629.9015822613669</v>
      </c>
      <c r="K22" s="204">
        <v>0</v>
      </c>
      <c r="L22" s="204">
        <f t="shared" si="1"/>
        <v>1388.4446053470933</v>
      </c>
      <c r="N22" s="183" t="s">
        <v>89</v>
      </c>
      <c r="O22" s="182">
        <f t="shared" si="7"/>
        <v>54.08333333333335</v>
      </c>
      <c r="P22" s="181">
        <f t="shared" si="2"/>
        <v>6.0150000000000002E-2</v>
      </c>
      <c r="Q22" s="184">
        <f t="shared" si="8"/>
        <v>0.58570298295748158</v>
      </c>
      <c r="R22" s="204">
        <f t="shared" si="3"/>
        <v>4814.478519910499</v>
      </c>
      <c r="S22" s="204">
        <v>0</v>
      </c>
      <c r="T22" s="204">
        <f t="shared" si="4"/>
        <v>4101.2517573329524</v>
      </c>
    </row>
    <row r="23" spans="6:20">
      <c r="F23" s="183" t="s">
        <v>90</v>
      </c>
      <c r="G23" s="182">
        <f t="shared" si="5"/>
        <v>40.166666666666686</v>
      </c>
      <c r="H23" s="209">
        <f>'Data for Q5'!C42*1.25</f>
        <v>5.6899999999999999E-2</v>
      </c>
      <c r="I23" s="184">
        <f t="shared" si="6"/>
        <v>0.55047294853258899</v>
      </c>
      <c r="J23" s="204">
        <f t="shared" si="0"/>
        <v>1531.8630020883454</v>
      </c>
      <c r="K23" s="204">
        <v>0</v>
      </c>
      <c r="L23" s="204">
        <f t="shared" si="1"/>
        <v>1296.5873800917045</v>
      </c>
      <c r="N23" s="183" t="s">
        <v>90</v>
      </c>
      <c r="O23" s="182">
        <f t="shared" si="7"/>
        <v>54.166666666666686</v>
      </c>
      <c r="P23" s="181">
        <f t="shared" si="2"/>
        <v>5.6899999999999999E-2</v>
      </c>
      <c r="Q23" s="184">
        <f t="shared" si="8"/>
        <v>0.55047294853258899</v>
      </c>
      <c r="R23" s="204">
        <f t="shared" si="3"/>
        <v>4524.8876369378822</v>
      </c>
      <c r="S23" s="204">
        <v>0</v>
      </c>
      <c r="T23" s="204">
        <f t="shared" si="4"/>
        <v>3829.9196458093429</v>
      </c>
    </row>
    <row r="24" spans="6:20">
      <c r="F24" s="183" t="s">
        <v>91</v>
      </c>
      <c r="G24" s="182">
        <f t="shared" si="5"/>
        <v>40.250000000000021</v>
      </c>
      <c r="H24" s="209">
        <f>'Data for Q5'!C43*1.25</f>
        <v>5.3812499999999999E-2</v>
      </c>
      <c r="I24" s="184">
        <f t="shared" si="6"/>
        <v>0.51915103776108473</v>
      </c>
      <c r="J24" s="204">
        <f t="shared" si="0"/>
        <v>1444.6999972695187</v>
      </c>
      <c r="K24" s="204">
        <v>0</v>
      </c>
      <c r="L24" s="204">
        <f t="shared" si="1"/>
        <v>1214.9942485856056</v>
      </c>
      <c r="N24" s="183" t="s">
        <v>91</v>
      </c>
      <c r="O24" s="182">
        <f t="shared" si="7"/>
        <v>54.250000000000021</v>
      </c>
      <c r="P24" s="181">
        <f t="shared" si="2"/>
        <v>5.3812499999999999E-2</v>
      </c>
      <c r="Q24" s="184">
        <f t="shared" si="8"/>
        <v>0.51915103776108473</v>
      </c>
      <c r="R24" s="204">
        <f t="shared" si="3"/>
        <v>4267.4215303961164</v>
      </c>
      <c r="S24" s="204">
        <v>0</v>
      </c>
      <c r="T24" s="204">
        <f t="shared" si="4"/>
        <v>3588.9060881297883</v>
      </c>
    </row>
    <row r="25" spans="6:20">
      <c r="F25" s="183" t="s">
        <v>92</v>
      </c>
      <c r="G25" s="182">
        <f t="shared" si="5"/>
        <v>40.333333333333357</v>
      </c>
      <c r="H25" s="209">
        <f>'Data for Q5'!C44*1.25</f>
        <v>5.0912499999999999E-2</v>
      </c>
      <c r="I25" s="184">
        <f t="shared" si="6"/>
        <v>0.49121422254156633</v>
      </c>
      <c r="J25" s="204">
        <f t="shared" si="0"/>
        <v>1366.9570786664528</v>
      </c>
      <c r="K25" s="204">
        <v>0</v>
      </c>
      <c r="L25" s="204">
        <f t="shared" si="1"/>
        <v>1142.2630159454561</v>
      </c>
      <c r="N25" s="183" t="s">
        <v>92</v>
      </c>
      <c r="O25" s="182">
        <f t="shared" si="7"/>
        <v>54.333333333333357</v>
      </c>
      <c r="P25" s="181">
        <f t="shared" si="2"/>
        <v>5.0912499999999999E-2</v>
      </c>
      <c r="Q25" s="184">
        <f t="shared" si="8"/>
        <v>0.49121422254156633</v>
      </c>
      <c r="R25" s="204">
        <f t="shared" si="3"/>
        <v>4037.7809092916755</v>
      </c>
      <c r="S25" s="204">
        <v>0</v>
      </c>
      <c r="T25" s="204">
        <f t="shared" si="4"/>
        <v>3374.0692163311928</v>
      </c>
    </row>
    <row r="26" spans="6:20">
      <c r="F26" s="183" t="s">
        <v>93</v>
      </c>
      <c r="G26" s="182">
        <f t="shared" si="5"/>
        <v>40.416666666666693</v>
      </c>
      <c r="H26" s="209">
        <f>'Data for Q5'!C45*1.25</f>
        <v>4.8149999999999998E-2</v>
      </c>
      <c r="I26" s="184">
        <f t="shared" si="6"/>
        <v>0.46620527843641879</v>
      </c>
      <c r="J26" s="204">
        <f t="shared" si="0"/>
        <v>1297.3618763988468</v>
      </c>
      <c r="K26" s="204">
        <v>0</v>
      </c>
      <c r="L26" s="204">
        <f t="shared" si="1"/>
        <v>1077.1769611443281</v>
      </c>
      <c r="N26" s="183" t="s">
        <v>93</v>
      </c>
      <c r="O26" s="182">
        <f t="shared" si="7"/>
        <v>54.416666666666693</v>
      </c>
      <c r="P26" s="181">
        <f t="shared" si="2"/>
        <v>4.8149999999999998E-2</v>
      </c>
      <c r="Q26" s="184">
        <f t="shared" si="8"/>
        <v>0.46620527843641879</v>
      </c>
      <c r="R26" s="204">
        <f t="shared" si="3"/>
        <v>3832.2073887473625</v>
      </c>
      <c r="S26" s="204">
        <v>0</v>
      </c>
      <c r="T26" s="204">
        <f t="shared" si="4"/>
        <v>3181.815023687861</v>
      </c>
    </row>
    <row r="27" spans="6:20">
      <c r="F27" s="183" t="s">
        <v>94</v>
      </c>
      <c r="G27" s="182">
        <f t="shared" si="5"/>
        <v>40.500000000000028</v>
      </c>
      <c r="H27" s="209">
        <f>'Data for Q5'!C46*1.25</f>
        <v>4.555E-2</v>
      </c>
      <c r="I27" s="184">
        <f t="shared" si="6"/>
        <v>0.44375749427970523</v>
      </c>
      <c r="J27" s="204">
        <f t="shared" si="0"/>
        <v>1234.8939020502423</v>
      </c>
      <c r="K27" s="204">
        <v>0</v>
      </c>
      <c r="L27" s="204">
        <f t="shared" si="1"/>
        <v>1018.7561825121929</v>
      </c>
      <c r="N27" s="183" t="s">
        <v>94</v>
      </c>
      <c r="O27" s="182">
        <f t="shared" si="7"/>
        <v>54.500000000000028</v>
      </c>
      <c r="P27" s="181">
        <f t="shared" si="2"/>
        <v>4.555E-2</v>
      </c>
      <c r="Q27" s="184">
        <f t="shared" si="8"/>
        <v>0.44375749427970523</v>
      </c>
      <c r="R27" s="204">
        <f t="shared" si="3"/>
        <v>3647.6866029791772</v>
      </c>
      <c r="S27" s="204">
        <v>0</v>
      </c>
      <c r="T27" s="204">
        <f t="shared" si="4"/>
        <v>3009.2490314206311</v>
      </c>
    </row>
    <row r="28" spans="6:20">
      <c r="F28" s="183" t="s">
        <v>95</v>
      </c>
      <c r="G28" s="182">
        <f t="shared" si="5"/>
        <v>40.583333333333364</v>
      </c>
      <c r="H28" s="209">
        <f>'Data for Q5'!C47*1.25</f>
        <v>4.3074999999999995E-2</v>
      </c>
      <c r="I28" s="184">
        <f t="shared" si="6"/>
        <v>0.42354434041526468</v>
      </c>
      <c r="J28" s="204">
        <f t="shared" si="0"/>
        <v>1178.644484811854</v>
      </c>
      <c r="K28" s="204">
        <v>0</v>
      </c>
      <c r="L28" s="204">
        <f t="shared" si="1"/>
        <v>966.13569226438449</v>
      </c>
      <c r="N28" s="183" t="s">
        <v>95</v>
      </c>
      <c r="O28" s="182">
        <f t="shared" si="7"/>
        <v>54.583333333333364</v>
      </c>
      <c r="P28" s="181">
        <f t="shared" si="2"/>
        <v>4.3074999999999995E-2</v>
      </c>
      <c r="Q28" s="184">
        <f t="shared" si="8"/>
        <v>0.42354434041526468</v>
      </c>
      <c r="R28" s="204">
        <f t="shared" si="3"/>
        <v>3481.5344782134762</v>
      </c>
      <c r="S28" s="204">
        <v>0</v>
      </c>
      <c r="T28" s="204">
        <f t="shared" si="4"/>
        <v>2853.8161986886435</v>
      </c>
    </row>
    <row r="29" spans="6:20">
      <c r="F29" s="183" t="s">
        <v>96</v>
      </c>
      <c r="G29" s="182">
        <f t="shared" si="5"/>
        <v>40.6666666666667</v>
      </c>
      <c r="H29" s="209">
        <f>'Data for Q5'!C48*1.25</f>
        <v>4.0749999999999995E-2</v>
      </c>
      <c r="I29" s="184">
        <f t="shared" si="6"/>
        <v>0.40530016795187718</v>
      </c>
      <c r="J29" s="204">
        <f t="shared" si="0"/>
        <v>1127.8743736285835</v>
      </c>
      <c r="K29" s="204">
        <v>0</v>
      </c>
      <c r="L29" s="204">
        <f t="shared" si="1"/>
        <v>918.60903910318484</v>
      </c>
      <c r="N29" s="183" t="s">
        <v>96</v>
      </c>
      <c r="O29" s="182">
        <f t="shared" si="7"/>
        <v>54.6666666666667</v>
      </c>
      <c r="P29" s="181">
        <f t="shared" si="2"/>
        <v>4.0749999999999995E-2</v>
      </c>
      <c r="Q29" s="184">
        <f t="shared" si="8"/>
        <v>0.40530016795187718</v>
      </c>
      <c r="R29" s="204">
        <f t="shared" si="3"/>
        <v>3331.567380564431</v>
      </c>
      <c r="S29" s="204">
        <v>0</v>
      </c>
      <c r="T29" s="204">
        <f t="shared" si="4"/>
        <v>2713.4297770432536</v>
      </c>
    </row>
    <row r="30" spans="6:20">
      <c r="F30" s="183" t="s">
        <v>97</v>
      </c>
      <c r="G30" s="182">
        <f t="shared" si="5"/>
        <v>40.750000000000036</v>
      </c>
      <c r="H30" s="209">
        <f>'Data for Q5'!C49*1.25</f>
        <v>3.8537500000000002E-2</v>
      </c>
      <c r="I30" s="184">
        <f t="shared" si="6"/>
        <v>0.38878418610783821</v>
      </c>
      <c r="J30" s="204">
        <f t="shared" si="0"/>
        <v>1081.9134929032189</v>
      </c>
      <c r="K30" s="204">
        <v>0</v>
      </c>
      <c r="L30" s="204">
        <f t="shared" si="1"/>
        <v>875.54245424652152</v>
      </c>
      <c r="N30" s="183" t="s">
        <v>97</v>
      </c>
      <c r="O30" s="182">
        <f t="shared" si="7"/>
        <v>54.750000000000036</v>
      </c>
      <c r="P30" s="181">
        <f t="shared" si="2"/>
        <v>3.8537500000000002E-2</v>
      </c>
      <c r="Q30" s="184">
        <f t="shared" si="8"/>
        <v>0.38878418610783821</v>
      </c>
      <c r="R30" s="204">
        <f t="shared" si="3"/>
        <v>3195.8060098064302</v>
      </c>
      <c r="S30" s="204">
        <v>0</v>
      </c>
      <c r="T30" s="204">
        <f t="shared" si="4"/>
        <v>2586.2177110051089</v>
      </c>
    </row>
    <row r="31" spans="6:20">
      <c r="F31" s="183" t="s">
        <v>98</v>
      </c>
      <c r="G31" s="182">
        <f t="shared" si="5"/>
        <v>40.833333333333371</v>
      </c>
      <c r="H31" s="209">
        <f>'Data for Q5'!C50*1.25</f>
        <v>3.6462500000000002E-2</v>
      </c>
      <c r="I31" s="184">
        <f t="shared" si="6"/>
        <v>0.37380141553570739</v>
      </c>
      <c r="J31" s="204">
        <f t="shared" si="0"/>
        <v>1040.2192516704608</v>
      </c>
      <c r="K31" s="204">
        <v>0</v>
      </c>
      <c r="L31" s="204">
        <f t="shared" si="1"/>
        <v>836.41968746226394</v>
      </c>
      <c r="N31" s="183" t="s">
        <v>98</v>
      </c>
      <c r="O31" s="182">
        <f t="shared" si="7"/>
        <v>54.833333333333371</v>
      </c>
      <c r="P31" s="181">
        <f t="shared" si="2"/>
        <v>3.6462500000000002E-2</v>
      </c>
      <c r="Q31" s="184">
        <f t="shared" si="8"/>
        <v>0.37380141553570739</v>
      </c>
      <c r="R31" s="204">
        <f t="shared" si="3"/>
        <v>3072.6476357035153</v>
      </c>
      <c r="S31" s="204">
        <v>0</v>
      </c>
      <c r="T31" s="204">
        <f t="shared" si="4"/>
        <v>2470.6550768116103</v>
      </c>
    </row>
    <row r="32" spans="6:20">
      <c r="F32" s="183" t="s">
        <v>99</v>
      </c>
      <c r="G32" s="182">
        <f t="shared" si="5"/>
        <v>40.916666666666707</v>
      </c>
      <c r="H32" s="209">
        <f>'Data for Q5'!C51*1.25</f>
        <v>3.4487499999999997E-2</v>
      </c>
      <c r="I32" s="184">
        <f t="shared" si="6"/>
        <v>0.36017168142173667</v>
      </c>
      <c r="J32" s="204">
        <f t="shared" si="0"/>
        <v>1002.2902572064266</v>
      </c>
      <c r="K32" s="204">
        <v>0</v>
      </c>
      <c r="L32" s="204">
        <f t="shared" si="1"/>
        <v>800.76955915340375</v>
      </c>
      <c r="N32" s="183" t="s">
        <v>99</v>
      </c>
      <c r="O32" s="182">
        <f t="shared" si="7"/>
        <v>54.916666666666707</v>
      </c>
      <c r="P32" s="181">
        <f t="shared" si="2"/>
        <v>3.4487499999999997E-2</v>
      </c>
      <c r="Q32" s="184">
        <f t="shared" si="8"/>
        <v>0.36017168142173667</v>
      </c>
      <c r="R32" s="204">
        <f t="shared" si="3"/>
        <v>2960.6112212866756</v>
      </c>
      <c r="S32" s="204">
        <v>0</v>
      </c>
      <c r="T32" s="204">
        <f t="shared" si="4"/>
        <v>2365.3500824223615</v>
      </c>
    </row>
    <row r="33" spans="6:20">
      <c r="F33" s="183" t="s">
        <v>100</v>
      </c>
      <c r="G33" s="182">
        <f t="shared" si="5"/>
        <v>41.000000000000043</v>
      </c>
      <c r="H33" s="209">
        <f>'Data for Q5'!C52*1.25</f>
        <v>3.2625000000000001E-2</v>
      </c>
      <c r="I33" s="184">
        <f t="shared" si="6"/>
        <v>0.3477502605587045</v>
      </c>
      <c r="J33" s="204">
        <f t="shared" si="0"/>
        <v>994.33617568994816</v>
      </c>
      <c r="K33" s="204">
        <v>0</v>
      </c>
      <c r="L33" s="204">
        <f t="shared" si="1"/>
        <v>789.33611467537401</v>
      </c>
      <c r="N33" s="183" t="s">
        <v>100</v>
      </c>
      <c r="O33" s="182">
        <f t="shared" si="7"/>
        <v>55.000000000000043</v>
      </c>
      <c r="P33" s="181">
        <f t="shared" si="2"/>
        <v>3.2625000000000001E-2</v>
      </c>
      <c r="Q33" s="184">
        <f t="shared" si="8"/>
        <v>0.3477502605587045</v>
      </c>
      <c r="R33" s="204">
        <f t="shared" si="3"/>
        <v>2937.1160881918468</v>
      </c>
      <c r="S33" s="204">
        <v>0</v>
      </c>
      <c r="T33" s="204">
        <f t="shared" si="4"/>
        <v>2331.5774464257202</v>
      </c>
    </row>
    <row r="34" spans="6:20">
      <c r="F34" s="183" t="s">
        <v>101</v>
      </c>
      <c r="G34" s="182">
        <f t="shared" si="5"/>
        <v>41.083333333333378</v>
      </c>
      <c r="H34" s="209">
        <f>'Data for Q5'!C53*1.25</f>
        <v>4.7100000000000003E-2</v>
      </c>
      <c r="I34" s="184">
        <f t="shared" si="6"/>
        <v>0.33640490830797676</v>
      </c>
      <c r="J34" s="204">
        <f t="shared" si="0"/>
        <v>961.8959579580636</v>
      </c>
      <c r="K34" s="204">
        <v>0</v>
      </c>
      <c r="L34" s="204">
        <f t="shared" si="1"/>
        <v>758.70250914571113</v>
      </c>
      <c r="N34" s="183" t="s">
        <v>101</v>
      </c>
      <c r="O34" s="182">
        <f t="shared" si="7"/>
        <v>55.083333333333378</v>
      </c>
      <c r="P34" s="181">
        <f t="shared" si="2"/>
        <v>4.7100000000000003E-2</v>
      </c>
      <c r="Q34" s="184">
        <f t="shared" si="8"/>
        <v>0.33640490830797676</v>
      </c>
      <c r="R34" s="204">
        <f t="shared" si="3"/>
        <v>2841.2926758145877</v>
      </c>
      <c r="S34" s="204">
        <v>0</v>
      </c>
      <c r="T34" s="204">
        <f t="shared" si="4"/>
        <v>2241.0904885534851</v>
      </c>
    </row>
    <row r="35" spans="6:20">
      <c r="F35" s="183" t="s">
        <v>102</v>
      </c>
      <c r="G35" s="182">
        <f t="shared" si="5"/>
        <v>41.166666666666714</v>
      </c>
      <c r="H35" s="209">
        <f>'Data for Q5'!C54*1.25</f>
        <v>7.7924999999999994E-2</v>
      </c>
      <c r="I35" s="184">
        <f t="shared" si="6"/>
        <v>0.32056023712667103</v>
      </c>
      <c r="J35" s="204">
        <f t="shared" si="0"/>
        <v>916.59065833823865</v>
      </c>
      <c r="K35" s="204">
        <v>0</v>
      </c>
      <c r="L35" s="204">
        <f t="shared" si="1"/>
        <v>718.34576269835327</v>
      </c>
      <c r="N35" s="183" t="s">
        <v>102</v>
      </c>
      <c r="O35" s="182">
        <f t="shared" si="7"/>
        <v>55.166666666666714</v>
      </c>
      <c r="P35" s="181">
        <f t="shared" si="2"/>
        <v>7.7924999999999994E-2</v>
      </c>
      <c r="Q35" s="184">
        <f t="shared" si="8"/>
        <v>0.32056023712667103</v>
      </c>
      <c r="R35" s="204">
        <f t="shared" si="3"/>
        <v>2707.4677907837204</v>
      </c>
      <c r="S35" s="204">
        <v>0</v>
      </c>
      <c r="T35" s="204">
        <f t="shared" si="4"/>
        <v>2121.8828682782128</v>
      </c>
    </row>
    <row r="36" spans="6:20">
      <c r="F36" s="183" t="s">
        <v>103</v>
      </c>
      <c r="G36" s="182">
        <f t="shared" si="5"/>
        <v>41.25000000000005</v>
      </c>
      <c r="H36" s="209">
        <f>'Data for Q5'!C55*1.25</f>
        <v>0.20635000000000001</v>
      </c>
      <c r="I36" s="184">
        <f t="shared" si="6"/>
        <v>0.29558058064857518</v>
      </c>
      <c r="J36" s="204">
        <f t="shared" si="0"/>
        <v>845.16533128723142</v>
      </c>
      <c r="K36" s="204">
        <v>0</v>
      </c>
      <c r="L36" s="204">
        <f t="shared" si="1"/>
        <v>658.13421379212195</v>
      </c>
      <c r="N36" s="183" t="s">
        <v>103</v>
      </c>
      <c r="O36" s="182">
        <f t="shared" si="7"/>
        <v>55.25000000000005</v>
      </c>
      <c r="P36" s="181">
        <f t="shared" si="2"/>
        <v>0.20635000000000001</v>
      </c>
      <c r="Q36" s="184">
        <f t="shared" si="8"/>
        <v>0.29558058064857518</v>
      </c>
      <c r="R36" s="204">
        <f t="shared" si="3"/>
        <v>2496.4883631868988</v>
      </c>
      <c r="S36" s="204">
        <v>0</v>
      </c>
      <c r="T36" s="204">
        <f t="shared" si="4"/>
        <v>1944.0272161244216</v>
      </c>
    </row>
    <row r="37" spans="6:20">
      <c r="F37" s="183" t="s">
        <v>104</v>
      </c>
      <c r="G37" s="182">
        <f t="shared" si="5"/>
        <v>41.333333333333385</v>
      </c>
      <c r="H37" s="209">
        <f>'Data for Q5'!C56*1.25</f>
        <v>9.11E-2</v>
      </c>
      <c r="I37" s="184">
        <f t="shared" si="6"/>
        <v>0.23458752783174167</v>
      </c>
      <c r="J37" s="204">
        <f t="shared" si="0"/>
        <v>670.76546517611121</v>
      </c>
      <c r="K37" s="204">
        <v>0</v>
      </c>
      <c r="L37" s="204">
        <f t="shared" si="1"/>
        <v>518.98902774484577</v>
      </c>
      <c r="N37" s="183" t="s">
        <v>104</v>
      </c>
      <c r="O37" s="182">
        <f t="shared" si="7"/>
        <v>55.333333333333385</v>
      </c>
      <c r="P37" s="181">
        <f t="shared" si="2"/>
        <v>9.11E-2</v>
      </c>
      <c r="Q37" s="184">
        <f t="shared" si="8"/>
        <v>0.23458752783174167</v>
      </c>
      <c r="R37" s="204">
        <f t="shared" si="3"/>
        <v>1981.3379894432819</v>
      </c>
      <c r="S37" s="204">
        <v>0</v>
      </c>
      <c r="T37" s="204">
        <f t="shared" si="4"/>
        <v>1533.013743492467</v>
      </c>
    </row>
    <row r="38" spans="6:20">
      <c r="F38" s="183" t="s">
        <v>105</v>
      </c>
      <c r="G38" s="182">
        <f t="shared" si="5"/>
        <v>41.416666666666721</v>
      </c>
      <c r="H38" s="209">
        <f>'Data for Q5'!C57*1.25</f>
        <v>4.0937500000000002E-2</v>
      </c>
      <c r="I38" s="184">
        <f t="shared" si="6"/>
        <v>0.21321660404627002</v>
      </c>
      <c r="J38" s="204">
        <f t="shared" si="0"/>
        <v>609.65873129856743</v>
      </c>
      <c r="K38" s="204">
        <v>0</v>
      </c>
      <c r="L38" s="204">
        <f t="shared" si="1"/>
        <v>468.69353897515987</v>
      </c>
      <c r="N38" s="183" t="s">
        <v>105</v>
      </c>
      <c r="O38" s="182">
        <f t="shared" si="7"/>
        <v>55.416666666666721</v>
      </c>
      <c r="P38" s="181">
        <f t="shared" si="2"/>
        <v>4.0937500000000002E-2</v>
      </c>
      <c r="Q38" s="184">
        <f t="shared" si="8"/>
        <v>0.21321660404627002</v>
      </c>
      <c r="R38" s="204">
        <f t="shared" si="3"/>
        <v>1800.8380986049992</v>
      </c>
      <c r="S38" s="204">
        <v>0</v>
      </c>
      <c r="T38" s="204">
        <f t="shared" si="4"/>
        <v>1384.4486074343185</v>
      </c>
    </row>
    <row r="39" spans="6:20">
      <c r="F39" s="183" t="s">
        <v>106</v>
      </c>
      <c r="G39" s="182">
        <f t="shared" si="5"/>
        <v>41.500000000000057</v>
      </c>
      <c r="H39" s="209">
        <f>'Data for Q5'!C58*1.25</f>
        <v>2.3349999999999999E-2</v>
      </c>
      <c r="I39" s="184">
        <f t="shared" si="6"/>
        <v>0.20448804931812584</v>
      </c>
      <c r="J39" s="204">
        <f t="shared" si="0"/>
        <v>584.70082698603244</v>
      </c>
      <c r="K39" s="204">
        <v>0</v>
      </c>
      <c r="L39" s="204">
        <f t="shared" si="1"/>
        <v>446.632748670306</v>
      </c>
      <c r="N39" s="183" t="s">
        <v>106</v>
      </c>
      <c r="O39" s="182">
        <f t="shared" si="7"/>
        <v>55.500000000000057</v>
      </c>
      <c r="P39" s="181">
        <f t="shared" si="2"/>
        <v>2.3349999999999999E-2</v>
      </c>
      <c r="Q39" s="184">
        <f t="shared" si="8"/>
        <v>0.20448804931812584</v>
      </c>
      <c r="R39" s="204">
        <f t="shared" si="3"/>
        <v>1727.1162889433569</v>
      </c>
      <c r="S39" s="204">
        <v>0</v>
      </c>
      <c r="T39" s="204">
        <f t="shared" si="4"/>
        <v>1319.2844268415188</v>
      </c>
    </row>
    <row r="40" spans="6:20">
      <c r="F40" s="183" t="s">
        <v>107</v>
      </c>
      <c r="G40" s="182">
        <f t="shared" si="5"/>
        <v>41.583333333333393</v>
      </c>
      <c r="H40" s="209">
        <f>'Data for Q5'!C59*1.25</f>
        <v>2.2100000000000002E-2</v>
      </c>
      <c r="I40" s="184">
        <f t="shared" si="6"/>
        <v>0.19971325336654761</v>
      </c>
      <c r="J40" s="204">
        <f t="shared" si="0"/>
        <v>571.04806267590857</v>
      </c>
      <c r="K40" s="204">
        <v>0</v>
      </c>
      <c r="L40" s="204">
        <f t="shared" si="1"/>
        <v>433.41526711013239</v>
      </c>
      <c r="N40" s="183" t="s">
        <v>107</v>
      </c>
      <c r="O40" s="182">
        <f t="shared" si="7"/>
        <v>55.583333333333393</v>
      </c>
      <c r="P40" s="181">
        <f t="shared" si="2"/>
        <v>2.2100000000000002E-2</v>
      </c>
      <c r="Q40" s="184">
        <f t="shared" si="8"/>
        <v>0.19971325336654761</v>
      </c>
      <c r="R40" s="204">
        <f t="shared" si="3"/>
        <v>1686.7881235965297</v>
      </c>
      <c r="S40" s="204">
        <v>0</v>
      </c>
      <c r="T40" s="204">
        <f t="shared" si="4"/>
        <v>1280.2420197714678</v>
      </c>
    </row>
    <row r="41" spans="6:20">
      <c r="F41" s="183" t="s">
        <v>108</v>
      </c>
      <c r="G41" s="182">
        <f t="shared" si="5"/>
        <v>41.666666666666728</v>
      </c>
      <c r="H41" s="209">
        <f>'Data for Q5'!C60*1.25</f>
        <v>2.0899999999999998E-2</v>
      </c>
      <c r="I41" s="184">
        <f t="shared" si="6"/>
        <v>0.1952995904671469</v>
      </c>
      <c r="J41" s="204">
        <f t="shared" si="0"/>
        <v>558.42790049077098</v>
      </c>
      <c r="K41" s="204">
        <v>0</v>
      </c>
      <c r="L41" s="204">
        <f t="shared" si="1"/>
        <v>421.12724433679273</v>
      </c>
      <c r="N41" s="183" t="s">
        <v>108</v>
      </c>
      <c r="O41" s="182">
        <f t="shared" si="7"/>
        <v>55.666666666666728</v>
      </c>
      <c r="P41" s="181">
        <f t="shared" si="2"/>
        <v>2.0899999999999998E-2</v>
      </c>
      <c r="Q41" s="184">
        <f t="shared" si="8"/>
        <v>0.1952995904671469</v>
      </c>
      <c r="R41" s="204">
        <f t="shared" si="3"/>
        <v>1649.5101060650466</v>
      </c>
      <c r="S41" s="204">
        <v>0</v>
      </c>
      <c r="T41" s="204">
        <f t="shared" si="4"/>
        <v>1243.9450909640645</v>
      </c>
    </row>
    <row r="42" spans="6:20">
      <c r="F42" s="183" t="s">
        <v>109</v>
      </c>
      <c r="G42" s="182">
        <f t="shared" si="5"/>
        <v>41.750000000000064</v>
      </c>
      <c r="H42" s="209">
        <f>'Data for Q5'!C61*1.25</f>
        <v>1.9762500000000002E-2</v>
      </c>
      <c r="I42" s="184">
        <f t="shared" si="6"/>
        <v>0.19121782902638351</v>
      </c>
      <c r="J42" s="204">
        <f t="shared" si="0"/>
        <v>546.75675737051381</v>
      </c>
      <c r="K42" s="204">
        <v>0</v>
      </c>
      <c r="L42" s="204">
        <f t="shared" si="1"/>
        <v>409.6897288787884</v>
      </c>
      <c r="N42" s="183" t="s">
        <v>109</v>
      </c>
      <c r="O42" s="182">
        <f t="shared" si="7"/>
        <v>55.750000000000064</v>
      </c>
      <c r="P42" s="181">
        <f t="shared" si="2"/>
        <v>1.9762500000000002E-2</v>
      </c>
      <c r="Q42" s="184">
        <f t="shared" si="8"/>
        <v>0.19121782902638351</v>
      </c>
      <c r="R42" s="204">
        <f t="shared" si="3"/>
        <v>1615.0353448482867</v>
      </c>
      <c r="S42" s="204">
        <v>0</v>
      </c>
      <c r="T42" s="204">
        <f t="shared" si="4"/>
        <v>1210.1604299188825</v>
      </c>
    </row>
    <row r="43" spans="6:20">
      <c r="F43" s="183" t="s">
        <v>110</v>
      </c>
      <c r="G43" s="182">
        <f t="shared" si="5"/>
        <v>41.8333333333334</v>
      </c>
      <c r="H43" s="209">
        <f>'Data for Q5'!C62*1.25</f>
        <v>1.8687499999999999E-2</v>
      </c>
      <c r="I43" s="184">
        <f t="shared" si="6"/>
        <v>0.18743888668024961</v>
      </c>
      <c r="J43" s="204">
        <f t="shared" si="0"/>
        <v>535.95147695297896</v>
      </c>
      <c r="K43" s="204">
        <v>0</v>
      </c>
      <c r="L43" s="204">
        <f t="shared" si="1"/>
        <v>399.02589101436382</v>
      </c>
      <c r="N43" s="183" t="s">
        <v>110</v>
      </c>
      <c r="O43" s="182">
        <f t="shared" si="7"/>
        <v>55.8333333333334</v>
      </c>
      <c r="P43" s="181">
        <f t="shared" si="2"/>
        <v>1.8687499999999999E-2</v>
      </c>
      <c r="Q43" s="184">
        <f t="shared" si="8"/>
        <v>0.18743888668024961</v>
      </c>
      <c r="R43" s="204">
        <f t="shared" si="3"/>
        <v>1583.1182088457224</v>
      </c>
      <c r="S43" s="204">
        <v>0</v>
      </c>
      <c r="T43" s="204">
        <f t="shared" si="4"/>
        <v>1178.661093457813</v>
      </c>
    </row>
    <row r="44" spans="6:20">
      <c r="F44" s="183" t="s">
        <v>111</v>
      </c>
      <c r="G44" s="182">
        <f t="shared" si="5"/>
        <v>41.916666666666735</v>
      </c>
      <c r="H44" s="209">
        <f>'Data for Q5'!C63*1.25</f>
        <v>1.7750000000000002E-2</v>
      </c>
      <c r="I44" s="184">
        <f t="shared" si="6"/>
        <v>0.18393612248541244</v>
      </c>
      <c r="J44" s="204">
        <f t="shared" si="0"/>
        <v>525.93588372742022</v>
      </c>
      <c r="K44" s="204">
        <v>0</v>
      </c>
      <c r="L44" s="204">
        <f t="shared" si="1"/>
        <v>389.06583338923292</v>
      </c>
      <c r="N44" s="183" t="s">
        <v>111</v>
      </c>
      <c r="O44" s="182">
        <f t="shared" si="7"/>
        <v>55.916666666666735</v>
      </c>
      <c r="P44" s="181">
        <f t="shared" si="2"/>
        <v>1.7750000000000002E-2</v>
      </c>
      <c r="Q44" s="184">
        <f t="shared" si="8"/>
        <v>0.18393612248541244</v>
      </c>
      <c r="R44" s="204">
        <f t="shared" si="3"/>
        <v>1553.5336873179178</v>
      </c>
      <c r="S44" s="204">
        <v>0</v>
      </c>
      <c r="T44" s="204">
        <f t="shared" si="4"/>
        <v>1149.240615549734</v>
      </c>
    </row>
    <row r="45" spans="6:20">
      <c r="F45" s="183" t="s">
        <v>12</v>
      </c>
      <c r="G45" s="182">
        <f t="shared" si="5"/>
        <v>42.000000000000071</v>
      </c>
      <c r="H45" s="209">
        <f>'Data for Q5'!C64*1.25</f>
        <v>0.20250000000000001</v>
      </c>
      <c r="I45" s="184">
        <f>I44*(1-H44)*(1-H45)^0.5</f>
        <v>0.16134459094912032</v>
      </c>
      <c r="J45" s="204">
        <f t="shared" ref="J45:J67" si="9">G$8*I45*1.0275^(ROUNDDOWN(G45-G$7-0.5,0))</f>
        <v>5688.3100854589256</v>
      </c>
      <c r="K45" s="204">
        <f t="shared" ref="K45:K67" si="10">-(1000*12*1.03^3.5)*I45*1.0275^(G45-$G$45)</f>
        <v>-2147.1675884332626</v>
      </c>
      <c r="L45" s="204">
        <f t="shared" si="1"/>
        <v>2602.8454483200235</v>
      </c>
      <c r="N45" s="183" t="s">
        <v>12</v>
      </c>
      <c r="O45" s="182">
        <f t="shared" si="7"/>
        <v>56.000000000000071</v>
      </c>
      <c r="P45" s="181">
        <f t="shared" si="2"/>
        <v>0.20250000000000001</v>
      </c>
      <c r="Q45" s="184">
        <f>Q44*(1-P44)*(1-P45)^0.5</f>
        <v>0.16134459094912032</v>
      </c>
      <c r="R45" s="204">
        <f t="shared" ref="R45:R53" si="11">O$8*Q45*1.0275^(ROUNDDOWN(O45-O$7-0.5,0))</f>
        <v>16802.392867817136</v>
      </c>
      <c r="S45" s="204">
        <f t="shared" ref="S45:S53" si="12">-(1000*12*1.03^3.5)*Q45*1.0275^(O45-$G$45)</f>
        <v>-3139.1464015127235</v>
      </c>
      <c r="T45" s="204">
        <f t="shared" si="4"/>
        <v>10042.894038849336</v>
      </c>
    </row>
    <row r="46" spans="6:20">
      <c r="F46" s="183" t="s">
        <v>13</v>
      </c>
      <c r="G46" s="182">
        <f t="shared" ref="G46:G67" si="13">G45+1</f>
        <v>43.000000000000071</v>
      </c>
      <c r="H46" s="209">
        <f>'Data for Q5'!C65*1.25</f>
        <v>0.10125000000000001</v>
      </c>
      <c r="I46" s="184">
        <f t="shared" ref="I46:I67" si="14">I45*(1-H45)^0.5*(1-H46)^0.5</f>
        <v>0.13659638560535201</v>
      </c>
      <c r="J46" s="204">
        <f t="shared" si="9"/>
        <v>4948.230149032509</v>
      </c>
      <c r="K46" s="204">
        <f t="shared" si="10"/>
        <v>-1867.8094612441839</v>
      </c>
      <c r="L46" s="204">
        <f t="shared" si="1"/>
        <v>2096.4825599038791</v>
      </c>
      <c r="N46" s="183" t="s">
        <v>13</v>
      </c>
      <c r="O46" s="182">
        <f t="shared" ref="O46:O53" si="15">O45+1</f>
        <v>57.000000000000071</v>
      </c>
      <c r="P46" s="181">
        <f t="shared" si="2"/>
        <v>0.10125000000000001</v>
      </c>
      <c r="Q46" s="184">
        <f t="shared" ref="Q46:Q53" si="16">Q45*(1-P45)^0.5*(1-P46)^0.5</f>
        <v>0.13659638560535201</v>
      </c>
      <c r="R46" s="204">
        <f t="shared" si="11"/>
        <v>14616.310594065255</v>
      </c>
      <c r="S46" s="204">
        <f t="shared" si="12"/>
        <v>-2730.7264605528203</v>
      </c>
      <c r="T46" s="204">
        <f t="shared" si="4"/>
        <v>8089.128848199497</v>
      </c>
    </row>
    <row r="47" spans="6:20">
      <c r="F47" s="183" t="s">
        <v>14</v>
      </c>
      <c r="G47" s="182">
        <f t="shared" si="13"/>
        <v>44.000000000000071</v>
      </c>
      <c r="H47" s="209">
        <f>'Data for Q5'!C66*1.25</f>
        <v>5.0625000000000003E-2</v>
      </c>
      <c r="I47" s="184">
        <f t="shared" si="14"/>
        <v>0.12617623236652128</v>
      </c>
      <c r="J47" s="204">
        <f t="shared" si="9"/>
        <v>4696.4539564077522</v>
      </c>
      <c r="K47" s="204">
        <f t="shared" si="10"/>
        <v>-1772.771449563885</v>
      </c>
      <c r="L47" s="204">
        <f t="shared" ref="L47:L67" si="17">MAX(0,J47+K47)/(1+$C$10)^(G47-G$7+0.5)</f>
        <v>1842.4159144624496</v>
      </c>
      <c r="N47" s="183" t="s">
        <v>14</v>
      </c>
      <c r="O47" s="182">
        <f t="shared" si="15"/>
        <v>58.000000000000071</v>
      </c>
      <c r="P47" s="181">
        <f t="shared" si="2"/>
        <v>5.0625000000000003E-2</v>
      </c>
      <c r="Q47" s="184">
        <f t="shared" si="16"/>
        <v>0.12617623236652128</v>
      </c>
      <c r="R47" s="204">
        <f t="shared" si="11"/>
        <v>13872.602455850589</v>
      </c>
      <c r="S47" s="204">
        <f t="shared" si="12"/>
        <v>-2591.7814457434147</v>
      </c>
      <c r="T47" s="204">
        <f t="shared" si="4"/>
        <v>7108.8307668742855</v>
      </c>
    </row>
    <row r="48" spans="6:20">
      <c r="F48" s="183" t="s">
        <v>15</v>
      </c>
      <c r="G48" s="182">
        <f t="shared" si="13"/>
        <v>45.000000000000071</v>
      </c>
      <c r="H48" s="209">
        <f>'Data for Q5'!C67*1.25</f>
        <v>3.7975000000000002E-2</v>
      </c>
      <c r="I48" s="184">
        <f t="shared" si="14"/>
        <v>0.12058398437370427</v>
      </c>
      <c r="J48" s="204">
        <f t="shared" si="9"/>
        <v>4611.7310738008637</v>
      </c>
      <c r="K48" s="204">
        <f t="shared" si="10"/>
        <v>-1740.7910854840197</v>
      </c>
      <c r="L48" s="204">
        <f t="shared" si="17"/>
        <v>1675.1659085568517</v>
      </c>
      <c r="N48" s="183" t="s">
        <v>15</v>
      </c>
      <c r="O48" s="182">
        <f t="shared" si="15"/>
        <v>59.000000000000071</v>
      </c>
      <c r="P48" s="181">
        <f t="shared" si="2"/>
        <v>3.7975000000000002E-2</v>
      </c>
      <c r="Q48" s="184">
        <f t="shared" si="16"/>
        <v>0.12058398437370427</v>
      </c>
      <c r="R48" s="204">
        <f t="shared" si="11"/>
        <v>13622.344094919476</v>
      </c>
      <c r="S48" s="204">
        <f t="shared" si="12"/>
        <v>-2545.0263413159914</v>
      </c>
      <c r="T48" s="204">
        <f t="shared" si="4"/>
        <v>6463.5085144943132</v>
      </c>
    </row>
    <row r="49" spans="6:20">
      <c r="F49" s="183" t="s">
        <v>139</v>
      </c>
      <c r="G49" s="182">
        <f t="shared" si="13"/>
        <v>46.000000000000071</v>
      </c>
      <c r="H49" s="209">
        <f>'Data for Q5'!C68*1.25</f>
        <v>2.8487500000000002E-2</v>
      </c>
      <c r="I49" s="184">
        <f t="shared" si="14"/>
        <v>0.11657542443730194</v>
      </c>
      <c r="J49" s="204">
        <f t="shared" si="9"/>
        <v>4581.0304671833755</v>
      </c>
      <c r="K49" s="204">
        <f t="shared" si="10"/>
        <v>-1729.2025211329271</v>
      </c>
      <c r="L49" s="204">
        <f t="shared" si="17"/>
        <v>1540.7539032042278</v>
      </c>
      <c r="N49" s="183" t="s">
        <v>139</v>
      </c>
      <c r="O49" s="182">
        <f t="shared" si="15"/>
        <v>60.000000000000071</v>
      </c>
      <c r="P49" s="181">
        <f t="shared" si="2"/>
        <v>2.8487500000000002E-2</v>
      </c>
      <c r="Q49" s="184">
        <f t="shared" si="16"/>
        <v>0.11657542443730194</v>
      </c>
      <c r="R49" s="204">
        <f t="shared" si="11"/>
        <v>13531.659226141661</v>
      </c>
      <c r="S49" s="204">
        <f t="shared" si="12"/>
        <v>-2528.0839283076175</v>
      </c>
      <c r="T49" s="204">
        <f t="shared" si="4"/>
        <v>5944.8893516942608</v>
      </c>
    </row>
    <row r="50" spans="6:20">
      <c r="F50" s="183" t="s">
        <v>138</v>
      </c>
      <c r="G50" s="182">
        <f t="shared" si="13"/>
        <v>47.000000000000071</v>
      </c>
      <c r="H50" s="209">
        <f t="shared" ref="H50:H67" si="18">H49</f>
        <v>2.8487500000000002E-2</v>
      </c>
      <c r="I50" s="184">
        <f t="shared" si="14"/>
        <v>0.1132544820336443</v>
      </c>
      <c r="J50" s="204">
        <f t="shared" si="9"/>
        <v>4572.9178916975989</v>
      </c>
      <c r="K50" s="204">
        <f t="shared" si="10"/>
        <v>-1726.1402655807374</v>
      </c>
      <c r="L50" s="204">
        <f t="shared" si="17"/>
        <v>1424.0975671178987</v>
      </c>
      <c r="N50" s="183" t="s">
        <v>138</v>
      </c>
      <c r="O50" s="182">
        <f t="shared" si="15"/>
        <v>61.000000000000071</v>
      </c>
      <c r="P50" s="181">
        <f t="shared" si="2"/>
        <v>2.8487500000000002E-2</v>
      </c>
      <c r="Q50" s="184">
        <f t="shared" si="16"/>
        <v>0.1132544820336443</v>
      </c>
      <c r="R50" s="204">
        <f t="shared" si="11"/>
        <v>13507.695926245218</v>
      </c>
      <c r="S50" s="204">
        <f t="shared" si="12"/>
        <v>-2523.6069286784527</v>
      </c>
      <c r="T50" s="204">
        <f t="shared" si="4"/>
        <v>5494.7791759127658</v>
      </c>
    </row>
    <row r="51" spans="6:20">
      <c r="F51" s="183" t="s">
        <v>137</v>
      </c>
      <c r="G51" s="182">
        <f t="shared" si="13"/>
        <v>48.000000000000071</v>
      </c>
      <c r="H51" s="209">
        <f t="shared" si="18"/>
        <v>2.8487500000000002E-2</v>
      </c>
      <c r="I51" s="184">
        <f t="shared" si="14"/>
        <v>0.11002814497671085</v>
      </c>
      <c r="J51" s="204">
        <f t="shared" si="9"/>
        <v>4564.8196828224554</v>
      </c>
      <c r="K51" s="204">
        <f t="shared" si="10"/>
        <v>-1723.0834329960435</v>
      </c>
      <c r="L51" s="204">
        <f t="shared" si="17"/>
        <v>1316.2737257737781</v>
      </c>
      <c r="N51" s="183" t="s">
        <v>137</v>
      </c>
      <c r="O51" s="182">
        <f t="shared" si="15"/>
        <v>62.000000000000071</v>
      </c>
      <c r="P51" s="181">
        <f t="shared" si="2"/>
        <v>2.8487500000000002E-2</v>
      </c>
      <c r="Q51" s="184">
        <f t="shared" si="16"/>
        <v>0.11002814497671085</v>
      </c>
      <c r="R51" s="204">
        <f t="shared" si="11"/>
        <v>13483.77506310633</v>
      </c>
      <c r="S51" s="204">
        <f t="shared" si="12"/>
        <v>-2519.1378573959128</v>
      </c>
      <c r="T51" s="204">
        <f t="shared" si="4"/>
        <v>5078.7485528960851</v>
      </c>
    </row>
    <row r="52" spans="6:20">
      <c r="F52" s="183" t="s">
        <v>415</v>
      </c>
      <c r="G52" s="182">
        <f t="shared" si="13"/>
        <v>49.000000000000071</v>
      </c>
      <c r="H52" s="209">
        <f t="shared" si="18"/>
        <v>2.8487500000000002E-2</v>
      </c>
      <c r="I52" s="184">
        <f t="shared" si="14"/>
        <v>0.10689371819668679</v>
      </c>
      <c r="J52" s="204">
        <f t="shared" si="9"/>
        <v>4556.7358151160215</v>
      </c>
      <c r="K52" s="204">
        <f t="shared" si="10"/>
        <v>-1720.0320137752794</v>
      </c>
      <c r="L52" s="204">
        <f t="shared" si="17"/>
        <v>1216.6136374130499</v>
      </c>
      <c r="N52" s="183" t="s">
        <v>415</v>
      </c>
      <c r="O52" s="182">
        <f t="shared" si="15"/>
        <v>63.000000000000071</v>
      </c>
      <c r="P52" s="181">
        <f t="shared" si="2"/>
        <v>2.8487500000000002E-2</v>
      </c>
      <c r="Q52" s="184">
        <f t="shared" si="16"/>
        <v>0.10689371819668679</v>
      </c>
      <c r="R52" s="204">
        <f t="shared" si="11"/>
        <v>13459.89656157348</v>
      </c>
      <c r="S52" s="204">
        <f t="shared" si="12"/>
        <v>-2514.676700419639</v>
      </c>
      <c r="T52" s="204">
        <f t="shared" si="4"/>
        <v>4694.2171901310949</v>
      </c>
    </row>
    <row r="53" spans="6:20">
      <c r="F53" s="183" t="s">
        <v>414</v>
      </c>
      <c r="G53" s="182">
        <f t="shared" si="13"/>
        <v>50.000000000000071</v>
      </c>
      <c r="H53" s="209">
        <f t="shared" si="18"/>
        <v>2.8487500000000002E-2</v>
      </c>
      <c r="I53" s="184">
        <f t="shared" si="14"/>
        <v>0.10384858339955867</v>
      </c>
      <c r="J53" s="204">
        <f t="shared" si="9"/>
        <v>4548.6662631814343</v>
      </c>
      <c r="K53" s="204">
        <f t="shared" si="10"/>
        <v>-1716.9859983318845</v>
      </c>
      <c r="L53" s="204">
        <f t="shared" si="17"/>
        <v>1124.4991932580742</v>
      </c>
      <c r="N53" s="183" t="s">
        <v>414</v>
      </c>
      <c r="O53" s="182">
        <f t="shared" si="15"/>
        <v>64.000000000000071</v>
      </c>
      <c r="P53" s="181">
        <f t="shared" si="2"/>
        <v>2.8487500000000002E-2</v>
      </c>
      <c r="Q53" s="184">
        <f t="shared" si="16"/>
        <v>0.10384858339955867</v>
      </c>
      <c r="R53" s="204">
        <f t="shared" si="11"/>
        <v>13436.060346628235</v>
      </c>
      <c r="S53" s="204">
        <f t="shared" si="12"/>
        <v>-2510.2234437341363</v>
      </c>
      <c r="T53" s="204">
        <f t="shared" si="4"/>
        <v>4338.8001588613279</v>
      </c>
    </row>
    <row r="54" spans="6:20">
      <c r="F54" s="183" t="s">
        <v>413</v>
      </c>
      <c r="G54" s="182">
        <f t="shared" si="13"/>
        <v>51.000000000000071</v>
      </c>
      <c r="H54" s="209">
        <f t="shared" si="18"/>
        <v>2.8487500000000002E-2</v>
      </c>
      <c r="I54" s="184">
        <f t="shared" si="14"/>
        <v>0.10089019687996374</v>
      </c>
      <c r="J54" s="204">
        <f t="shared" si="9"/>
        <v>4540.6110016668017</v>
      </c>
      <c r="K54" s="204">
        <f t="shared" si="10"/>
        <v>-1713.9453770962762</v>
      </c>
      <c r="L54" s="204">
        <f t="shared" si="17"/>
        <v>1039.3590838968641</v>
      </c>
    </row>
    <row r="55" spans="6:20">
      <c r="F55" s="183" t="s">
        <v>412</v>
      </c>
      <c r="G55" s="182">
        <f t="shared" si="13"/>
        <v>52.000000000000071</v>
      </c>
      <c r="H55" s="209">
        <f t="shared" si="18"/>
        <v>2.8487500000000002E-2</v>
      </c>
      <c r="I55" s="184">
        <f t="shared" si="14"/>
        <v>9.8016087396345777E-2</v>
      </c>
      <c r="J55" s="204">
        <f t="shared" si="9"/>
        <v>4532.5700052651327</v>
      </c>
      <c r="K55" s="204">
        <f t="shared" si="10"/>
        <v>-1710.9101405158178</v>
      </c>
      <c r="L55" s="204">
        <f t="shared" si="17"/>
        <v>960.66525592518281</v>
      </c>
    </row>
    <row r="56" spans="6:20">
      <c r="F56" s="183" t="s">
        <v>411</v>
      </c>
      <c r="G56" s="182">
        <f t="shared" si="13"/>
        <v>53.000000000000071</v>
      </c>
      <c r="H56" s="209">
        <f t="shared" si="18"/>
        <v>2.8487500000000002E-2</v>
      </c>
      <c r="I56" s="184">
        <f t="shared" si="14"/>
        <v>9.5223854106642372E-2</v>
      </c>
      <c r="J56" s="204">
        <f t="shared" si="9"/>
        <v>4524.5432487142461</v>
      </c>
      <c r="K56" s="204">
        <f t="shared" si="10"/>
        <v>-1707.88027905479</v>
      </c>
      <c r="L56" s="204">
        <f t="shared" si="17"/>
        <v>887.92963686972882</v>
      </c>
    </row>
    <row r="57" spans="6:20">
      <c r="F57" s="183" t="s">
        <v>410</v>
      </c>
      <c r="G57" s="182">
        <f t="shared" si="13"/>
        <v>54.000000000000071</v>
      </c>
      <c r="H57" s="209">
        <f t="shared" si="18"/>
        <v>2.8487500000000002E-2</v>
      </c>
      <c r="I57" s="184">
        <f t="shared" si="14"/>
        <v>9.2511164562779399E-2</v>
      </c>
      <c r="J57" s="204">
        <f t="shared" si="9"/>
        <v>4516.5307067967024</v>
      </c>
      <c r="K57" s="204">
        <f t="shared" si="10"/>
        <v>-1704.8557831943601</v>
      </c>
      <c r="L57" s="204">
        <f t="shared" si="17"/>
        <v>820.70110807984781</v>
      </c>
    </row>
    <row r="58" spans="6:20">
      <c r="F58" s="183" t="s">
        <v>409</v>
      </c>
      <c r="G58" s="182">
        <f t="shared" si="13"/>
        <v>55.000000000000071</v>
      </c>
      <c r="H58" s="209">
        <f t="shared" si="18"/>
        <v>2.8487500000000002E-2</v>
      </c>
      <c r="I58" s="184">
        <f t="shared" si="14"/>
        <v>8.9875752762297215E-2</v>
      </c>
      <c r="J58" s="204">
        <f t="shared" si="9"/>
        <v>4508.5323543397189</v>
      </c>
      <c r="K58" s="204">
        <f t="shared" si="10"/>
        <v>-1701.836643432553</v>
      </c>
      <c r="L58" s="204">
        <f t="shared" si="17"/>
        <v>758.56270681311764</v>
      </c>
    </row>
    <row r="59" spans="6:20">
      <c r="F59" s="183" t="s">
        <v>408</v>
      </c>
      <c r="G59" s="182">
        <f t="shared" si="13"/>
        <v>56.000000000000071</v>
      </c>
      <c r="H59" s="209">
        <f t="shared" si="18"/>
        <v>2.8487500000000002E-2</v>
      </c>
      <c r="I59" s="184">
        <f t="shared" si="14"/>
        <v>8.7315417255481267E-2</v>
      </c>
      <c r="J59" s="204">
        <f t="shared" si="9"/>
        <v>4500.5481662150914</v>
      </c>
      <c r="K59" s="204">
        <f t="shared" si="10"/>
        <v>-1698.8228502842192</v>
      </c>
      <c r="L59" s="204">
        <f t="shared" si="17"/>
        <v>701.12904016167158</v>
      </c>
    </row>
    <row r="60" spans="6:20">
      <c r="F60" s="183" t="s">
        <v>407</v>
      </c>
      <c r="G60" s="182">
        <f t="shared" si="13"/>
        <v>57.000000000000071</v>
      </c>
      <c r="H60" s="209">
        <f t="shared" si="18"/>
        <v>2.8487500000000002E-2</v>
      </c>
      <c r="I60" s="184">
        <f t="shared" si="14"/>
        <v>8.4828019306415745E-2</v>
      </c>
      <c r="J60" s="204">
        <f t="shared" si="9"/>
        <v>4492.5781173391151</v>
      </c>
      <c r="K60" s="204">
        <f t="shared" si="10"/>
        <v>-1695.8143942810079</v>
      </c>
      <c r="L60" s="204">
        <f t="shared" si="17"/>
        <v>648.04389477999337</v>
      </c>
    </row>
    <row r="61" spans="6:20">
      <c r="F61" s="183" t="s">
        <v>406</v>
      </c>
      <c r="G61" s="182">
        <f t="shared" si="13"/>
        <v>58.000000000000071</v>
      </c>
      <c r="H61" s="209">
        <f t="shared" si="18"/>
        <v>2.8487500000000002E-2</v>
      </c>
      <c r="I61" s="184">
        <f t="shared" si="14"/>
        <v>8.2411481106424225E-2</v>
      </c>
      <c r="J61" s="204">
        <f t="shared" si="9"/>
        <v>4484.6221826725059</v>
      </c>
      <c r="K61" s="204">
        <f t="shared" si="10"/>
        <v>-1692.8112659713356</v>
      </c>
      <c r="L61" s="204">
        <f t="shared" si="17"/>
        <v>598.97802758930834</v>
      </c>
    </row>
    <row r="62" spans="6:20">
      <c r="F62" s="183" t="s">
        <v>405</v>
      </c>
      <c r="G62" s="182">
        <f t="shared" si="13"/>
        <v>59.000000000000071</v>
      </c>
      <c r="H62" s="209">
        <f t="shared" si="18"/>
        <v>2.8487500000000002E-2</v>
      </c>
      <c r="I62" s="184">
        <f t="shared" si="14"/>
        <v>8.0063784038404959E-2</v>
      </c>
      <c r="J62" s="204">
        <f t="shared" si="9"/>
        <v>4476.6803372203231</v>
      </c>
      <c r="K62" s="204">
        <f t="shared" si="10"/>
        <v>-1689.8134559203565</v>
      </c>
      <c r="L62" s="204">
        <f t="shared" si="17"/>
        <v>553.62712375614615</v>
      </c>
    </row>
    <row r="63" spans="6:20">
      <c r="F63" s="183" t="s">
        <v>404</v>
      </c>
      <c r="G63" s="182">
        <f t="shared" si="13"/>
        <v>60.000000000000071</v>
      </c>
      <c r="H63" s="209">
        <f t="shared" si="18"/>
        <v>2.8487500000000002E-2</v>
      </c>
      <c r="I63" s="184">
        <f t="shared" si="14"/>
        <v>7.7782966990610894E-2</v>
      </c>
      <c r="J63" s="204">
        <f t="shared" si="9"/>
        <v>4468.7525560318873</v>
      </c>
      <c r="K63" s="204">
        <f t="shared" si="10"/>
        <v>-1686.8209547099332</v>
      </c>
      <c r="L63" s="204">
        <f t="shared" si="17"/>
        <v>511.70990928010809</v>
      </c>
    </row>
    <row r="64" spans="6:20">
      <c r="F64" s="183" t="s">
        <v>403</v>
      </c>
      <c r="G64" s="182">
        <f t="shared" si="13"/>
        <v>61.000000000000071</v>
      </c>
      <c r="H64" s="209">
        <f t="shared" si="18"/>
        <v>2.8487500000000002E-2</v>
      </c>
      <c r="I64" s="184">
        <f t="shared" si="14"/>
        <v>7.5567124718465856E-2</v>
      </c>
      <c r="J64" s="204">
        <f t="shared" si="9"/>
        <v>4460.838814200707</v>
      </c>
      <c r="K64" s="204">
        <f t="shared" si="10"/>
        <v>-1683.8337529386058</v>
      </c>
      <c r="L64" s="204">
        <f t="shared" si="17"/>
        <v>472.96640648479365</v>
      </c>
    </row>
    <row r="65" spans="6:12">
      <c r="F65" s="183" t="s">
        <v>402</v>
      </c>
      <c r="G65" s="182">
        <f t="shared" si="13"/>
        <v>62.000000000000071</v>
      </c>
      <c r="H65" s="209">
        <f t="shared" si="18"/>
        <v>2.8487500000000002E-2</v>
      </c>
      <c r="I65" s="184">
        <f t="shared" si="14"/>
        <v>7.3414406253048556E-2</v>
      </c>
      <c r="J65" s="204">
        <f t="shared" si="9"/>
        <v>4452.9390868643959</v>
      </c>
      <c r="K65" s="204">
        <f t="shared" si="10"/>
        <v>-1680.851841221566</v>
      </c>
      <c r="L65" s="204">
        <f t="shared" si="17"/>
        <v>437.1563215921384</v>
      </c>
    </row>
    <row r="66" spans="6:12">
      <c r="F66" s="183" t="s">
        <v>401</v>
      </c>
      <c r="G66" s="182">
        <f t="shared" si="13"/>
        <v>63.000000000000071</v>
      </c>
      <c r="H66" s="209">
        <f t="shared" si="18"/>
        <v>2.8487500000000002E-2</v>
      </c>
      <c r="I66" s="184">
        <f t="shared" si="14"/>
        <v>7.1323013354914838E-2</v>
      </c>
      <c r="J66" s="204">
        <f t="shared" si="9"/>
        <v>4445.0533492045979</v>
      </c>
      <c r="K66" s="204">
        <f t="shared" si="10"/>
        <v>-1677.8752101906232</v>
      </c>
      <c r="L66" s="204">
        <f t="shared" si="17"/>
        <v>404.05755437963313</v>
      </c>
    </row>
    <row r="67" spans="6:12">
      <c r="F67" s="183" t="s">
        <v>400</v>
      </c>
      <c r="G67" s="182">
        <f t="shared" si="13"/>
        <v>64.000000000000071</v>
      </c>
      <c r="H67" s="209">
        <f t="shared" si="18"/>
        <v>2.8487500000000002E-2</v>
      </c>
      <c r="I67" s="184">
        <f t="shared" si="14"/>
        <v>6.9291199011966689E-2</v>
      </c>
      <c r="J67" s="204">
        <f t="shared" si="9"/>
        <v>4437.1815764469093</v>
      </c>
      <c r="K67" s="204">
        <f t="shared" si="10"/>
        <v>-1674.9038504941764</v>
      </c>
      <c r="L67" s="204">
        <f t="shared" si="17"/>
        <v>373.46482067705796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7E1-DEFB-4929-8160-150C46EE763A}">
  <dimension ref="A1:L52"/>
  <sheetViews>
    <sheetView zoomScale="85" zoomScaleNormal="85" workbookViewId="0">
      <selection activeCell="D14" sqref="D14"/>
    </sheetView>
  </sheetViews>
  <sheetFormatPr baseColWidth="10" defaultColWidth="8.81640625" defaultRowHeight="14.5"/>
  <cols>
    <col min="2" max="2" width="30.1796875" customWidth="1"/>
    <col min="3" max="3" width="31.1796875" bestFit="1" customWidth="1"/>
    <col min="4" max="5" width="14.1796875" customWidth="1"/>
    <col min="6" max="6" width="16.1796875" customWidth="1"/>
  </cols>
  <sheetData>
    <row r="1" spans="1:12" ht="22.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233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 t="s">
        <v>234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3" t="s">
        <v>199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3" t="s">
        <v>200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2"/>
      <c r="B9" s="3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5">
      <c r="A10" s="12" t="s">
        <v>235</v>
      </c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5">
      <c r="A11" s="12" t="s">
        <v>134</v>
      </c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5">
      <c r="A12" s="12" t="s">
        <v>133</v>
      </c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5">
      <c r="A13" s="12" t="s">
        <v>236</v>
      </c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5">
      <c r="A14" s="12" t="s">
        <v>237</v>
      </c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5">
      <c r="A15" s="37" t="s">
        <v>213</v>
      </c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5">
      <c r="A16" s="2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5">
      <c r="A17" s="3" t="s">
        <v>3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9" spans="1:12" ht="15.5">
      <c r="B19" s="71" t="s">
        <v>196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</row>
    <row r="20" spans="1:12" ht="15.5">
      <c r="B20" s="41"/>
      <c r="C20" s="27"/>
      <c r="D20" s="27"/>
      <c r="E20" s="27"/>
      <c r="F20" s="27"/>
      <c r="G20" s="27"/>
      <c r="H20" s="27"/>
      <c r="I20" s="27"/>
      <c r="J20" s="27"/>
      <c r="K20" s="27"/>
      <c r="L20" s="27"/>
    </row>
    <row r="21" spans="1:12" ht="15.5">
      <c r="B21" s="40"/>
      <c r="C21" s="28" t="s">
        <v>142</v>
      </c>
      <c r="D21" s="28" t="s">
        <v>141</v>
      </c>
      <c r="E21" s="28" t="s">
        <v>140</v>
      </c>
      <c r="F21" s="28" t="s">
        <v>12</v>
      </c>
      <c r="G21" s="28" t="s">
        <v>13</v>
      </c>
      <c r="H21" s="28" t="s">
        <v>14</v>
      </c>
      <c r="I21" s="28" t="s">
        <v>15</v>
      </c>
      <c r="J21" s="28" t="s">
        <v>139</v>
      </c>
      <c r="K21" s="28" t="s">
        <v>138</v>
      </c>
      <c r="L21" s="28" t="s">
        <v>137</v>
      </c>
    </row>
    <row r="22" spans="1:12" ht="15.5">
      <c r="B22" s="29" t="s">
        <v>241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</row>
    <row r="23" spans="1:12" ht="15.5">
      <c r="B23" s="29" t="s">
        <v>238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2" ht="15.5">
      <c r="B24" s="29" t="s">
        <v>136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spans="1:12" ht="15.5">
      <c r="B25" s="29" t="s">
        <v>239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1:12" ht="15.5">
      <c r="B26" s="29" t="s">
        <v>240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1:12" ht="15.5">
      <c r="B27" s="73" t="s">
        <v>214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</row>
    <row r="29" spans="1:12" ht="15.5">
      <c r="B29" s="71" t="s">
        <v>197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</row>
    <row r="30" spans="1:12" ht="15.5">
      <c r="B30" s="41"/>
      <c r="C30" s="27"/>
      <c r="D30" s="27"/>
      <c r="E30" s="27"/>
      <c r="F30" s="27"/>
      <c r="G30" s="27"/>
      <c r="H30" s="27"/>
      <c r="I30" s="27"/>
      <c r="J30" s="27"/>
      <c r="K30" s="27"/>
      <c r="L30" s="27"/>
    </row>
    <row r="31" spans="1:12" ht="15.5">
      <c r="B31" s="40"/>
      <c r="C31" s="28" t="s">
        <v>142</v>
      </c>
      <c r="D31" s="28" t="s">
        <v>141</v>
      </c>
      <c r="E31" s="28" t="s">
        <v>140</v>
      </c>
      <c r="F31" s="28" t="s">
        <v>12</v>
      </c>
      <c r="G31" s="28" t="s">
        <v>13</v>
      </c>
      <c r="H31" s="28" t="s">
        <v>14</v>
      </c>
      <c r="I31" s="28" t="s">
        <v>15</v>
      </c>
      <c r="J31" s="28" t="s">
        <v>139</v>
      </c>
      <c r="K31" s="28" t="s">
        <v>138</v>
      </c>
      <c r="L31" s="28" t="s">
        <v>137</v>
      </c>
    </row>
    <row r="32" spans="1:12" ht="15.5">
      <c r="B32" s="29" t="s">
        <v>241</v>
      </c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 ht="15.5">
      <c r="B33" s="29" t="s">
        <v>238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2:12" ht="15.5">
      <c r="B34" s="29" t="s">
        <v>136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</row>
    <row r="35" spans="2:12" ht="15.5">
      <c r="B35" s="29" t="s">
        <v>239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</row>
    <row r="36" spans="2:12" ht="15.5">
      <c r="B36" s="29" t="s">
        <v>240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</row>
    <row r="37" spans="2:12" ht="15.5">
      <c r="B37" s="73" t="s">
        <v>214</v>
      </c>
      <c r="C37" s="74"/>
      <c r="D37" s="74"/>
      <c r="E37" s="74"/>
      <c r="F37" s="74"/>
      <c r="G37" s="74"/>
      <c r="H37" s="74"/>
      <c r="I37" s="74"/>
      <c r="J37" s="74"/>
      <c r="K37" s="74"/>
      <c r="L37" s="74"/>
    </row>
    <row r="39" spans="2:12" ht="15.5">
      <c r="B39" s="71" t="s">
        <v>198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</row>
    <row r="40" spans="2:12" ht="15.5">
      <c r="B40" s="41"/>
      <c r="C40" s="27"/>
      <c r="D40" s="27"/>
      <c r="E40" s="27"/>
      <c r="F40" s="27"/>
      <c r="G40" s="27"/>
      <c r="H40" s="27"/>
      <c r="I40" s="27"/>
      <c r="J40" s="27"/>
      <c r="K40" s="27"/>
      <c r="L40" s="27"/>
    </row>
    <row r="41" spans="2:12" ht="15.5">
      <c r="B41" s="40"/>
      <c r="C41" s="28" t="s">
        <v>142</v>
      </c>
      <c r="D41" s="28" t="s">
        <v>141</v>
      </c>
      <c r="E41" s="28" t="s">
        <v>140</v>
      </c>
      <c r="F41" s="28" t="s">
        <v>12</v>
      </c>
      <c r="G41" s="28" t="s">
        <v>13</v>
      </c>
      <c r="H41" s="28" t="s">
        <v>14</v>
      </c>
      <c r="I41" s="28" t="s">
        <v>15</v>
      </c>
      <c r="J41" s="28" t="s">
        <v>139</v>
      </c>
      <c r="K41" s="28" t="s">
        <v>138</v>
      </c>
      <c r="L41" s="28" t="s">
        <v>137</v>
      </c>
    </row>
    <row r="42" spans="2:12" ht="15.5">
      <c r="B42" s="29" t="s">
        <v>241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</row>
    <row r="43" spans="2:12" ht="15.5">
      <c r="B43" s="29" t="s">
        <v>238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2:12" ht="15.5">
      <c r="B44" s="29" t="s">
        <v>136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</row>
    <row r="45" spans="2:12" ht="15.5">
      <c r="B45" s="29" t="s">
        <v>239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</row>
    <row r="46" spans="2:12" ht="15.5">
      <c r="B46" s="29" t="s">
        <v>240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</row>
    <row r="47" spans="2:12" ht="15.5">
      <c r="B47" s="73" t="s">
        <v>214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9" spans="1:12" ht="15.5">
      <c r="A49" s="4" t="s">
        <v>193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.5">
      <c r="A50" s="5"/>
      <c r="B50" s="36"/>
      <c r="C50" s="36"/>
      <c r="D50" s="2"/>
      <c r="E50" s="2"/>
      <c r="F50" s="2"/>
      <c r="G50" s="2"/>
      <c r="H50" s="2"/>
      <c r="I50" s="2"/>
      <c r="J50" s="2"/>
      <c r="K50" s="2"/>
      <c r="L50" s="2"/>
    </row>
    <row r="51" spans="1:12" ht="15.5">
      <c r="A51" s="3" t="s">
        <v>194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15.5">
      <c r="A52" s="3" t="s">
        <v>3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</sheetData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84ACC-B1F0-4E33-9859-A4B372D7433B}">
  <dimension ref="B1:M50"/>
  <sheetViews>
    <sheetView zoomScale="85" zoomScaleNormal="85" workbookViewId="0">
      <selection activeCell="B18" sqref="B18"/>
    </sheetView>
  </sheetViews>
  <sheetFormatPr baseColWidth="10" defaultColWidth="8.81640625" defaultRowHeight="15.5"/>
  <cols>
    <col min="1" max="1" width="8.81640625" style="27"/>
    <col min="2" max="2" width="75.453125" style="27" customWidth="1"/>
    <col min="3" max="3" width="15.54296875" style="27" bestFit="1" customWidth="1"/>
    <col min="4" max="4" width="18.81640625" style="27" bestFit="1" customWidth="1"/>
    <col min="5" max="5" width="20" style="27" bestFit="1" customWidth="1"/>
    <col min="6" max="6" width="17.81640625" style="27" customWidth="1"/>
    <col min="7" max="7" width="16.54296875" style="27" customWidth="1"/>
    <col min="8" max="8" width="17" style="27" customWidth="1"/>
    <col min="9" max="13" width="16.453125" style="27" customWidth="1"/>
    <col min="14" max="18" width="12.1796875" style="27" customWidth="1"/>
    <col min="19" max="19" width="14.54296875" style="27" customWidth="1"/>
    <col min="20" max="16384" width="8.81640625" style="27"/>
  </cols>
  <sheetData>
    <row r="1" spans="2:5">
      <c r="B1" s="71" t="s">
        <v>195</v>
      </c>
    </row>
    <row r="3" spans="2:5">
      <c r="B3" s="60"/>
      <c r="C3" s="59" t="s">
        <v>153</v>
      </c>
      <c r="D3" s="59" t="s">
        <v>152</v>
      </c>
      <c r="E3" s="59" t="s">
        <v>151</v>
      </c>
    </row>
    <row r="4" spans="2:5">
      <c r="B4" s="51" t="s">
        <v>165</v>
      </c>
      <c r="C4" s="58">
        <v>2.5000000000000001E-2</v>
      </c>
      <c r="D4" s="57">
        <v>0</v>
      </c>
      <c r="E4" s="57">
        <v>-0.02</v>
      </c>
    </row>
    <row r="5" spans="2:5">
      <c r="B5" s="51" t="s">
        <v>164</v>
      </c>
      <c r="C5" s="57">
        <v>0.04</v>
      </c>
      <c r="D5" s="57">
        <v>0.03</v>
      </c>
      <c r="E5" s="57">
        <v>0.01</v>
      </c>
    </row>
    <row r="6" spans="2:5">
      <c r="B6" s="51" t="s">
        <v>163</v>
      </c>
      <c r="C6" s="54">
        <v>8</v>
      </c>
      <c r="D6" s="54">
        <v>8</v>
      </c>
      <c r="E6" s="54">
        <v>8</v>
      </c>
    </row>
    <row r="7" spans="2:5">
      <c r="B7" s="51" t="s">
        <v>162</v>
      </c>
      <c r="C7" s="56">
        <v>300000</v>
      </c>
      <c r="D7" s="56">
        <v>334000</v>
      </c>
      <c r="E7" s="56">
        <v>400000</v>
      </c>
    </row>
    <row r="8" spans="2:5">
      <c r="B8" s="51" t="s">
        <v>161</v>
      </c>
      <c r="C8" s="55">
        <v>0.65</v>
      </c>
      <c r="D8" s="55">
        <v>0.9</v>
      </c>
      <c r="E8" s="55">
        <v>1.1000000000000001</v>
      </c>
    </row>
    <row r="9" spans="2:5">
      <c r="B9" s="51" t="s">
        <v>160</v>
      </c>
      <c r="C9" s="54">
        <v>77</v>
      </c>
      <c r="D9" s="54">
        <v>79</v>
      </c>
      <c r="E9" s="54">
        <v>80</v>
      </c>
    </row>
    <row r="10" spans="2:5">
      <c r="B10" s="51" t="s">
        <v>211</v>
      </c>
      <c r="C10" s="52">
        <v>90000000</v>
      </c>
      <c r="D10" s="52">
        <v>70000000</v>
      </c>
      <c r="E10" s="52">
        <v>55000000</v>
      </c>
    </row>
    <row r="11" spans="2:5">
      <c r="B11" s="51" t="s">
        <v>159</v>
      </c>
      <c r="C11" s="53">
        <v>0.08</v>
      </c>
      <c r="D11" s="53">
        <v>0.08</v>
      </c>
      <c r="E11" s="53">
        <v>0.08</v>
      </c>
    </row>
    <row r="12" spans="2:5">
      <c r="B12" s="51" t="s">
        <v>158</v>
      </c>
      <c r="C12" s="52">
        <v>17500000</v>
      </c>
      <c r="D12" s="52">
        <v>13000000</v>
      </c>
      <c r="E12" s="52">
        <v>10000000</v>
      </c>
    </row>
    <row r="13" spans="2:5">
      <c r="B13" s="51" t="s">
        <v>157</v>
      </c>
      <c r="C13" s="13">
        <v>0.98</v>
      </c>
      <c r="D13" s="13">
        <v>0.98</v>
      </c>
      <c r="E13" s="13">
        <v>0.98</v>
      </c>
    </row>
    <row r="15" spans="2:5">
      <c r="B15" s="72" t="s">
        <v>212</v>
      </c>
    </row>
    <row r="16" spans="2:5">
      <c r="B16" s="50" t="s">
        <v>156</v>
      </c>
    </row>
    <row r="17" spans="2:13">
      <c r="B17" s="50" t="s">
        <v>155</v>
      </c>
    </row>
    <row r="18" spans="2:13">
      <c r="B18" s="50" t="s">
        <v>338</v>
      </c>
    </row>
    <row r="20" spans="2:13">
      <c r="B20" s="49" t="s">
        <v>154</v>
      </c>
    </row>
    <row r="21" spans="2:13">
      <c r="B21" s="48"/>
      <c r="C21" s="47"/>
      <c r="D21" s="47"/>
      <c r="E21" s="47"/>
    </row>
    <row r="22" spans="2:13">
      <c r="B22" s="40" t="s">
        <v>153</v>
      </c>
      <c r="C22" s="45" t="s">
        <v>333</v>
      </c>
      <c r="D22" s="45" t="s">
        <v>142</v>
      </c>
      <c r="E22" s="45" t="s">
        <v>141</v>
      </c>
      <c r="F22" s="45" t="s">
        <v>140</v>
      </c>
      <c r="G22" s="45" t="s">
        <v>12</v>
      </c>
      <c r="H22" s="45" t="s">
        <v>13</v>
      </c>
      <c r="I22" s="45" t="s">
        <v>14</v>
      </c>
      <c r="J22" s="45" t="s">
        <v>15</v>
      </c>
      <c r="K22" s="45" t="s">
        <v>139</v>
      </c>
      <c r="L22" s="45" t="s">
        <v>138</v>
      </c>
      <c r="M22" s="45" t="s">
        <v>137</v>
      </c>
    </row>
    <row r="23" spans="2:13">
      <c r="B23" s="43" t="s">
        <v>150</v>
      </c>
      <c r="C23" s="44">
        <v>50000</v>
      </c>
      <c r="D23" s="44">
        <v>53250</v>
      </c>
      <c r="E23" s="44">
        <v>55901.25</v>
      </c>
      <c r="F23" s="44">
        <v>58574.081250000003</v>
      </c>
      <c r="G23" s="44">
        <v>61272.328781250006</v>
      </c>
      <c r="H23" s="44">
        <v>63999.767358281257</v>
      </c>
      <c r="I23" s="44">
        <v>66760.119313375792</v>
      </c>
      <c r="J23" s="44">
        <v>69557.062085734113</v>
      </c>
      <c r="K23" s="44">
        <v>72394.235485650555</v>
      </c>
      <c r="L23" s="44">
        <v>75275.248703010555</v>
      </c>
      <c r="M23" s="44">
        <v>78203.68707848787</v>
      </c>
    </row>
    <row r="24" spans="2:13">
      <c r="B24" s="43" t="s">
        <v>149</v>
      </c>
      <c r="C24" s="44"/>
      <c r="D24" s="44">
        <v>6000</v>
      </c>
      <c r="E24" s="44">
        <v>6180</v>
      </c>
      <c r="F24" s="44">
        <v>6365.4000000000005</v>
      </c>
      <c r="G24" s="44">
        <v>6556.362000000001</v>
      </c>
      <c r="H24" s="44">
        <v>6753.0528600000016</v>
      </c>
      <c r="I24" s="44">
        <v>6955.6444458000014</v>
      </c>
      <c r="J24" s="44">
        <v>7164.3137791740019</v>
      </c>
      <c r="K24" s="44">
        <v>7379.2431925492219</v>
      </c>
      <c r="L24" s="44">
        <v>7600.6204883256987</v>
      </c>
      <c r="M24" s="44">
        <v>7828.6391029754695</v>
      </c>
    </row>
    <row r="25" spans="2:13">
      <c r="B25" s="43" t="s">
        <v>148</v>
      </c>
      <c r="C25" s="43"/>
      <c r="D25" s="44">
        <v>250</v>
      </c>
      <c r="E25" s="44">
        <v>266.25</v>
      </c>
      <c r="F25" s="44">
        <v>279.50625000000002</v>
      </c>
      <c r="G25" s="44">
        <v>292.87040625000003</v>
      </c>
      <c r="H25" s="44">
        <v>306.36164390625004</v>
      </c>
      <c r="I25" s="44">
        <v>319.99883679140629</v>
      </c>
      <c r="J25" s="44">
        <v>333.80059656687894</v>
      </c>
      <c r="K25" s="44">
        <v>347.78531042867058</v>
      </c>
      <c r="L25" s="44">
        <v>361.97117742825276</v>
      </c>
      <c r="M25" s="44">
        <v>376.37624351505281</v>
      </c>
    </row>
    <row r="26" spans="2:13">
      <c r="B26" s="43" t="s">
        <v>147</v>
      </c>
      <c r="C26" s="43"/>
      <c r="D26" s="44">
        <v>2500</v>
      </c>
      <c r="E26" s="44">
        <v>3262.5</v>
      </c>
      <c r="F26" s="44">
        <v>3413.0625</v>
      </c>
      <c r="G26" s="44">
        <v>3565.2440625000004</v>
      </c>
      <c r="H26" s="44">
        <v>3719.2526390625007</v>
      </c>
      <c r="I26" s="44">
        <v>3875.2936539140628</v>
      </c>
      <c r="J26" s="44">
        <v>4033.5704102487898</v>
      </c>
      <c r="K26" s="44">
        <v>4194.2844822041061</v>
      </c>
      <c r="L26" s="44">
        <v>4357.6360935374505</v>
      </c>
      <c r="M26" s="44">
        <v>4523.8244839830977</v>
      </c>
    </row>
    <row r="27" spans="2:13">
      <c r="B27" s="43" t="s">
        <v>146</v>
      </c>
      <c r="C27" s="42">
        <v>750000000</v>
      </c>
      <c r="D27" s="42">
        <v>798750000</v>
      </c>
      <c r="E27" s="42">
        <v>838518750</v>
      </c>
      <c r="F27" s="42">
        <v>878611218.75</v>
      </c>
      <c r="G27" s="42">
        <v>919084931.71875012</v>
      </c>
      <c r="H27" s="42">
        <v>959996510.37421882</v>
      </c>
      <c r="I27" s="42">
        <v>1001401789.7006369</v>
      </c>
      <c r="J27" s="42">
        <v>1043355931.2860117</v>
      </c>
      <c r="K27" s="42">
        <v>1085913532.2847583</v>
      </c>
      <c r="L27" s="42">
        <v>1129128730.5451584</v>
      </c>
      <c r="M27" s="42">
        <v>1173055306.1773181</v>
      </c>
    </row>
    <row r="28" spans="2:13">
      <c r="B28" s="43" t="s">
        <v>145</v>
      </c>
      <c r="C28" s="42"/>
      <c r="D28" s="42">
        <v>90000000</v>
      </c>
      <c r="E28" s="42">
        <v>92700000</v>
      </c>
      <c r="F28" s="42">
        <v>95481000.000000015</v>
      </c>
      <c r="G28" s="42">
        <v>98345430.000000015</v>
      </c>
      <c r="H28" s="42">
        <v>101295792.90000002</v>
      </c>
      <c r="I28" s="42">
        <v>104334666.68700002</v>
      </c>
      <c r="J28" s="42">
        <v>107464706.68761003</v>
      </c>
      <c r="K28" s="42">
        <v>110688647.88823833</v>
      </c>
      <c r="L28" s="42">
        <v>114009307.32488549</v>
      </c>
      <c r="M28" s="42">
        <v>117429586.54463205</v>
      </c>
    </row>
    <row r="29" spans="2:13">
      <c r="B29" s="43" t="s">
        <v>144</v>
      </c>
      <c r="C29" s="42"/>
      <c r="D29" s="42">
        <v>3750000</v>
      </c>
      <c r="E29" s="42">
        <v>3993750</v>
      </c>
      <c r="F29" s="42">
        <v>4192593.7500000005</v>
      </c>
      <c r="G29" s="42">
        <v>4393056.09375</v>
      </c>
      <c r="H29" s="42">
        <v>4595424.6585937506</v>
      </c>
      <c r="I29" s="42">
        <v>4799982.5518710939</v>
      </c>
      <c r="J29" s="42">
        <v>5007008.9485031841</v>
      </c>
      <c r="K29" s="42">
        <v>5216779.6564300591</v>
      </c>
      <c r="L29" s="42">
        <v>5429567.6614237912</v>
      </c>
      <c r="M29" s="42">
        <v>5645643.6527257925</v>
      </c>
    </row>
    <row r="30" spans="2:13">
      <c r="B30" s="43" t="s">
        <v>143</v>
      </c>
      <c r="C30" s="42"/>
      <c r="D30" s="42">
        <v>37500000</v>
      </c>
      <c r="E30" s="42">
        <v>48937500</v>
      </c>
      <c r="F30" s="42">
        <v>51195937.5</v>
      </c>
      <c r="G30" s="42">
        <v>53478660.937500007</v>
      </c>
      <c r="H30" s="42">
        <v>55788789.585937515</v>
      </c>
      <c r="I30" s="42">
        <v>58129404.80871094</v>
      </c>
      <c r="J30" s="42">
        <v>60503556.153731845</v>
      </c>
      <c r="K30" s="42">
        <v>62914267.233061589</v>
      </c>
      <c r="L30" s="42">
        <v>65364541.403061755</v>
      </c>
      <c r="M30" s="42">
        <v>67857367.259746462</v>
      </c>
    </row>
    <row r="31" spans="2:13">
      <c r="B31" s="46"/>
    </row>
    <row r="32" spans="2:13">
      <c r="B32" s="40" t="s">
        <v>152</v>
      </c>
      <c r="C32" s="45" t="s">
        <v>333</v>
      </c>
      <c r="D32" s="45" t="s">
        <v>142</v>
      </c>
      <c r="E32" s="45" t="s">
        <v>141</v>
      </c>
      <c r="F32" s="45" t="s">
        <v>140</v>
      </c>
      <c r="G32" s="45" t="s">
        <v>12</v>
      </c>
      <c r="H32" s="45" t="s">
        <v>13</v>
      </c>
      <c r="I32" s="45" t="s">
        <v>14</v>
      </c>
      <c r="J32" s="45" t="s">
        <v>15</v>
      </c>
      <c r="K32" s="45" t="s">
        <v>139</v>
      </c>
      <c r="L32" s="45" t="s">
        <v>138</v>
      </c>
      <c r="M32" s="45" t="s">
        <v>137</v>
      </c>
    </row>
    <row r="33" spans="2:13">
      <c r="B33" s="43" t="s">
        <v>150</v>
      </c>
      <c r="C33" s="44">
        <v>50000</v>
      </c>
      <c r="D33" s="44">
        <v>51950</v>
      </c>
      <c r="E33" s="44">
        <v>53053.85</v>
      </c>
      <c r="F33" s="44">
        <v>54123.743549999999</v>
      </c>
      <c r="G33" s="44">
        <v>55162.805696650001</v>
      </c>
      <c r="H33" s="44">
        <v>56173.925962007947</v>
      </c>
      <c r="I33" s="44">
        <v>57159.776529973329</v>
      </c>
      <c r="J33" s="44">
        <v>58122.829032875787</v>
      </c>
      <c r="K33" s="44">
        <v>59065.370046011856</v>
      </c>
      <c r="L33" s="44">
        <v>59989.51538962312</v>
      </c>
      <c r="M33" s="44">
        <v>60897.223330147863</v>
      </c>
    </row>
    <row r="34" spans="2:13">
      <c r="B34" s="43" t="s">
        <v>149</v>
      </c>
      <c r="C34" s="44"/>
      <c r="D34" s="44">
        <v>5800</v>
      </c>
      <c r="E34" s="44">
        <v>5858</v>
      </c>
      <c r="F34" s="44">
        <v>5916.58</v>
      </c>
      <c r="G34" s="44">
        <v>5975.7457999999997</v>
      </c>
      <c r="H34" s="44">
        <v>6035.5032579999997</v>
      </c>
      <c r="I34" s="44">
        <v>6095.8582905799994</v>
      </c>
      <c r="J34" s="44">
        <v>6156.8168734857991</v>
      </c>
      <c r="K34" s="44">
        <v>6218.3850422206569</v>
      </c>
      <c r="L34" s="44">
        <v>6280.5688926428638</v>
      </c>
      <c r="M34" s="44">
        <v>6343.3745815692928</v>
      </c>
    </row>
    <row r="35" spans="2:13">
      <c r="B35" s="43" t="s">
        <v>148</v>
      </c>
      <c r="C35" s="43"/>
      <c r="D35" s="44">
        <v>350</v>
      </c>
      <c r="E35" s="44">
        <v>363.65000000000003</v>
      </c>
      <c r="F35" s="44">
        <v>371.37695000000002</v>
      </c>
      <c r="G35" s="44">
        <v>378.86620484999997</v>
      </c>
      <c r="H35" s="44">
        <v>386.13963987655001</v>
      </c>
      <c r="I35" s="44">
        <v>393.21748173405564</v>
      </c>
      <c r="J35" s="44">
        <v>400.1184357098133</v>
      </c>
      <c r="K35" s="44">
        <v>406.85980323013052</v>
      </c>
      <c r="L35" s="44">
        <v>413.45759032208298</v>
      </c>
      <c r="M35" s="44">
        <v>419.92660772736184</v>
      </c>
    </row>
    <row r="36" spans="2:13">
      <c r="B36" s="43" t="s">
        <v>147</v>
      </c>
      <c r="C36" s="43"/>
      <c r="D36" s="44">
        <v>3500.0000000000005</v>
      </c>
      <c r="E36" s="44">
        <v>4390.5</v>
      </c>
      <c r="F36" s="44">
        <v>4475.3095000000003</v>
      </c>
      <c r="G36" s="44">
        <v>4557.8174485</v>
      </c>
      <c r="H36" s="44">
        <v>4638.2433527655012</v>
      </c>
      <c r="I36" s="44">
        <v>4716.7902408805567</v>
      </c>
      <c r="J36" s="44">
        <v>4793.6459348735334</v>
      </c>
      <c r="K36" s="44">
        <v>4868.9842258544595</v>
      </c>
      <c r="L36" s="44">
        <v>4942.9659587095157</v>
      </c>
      <c r="M36" s="44">
        <v>5015.7400333171918</v>
      </c>
    </row>
    <row r="37" spans="2:13">
      <c r="B37" s="43" t="s">
        <v>146</v>
      </c>
      <c r="C37" s="42">
        <v>750000000</v>
      </c>
      <c r="D37" s="42">
        <v>779250000</v>
      </c>
      <c r="E37" s="42">
        <v>795807750</v>
      </c>
      <c r="F37" s="42">
        <v>811856153.25</v>
      </c>
      <c r="G37" s="42">
        <v>827442085.44975007</v>
      </c>
      <c r="H37" s="42">
        <v>842608889.43011916</v>
      </c>
      <c r="I37" s="42">
        <v>857396647.94959998</v>
      </c>
      <c r="J37" s="42">
        <v>871842435.49313676</v>
      </c>
      <c r="K37" s="42">
        <v>885980550.6901778</v>
      </c>
      <c r="L37" s="42">
        <v>899842730.84434676</v>
      </c>
      <c r="M37" s="42">
        <v>913458349.95221794</v>
      </c>
    </row>
    <row r="38" spans="2:13">
      <c r="B38" s="43" t="s">
        <v>145</v>
      </c>
      <c r="C38" s="42"/>
      <c r="D38" s="42">
        <v>87000000</v>
      </c>
      <c r="E38" s="42">
        <v>87870000</v>
      </c>
      <c r="F38" s="42">
        <v>88748700</v>
      </c>
      <c r="G38" s="42">
        <v>89636187</v>
      </c>
      <c r="H38" s="42">
        <v>90532548.86999999</v>
      </c>
      <c r="I38" s="42">
        <v>91437874.358699992</v>
      </c>
      <c r="J38" s="42">
        <v>92352253.10228698</v>
      </c>
      <c r="K38" s="42">
        <v>93275775.633309856</v>
      </c>
      <c r="L38" s="42">
        <v>94208533.389642954</v>
      </c>
      <c r="M38" s="42">
        <v>95150618.723539397</v>
      </c>
    </row>
    <row r="39" spans="2:13">
      <c r="B39" s="43" t="s">
        <v>144</v>
      </c>
      <c r="C39" s="42"/>
      <c r="D39" s="42">
        <v>5250000</v>
      </c>
      <c r="E39" s="42">
        <v>5454750.0000000009</v>
      </c>
      <c r="F39" s="42">
        <v>5570654.25</v>
      </c>
      <c r="G39" s="42">
        <v>5682993.0727499994</v>
      </c>
      <c r="H39" s="42">
        <v>5792094.59814825</v>
      </c>
      <c r="I39" s="42">
        <v>5898262.2260108348</v>
      </c>
      <c r="J39" s="42">
        <v>6001776.5356471995</v>
      </c>
      <c r="K39" s="42">
        <v>6102897.0484519582</v>
      </c>
      <c r="L39" s="42">
        <v>6201863.8548312448</v>
      </c>
      <c r="M39" s="42">
        <v>6298899.1159104276</v>
      </c>
    </row>
    <row r="40" spans="2:13">
      <c r="B40" s="43" t="s">
        <v>143</v>
      </c>
      <c r="C40" s="42"/>
      <c r="D40" s="42">
        <v>52500000.000000007</v>
      </c>
      <c r="E40" s="42">
        <v>65857500</v>
      </c>
      <c r="F40" s="42">
        <v>67129642.5</v>
      </c>
      <c r="G40" s="42">
        <v>68367261.727500007</v>
      </c>
      <c r="H40" s="42">
        <v>69573650.291482523</v>
      </c>
      <c r="I40" s="42">
        <v>70751853.613208354</v>
      </c>
      <c r="J40" s="42">
        <v>71904689.023102999</v>
      </c>
      <c r="K40" s="42">
        <v>73034763.387816891</v>
      </c>
      <c r="L40" s="42">
        <v>74144489.380642742</v>
      </c>
      <c r="M40" s="42">
        <v>75236100.499757871</v>
      </c>
    </row>
    <row r="41" spans="2:13">
      <c r="B41" s="46"/>
    </row>
    <row r="42" spans="2:13">
      <c r="B42" s="40" t="s">
        <v>151</v>
      </c>
      <c r="C42" s="45" t="s">
        <v>333</v>
      </c>
      <c r="D42" s="45" t="s">
        <v>142</v>
      </c>
      <c r="E42" s="45" t="s">
        <v>141</v>
      </c>
      <c r="F42" s="45" t="s">
        <v>140</v>
      </c>
      <c r="G42" s="45" t="s">
        <v>12</v>
      </c>
      <c r="H42" s="45" t="s">
        <v>13</v>
      </c>
      <c r="I42" s="45" t="s">
        <v>14</v>
      </c>
      <c r="J42" s="45" t="s">
        <v>15</v>
      </c>
      <c r="K42" s="45" t="s">
        <v>139</v>
      </c>
      <c r="L42" s="45" t="s">
        <v>138</v>
      </c>
      <c r="M42" s="45" t="s">
        <v>137</v>
      </c>
    </row>
    <row r="43" spans="2:13">
      <c r="B43" s="43" t="s">
        <v>150</v>
      </c>
      <c r="C43" s="44">
        <v>50000</v>
      </c>
      <c r="D43" s="44">
        <v>51250</v>
      </c>
      <c r="E43" s="44">
        <v>50826.25</v>
      </c>
      <c r="F43" s="44">
        <v>50399.193750000006</v>
      </c>
      <c r="G43" s="44">
        <v>49969.505531250004</v>
      </c>
      <c r="H43" s="44">
        <v>49537.798378593754</v>
      </c>
      <c r="I43" s="44">
        <v>49104.629325738286</v>
      </c>
      <c r="J43" s="44">
        <v>48670.504204282275</v>
      </c>
      <c r="K43" s="44">
        <v>48235.882034437716</v>
      </c>
      <c r="L43" s="44">
        <v>47801.179042154748</v>
      </c>
      <c r="M43" s="44">
        <v>47366.772334409397</v>
      </c>
    </row>
    <row r="44" spans="2:13">
      <c r="B44" s="43" t="s">
        <v>149</v>
      </c>
      <c r="C44" s="44"/>
      <c r="D44" s="44">
        <v>5500</v>
      </c>
      <c r="E44" s="44">
        <v>5445</v>
      </c>
      <c r="F44" s="44">
        <v>5390.55</v>
      </c>
      <c r="G44" s="44">
        <v>5336.6445000000003</v>
      </c>
      <c r="H44" s="44">
        <v>5283.2780550000007</v>
      </c>
      <c r="I44" s="44">
        <v>5230.4452744500004</v>
      </c>
      <c r="J44" s="44">
        <v>5178.1408217055005</v>
      </c>
      <c r="K44" s="44">
        <v>5126.3594134884452</v>
      </c>
      <c r="L44" s="44">
        <v>5075.0958193535607</v>
      </c>
      <c r="M44" s="44">
        <v>5024.3448611600252</v>
      </c>
    </row>
    <row r="45" spans="2:13">
      <c r="B45" s="43" t="s">
        <v>148</v>
      </c>
      <c r="C45" s="43"/>
      <c r="D45" s="44">
        <v>500</v>
      </c>
      <c r="E45" s="44">
        <v>512.5</v>
      </c>
      <c r="F45" s="44">
        <v>508.26249999999999</v>
      </c>
      <c r="G45" s="44">
        <v>503.99193750000006</v>
      </c>
      <c r="H45" s="44">
        <v>499.69505531250007</v>
      </c>
      <c r="I45" s="44">
        <v>495.37798378593754</v>
      </c>
      <c r="J45" s="44">
        <v>491.04629325738284</v>
      </c>
      <c r="K45" s="44">
        <v>486.70504204282275</v>
      </c>
      <c r="L45" s="44">
        <v>482.35882034437719</v>
      </c>
      <c r="M45" s="44">
        <v>478.01179042154752</v>
      </c>
    </row>
    <row r="46" spans="2:13">
      <c r="B46" s="43" t="s">
        <v>147</v>
      </c>
      <c r="C46" s="43"/>
      <c r="D46" s="44">
        <v>3750</v>
      </c>
      <c r="E46" s="44">
        <v>5356.25</v>
      </c>
      <c r="F46" s="44">
        <v>5309.34375</v>
      </c>
      <c r="G46" s="44">
        <v>5262.34078125</v>
      </c>
      <c r="H46" s="44">
        <v>5215.2901523437504</v>
      </c>
      <c r="I46" s="44">
        <v>5168.2363435195311</v>
      </c>
      <c r="J46" s="44">
        <v>5121.2196499041211</v>
      </c>
      <c r="K46" s="44">
        <v>5074.2765412901826</v>
      </c>
      <c r="L46" s="44">
        <v>5027.4399912921508</v>
      </c>
      <c r="M46" s="44">
        <v>4980.7397784838349</v>
      </c>
    </row>
    <row r="47" spans="2:13">
      <c r="B47" s="43" t="s">
        <v>146</v>
      </c>
      <c r="C47" s="42">
        <v>750000000</v>
      </c>
      <c r="D47" s="42">
        <v>768750000</v>
      </c>
      <c r="E47" s="42">
        <v>762393750</v>
      </c>
      <c r="F47" s="42">
        <v>755987906.25000012</v>
      </c>
      <c r="G47" s="42">
        <v>749542582.96875012</v>
      </c>
      <c r="H47" s="42">
        <v>743066975.67890632</v>
      </c>
      <c r="I47" s="42">
        <v>736569439.8860743</v>
      </c>
      <c r="J47" s="42">
        <v>730057563.06423414</v>
      </c>
      <c r="K47" s="42">
        <v>723538230.5165658</v>
      </c>
      <c r="L47" s="42">
        <v>717017685.63232124</v>
      </c>
      <c r="M47" s="42">
        <v>710501585.01614094</v>
      </c>
    </row>
    <row r="48" spans="2:13">
      <c r="B48" s="43" t="s">
        <v>145</v>
      </c>
      <c r="C48" s="42"/>
      <c r="D48" s="42">
        <v>82500000</v>
      </c>
      <c r="E48" s="42">
        <v>81675000</v>
      </c>
      <c r="F48" s="42">
        <v>80858250</v>
      </c>
      <c r="G48" s="42">
        <v>80049667.5</v>
      </c>
      <c r="H48" s="42">
        <v>79249170.825000003</v>
      </c>
      <c r="I48" s="42">
        <v>78456679.116750002</v>
      </c>
      <c r="J48" s="42">
        <v>77672112.325582504</v>
      </c>
      <c r="K48" s="42">
        <v>76895391.20232667</v>
      </c>
      <c r="L48" s="42">
        <v>76126437.290303409</v>
      </c>
      <c r="M48" s="42">
        <v>75365172.917400375</v>
      </c>
    </row>
    <row r="49" spans="2:13">
      <c r="B49" s="43" t="s">
        <v>144</v>
      </c>
      <c r="C49" s="42"/>
      <c r="D49" s="42">
        <v>7500000</v>
      </c>
      <c r="E49" s="42">
        <v>7687500</v>
      </c>
      <c r="F49" s="42">
        <v>7623937.5</v>
      </c>
      <c r="G49" s="42">
        <v>7559879.0625000009</v>
      </c>
      <c r="H49" s="42">
        <v>7495425.8296875013</v>
      </c>
      <c r="I49" s="42">
        <v>7430669.7567890631</v>
      </c>
      <c r="J49" s="42">
        <v>7365694.3988607423</v>
      </c>
      <c r="K49" s="42">
        <v>7300575.6306423414</v>
      </c>
      <c r="L49" s="42">
        <v>7235382.3051656578</v>
      </c>
      <c r="M49" s="42">
        <v>7170176.8563232124</v>
      </c>
    </row>
    <row r="50" spans="2:13">
      <c r="B50" s="43" t="s">
        <v>143</v>
      </c>
      <c r="C50" s="42"/>
      <c r="D50" s="42">
        <v>56250000</v>
      </c>
      <c r="E50" s="42">
        <v>80343750</v>
      </c>
      <c r="F50" s="42">
        <v>79640156.25</v>
      </c>
      <c r="G50" s="42">
        <v>78935111.71875</v>
      </c>
      <c r="H50" s="42">
        <v>78229352.28515625</v>
      </c>
      <c r="I50" s="42">
        <v>77523545.15279296</v>
      </c>
      <c r="J50" s="42">
        <v>76818294.748561814</v>
      </c>
      <c r="K50" s="42">
        <v>76114148.119352743</v>
      </c>
      <c r="L50" s="42">
        <v>75411599.869382262</v>
      </c>
      <c r="M50" s="42">
        <v>74711096.677257523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AD85-6171-42C3-9DBB-3A864982610B}">
  <dimension ref="B2:D6"/>
  <sheetViews>
    <sheetView zoomScale="85" zoomScaleNormal="85" workbookViewId="0">
      <selection activeCell="C19" sqref="C19"/>
    </sheetView>
  </sheetViews>
  <sheetFormatPr baseColWidth="10" defaultColWidth="9.1796875" defaultRowHeight="14.5"/>
  <cols>
    <col min="2" max="2" width="35" bestFit="1" customWidth="1"/>
    <col min="3" max="3" width="11.54296875" bestFit="1" customWidth="1"/>
    <col min="4" max="4" width="28" bestFit="1" customWidth="1"/>
  </cols>
  <sheetData>
    <row r="2" spans="2:4" ht="15.5">
      <c r="B2" s="32" t="s">
        <v>132</v>
      </c>
      <c r="C2" s="61">
        <v>0.12</v>
      </c>
      <c r="D2" s="14" t="s">
        <v>168</v>
      </c>
    </row>
    <row r="3" spans="2:4" ht="15.5">
      <c r="B3" s="32" t="s">
        <v>131</v>
      </c>
      <c r="C3" s="33">
        <v>0</v>
      </c>
      <c r="D3" s="14"/>
    </row>
    <row r="4" spans="2:4" ht="15.5">
      <c r="B4" s="32" t="s">
        <v>130</v>
      </c>
      <c r="C4" s="61">
        <v>0.1</v>
      </c>
      <c r="D4" s="14" t="s">
        <v>167</v>
      </c>
    </row>
    <row r="5" spans="2:4" ht="15.5">
      <c r="B5" s="32" t="s">
        <v>129</v>
      </c>
      <c r="C5" s="33">
        <v>2000000</v>
      </c>
      <c r="D5" s="14" t="s">
        <v>166</v>
      </c>
    </row>
    <row r="6" spans="2:4" ht="15.5">
      <c r="B6" s="32" t="s">
        <v>335</v>
      </c>
      <c r="C6" s="33">
        <v>0</v>
      </c>
      <c r="D6" s="1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B6616-89B9-41E4-A798-A3050E9B2B99}">
  <dimension ref="A2:S100"/>
  <sheetViews>
    <sheetView topLeftCell="G1" zoomScale="85" zoomScaleNormal="85" workbookViewId="0">
      <selection activeCell="S15" sqref="S15"/>
    </sheetView>
  </sheetViews>
  <sheetFormatPr baseColWidth="10" defaultRowHeight="14.5"/>
  <cols>
    <col min="2" max="2" width="60.1796875" customWidth="1"/>
    <col min="3" max="5" width="12.7265625" bestFit="1" customWidth="1"/>
    <col min="7" max="7" width="26.453125" bestFit="1" customWidth="1"/>
    <col min="8" max="13" width="13.54296875" bestFit="1" customWidth="1"/>
    <col min="14" max="18" width="15.1796875" bestFit="1" customWidth="1"/>
    <col min="19" max="19" width="7.453125" bestFit="1" customWidth="1"/>
  </cols>
  <sheetData>
    <row r="2" spans="1:19">
      <c r="G2" s="237" t="s">
        <v>153</v>
      </c>
    </row>
    <row r="3" spans="1:19" ht="15.5">
      <c r="A3" s="238"/>
    </row>
    <row r="4" spans="1:19">
      <c r="G4" s="233"/>
      <c r="H4" s="235" t="s">
        <v>333</v>
      </c>
      <c r="I4" s="235" t="s">
        <v>466</v>
      </c>
      <c r="J4" s="235" t="s">
        <v>465</v>
      </c>
      <c r="K4" s="235" t="s">
        <v>464</v>
      </c>
      <c r="L4" s="235" t="s">
        <v>463</v>
      </c>
      <c r="M4" s="235" t="s">
        <v>462</v>
      </c>
      <c r="N4" s="235" t="s">
        <v>461</v>
      </c>
      <c r="O4" s="235" t="s">
        <v>460</v>
      </c>
      <c r="P4" s="235" t="s">
        <v>459</v>
      </c>
      <c r="Q4" s="235" t="s">
        <v>458</v>
      </c>
      <c r="R4" s="234" t="s">
        <v>457</v>
      </c>
    </row>
    <row r="5" spans="1:19">
      <c r="G5" s="227" t="s">
        <v>150</v>
      </c>
      <c r="H5" s="229">
        <v>50000</v>
      </c>
      <c r="I5" s="229">
        <v>53250</v>
      </c>
      <c r="J5" s="229">
        <v>55901.25</v>
      </c>
      <c r="K5" s="229">
        <v>58574.081250000003</v>
      </c>
      <c r="L5" s="229">
        <v>61272.328781250006</v>
      </c>
      <c r="M5" s="229">
        <v>63999.767358281257</v>
      </c>
      <c r="N5" s="229">
        <v>66760.119313375792</v>
      </c>
      <c r="O5" s="229">
        <v>69557.062085734113</v>
      </c>
      <c r="P5" s="229">
        <v>72394.235485650555</v>
      </c>
      <c r="Q5" s="229">
        <v>75275.248703010555</v>
      </c>
      <c r="R5" s="228">
        <v>78203.68707848787</v>
      </c>
    </row>
    <row r="6" spans="1:19">
      <c r="G6" s="227" t="s">
        <v>149</v>
      </c>
      <c r="H6" s="229"/>
      <c r="I6" s="229">
        <v>6000</v>
      </c>
      <c r="J6" s="229">
        <v>6180</v>
      </c>
      <c r="K6" s="229">
        <v>6365.4000000000005</v>
      </c>
      <c r="L6" s="229">
        <v>6556.362000000001</v>
      </c>
      <c r="M6" s="229">
        <v>6753.0528600000016</v>
      </c>
      <c r="N6" s="229">
        <v>6955.6444458000014</v>
      </c>
      <c r="O6" s="229">
        <v>7164.3137791740019</v>
      </c>
      <c r="P6" s="229">
        <v>7379.2431925492219</v>
      </c>
      <c r="Q6" s="229">
        <v>7600.6204883256987</v>
      </c>
      <c r="R6" s="228">
        <v>7828.6391029754695</v>
      </c>
    </row>
    <row r="7" spans="1:19">
      <c r="G7" s="227" t="s">
        <v>148</v>
      </c>
      <c r="H7" s="230"/>
      <c r="I7" s="229">
        <v>250</v>
      </c>
      <c r="J7" s="229">
        <v>266.25</v>
      </c>
      <c r="K7" s="229">
        <v>279.50625000000002</v>
      </c>
      <c r="L7" s="229">
        <v>292.87040625000003</v>
      </c>
      <c r="M7" s="229">
        <v>306.36164390625004</v>
      </c>
      <c r="N7" s="229">
        <v>319.99883679140629</v>
      </c>
      <c r="O7" s="229">
        <v>333.80059656687894</v>
      </c>
      <c r="P7" s="229">
        <v>347.78531042867058</v>
      </c>
      <c r="Q7" s="229">
        <v>361.97117742825276</v>
      </c>
      <c r="R7" s="228">
        <v>376.37624351505281</v>
      </c>
    </row>
    <row r="8" spans="1:19">
      <c r="G8" s="227" t="s">
        <v>147</v>
      </c>
      <c r="H8" s="230"/>
      <c r="I8" s="229">
        <v>2500</v>
      </c>
      <c r="J8" s="229">
        <v>3262.5</v>
      </c>
      <c r="K8" s="229">
        <v>3413.0625</v>
      </c>
      <c r="L8" s="229">
        <v>3565.2440625000004</v>
      </c>
      <c r="M8" s="229">
        <v>3719.2526390625007</v>
      </c>
      <c r="N8" s="229">
        <v>3875.2936539140628</v>
      </c>
      <c r="O8" s="229">
        <v>4033.5704102487898</v>
      </c>
      <c r="P8" s="229">
        <v>4194.2844822041061</v>
      </c>
      <c r="Q8" s="229">
        <v>4357.6360935374505</v>
      </c>
      <c r="R8" s="228">
        <v>4523.8244839830977</v>
      </c>
    </row>
    <row r="9" spans="1:19" ht="15.5">
      <c r="A9" s="238"/>
      <c r="G9" s="227" t="s">
        <v>146</v>
      </c>
      <c r="H9" s="226">
        <v>750000000</v>
      </c>
      <c r="I9" s="226">
        <v>798750000</v>
      </c>
      <c r="J9" s="226">
        <v>838518750</v>
      </c>
      <c r="K9" s="226">
        <v>878611218.75</v>
      </c>
      <c r="L9" s="226">
        <v>919084931.71875012</v>
      </c>
      <c r="M9" s="226">
        <v>959996510.37421882</v>
      </c>
      <c r="N9" s="226">
        <v>1001401789.7006369</v>
      </c>
      <c r="O9" s="226">
        <v>1043355931.2860117</v>
      </c>
      <c r="P9" s="226">
        <v>1085913532.2847583</v>
      </c>
      <c r="Q9" s="226">
        <v>1129128730.5451584</v>
      </c>
      <c r="R9" s="225">
        <v>1173055306.1773181</v>
      </c>
    </row>
    <row r="10" spans="1:19" ht="31">
      <c r="A10" s="238"/>
      <c r="B10" s="255"/>
      <c r="C10" s="254" t="s">
        <v>153</v>
      </c>
      <c r="D10" s="254" t="s">
        <v>152</v>
      </c>
      <c r="E10" s="254" t="s">
        <v>151</v>
      </c>
      <c r="G10" s="227" t="s">
        <v>145</v>
      </c>
      <c r="H10" s="226"/>
      <c r="I10" s="226">
        <v>90000000</v>
      </c>
      <c r="J10" s="226">
        <v>92700000</v>
      </c>
      <c r="K10" s="226">
        <v>95481000.000000015</v>
      </c>
      <c r="L10" s="226">
        <v>98345430.000000015</v>
      </c>
      <c r="M10" s="226">
        <v>101295792.90000002</v>
      </c>
      <c r="N10" s="226">
        <v>104334666.68700002</v>
      </c>
      <c r="O10" s="226">
        <v>107464706.68761003</v>
      </c>
      <c r="P10" s="226">
        <v>110688647.88823833</v>
      </c>
      <c r="Q10" s="226">
        <v>114009307.32488549</v>
      </c>
      <c r="R10" s="225">
        <v>117429586.54463205</v>
      </c>
    </row>
    <row r="11" spans="1:19" ht="15.5">
      <c r="B11" s="131" t="s">
        <v>165</v>
      </c>
      <c r="C11" s="253">
        <v>2.5000000000000001E-2</v>
      </c>
      <c r="D11" s="253">
        <v>0</v>
      </c>
      <c r="E11" s="253">
        <v>-0.02</v>
      </c>
      <c r="G11" s="227" t="s">
        <v>144</v>
      </c>
      <c r="H11" s="226"/>
      <c r="I11" s="226">
        <v>3750000</v>
      </c>
      <c r="J11" s="226">
        <v>3993750</v>
      </c>
      <c r="K11" s="226">
        <v>4192593.7500000005</v>
      </c>
      <c r="L11" s="226">
        <v>4393056.09375</v>
      </c>
      <c r="M11" s="226">
        <v>4595424.6585937506</v>
      </c>
      <c r="N11" s="226">
        <v>4799982.5518710939</v>
      </c>
      <c r="O11" s="226">
        <v>5007008.9485031841</v>
      </c>
      <c r="P11" s="226">
        <v>5216779.6564300591</v>
      </c>
      <c r="Q11" s="226">
        <v>5429567.6614237912</v>
      </c>
      <c r="R11" s="225">
        <v>5645643.6527257925</v>
      </c>
    </row>
    <row r="12" spans="1:19" ht="15.5">
      <c r="B12" s="131" t="s">
        <v>164</v>
      </c>
      <c r="C12" s="253">
        <v>0.04</v>
      </c>
      <c r="D12" s="253">
        <v>0.03</v>
      </c>
      <c r="E12" s="253">
        <v>0.01</v>
      </c>
      <c r="G12" s="227" t="s">
        <v>143</v>
      </c>
      <c r="H12" s="226"/>
      <c r="I12" s="226">
        <v>37500000</v>
      </c>
      <c r="J12" s="226">
        <v>48937500</v>
      </c>
      <c r="K12" s="226">
        <v>51195937.5</v>
      </c>
      <c r="L12" s="226">
        <v>53478660.937500007</v>
      </c>
      <c r="M12" s="226">
        <v>55788789.585937515</v>
      </c>
      <c r="N12" s="226">
        <v>58129404.80871094</v>
      </c>
      <c r="O12" s="226">
        <v>60503556.153731845</v>
      </c>
      <c r="P12" s="226">
        <v>62914267.233061589</v>
      </c>
      <c r="Q12" s="226">
        <v>65364541.403061755</v>
      </c>
      <c r="R12" s="225">
        <v>67857367.259746462</v>
      </c>
    </row>
    <row r="13" spans="1:19" ht="15.5">
      <c r="B13" s="131" t="s">
        <v>163</v>
      </c>
      <c r="C13" s="250">
        <v>8</v>
      </c>
      <c r="D13" s="250">
        <v>8</v>
      </c>
      <c r="E13" s="250">
        <v>8</v>
      </c>
      <c r="G13" s="70" t="s">
        <v>456</v>
      </c>
      <c r="H13" s="219">
        <f t="shared" ref="H13:R13" si="0">$C$16*H9/1000</f>
        <v>57750000</v>
      </c>
      <c r="I13" s="219">
        <f t="shared" si="0"/>
        <v>61503750</v>
      </c>
      <c r="J13" s="219">
        <f t="shared" si="0"/>
        <v>64565943.75</v>
      </c>
      <c r="K13" s="219">
        <f t="shared" si="0"/>
        <v>67653063.84375</v>
      </c>
      <c r="L13" s="219">
        <f t="shared" si="0"/>
        <v>70769539.742343768</v>
      </c>
      <c r="M13" s="219">
        <f t="shared" si="0"/>
        <v>73919731.298814848</v>
      </c>
      <c r="N13" s="219">
        <f t="shared" si="0"/>
        <v>77107937.806949034</v>
      </c>
      <c r="O13" s="219">
        <f t="shared" si="0"/>
        <v>80338406.709022909</v>
      </c>
      <c r="P13" s="219">
        <f t="shared" si="0"/>
        <v>83615341.98592639</v>
      </c>
      <c r="Q13" s="219">
        <f t="shared" si="0"/>
        <v>86942912.251977205</v>
      </c>
      <c r="R13" s="218">
        <f t="shared" si="0"/>
        <v>90325258.575653493</v>
      </c>
      <c r="S13" t="s">
        <v>451</v>
      </c>
    </row>
    <row r="14" spans="1:19" ht="15.5">
      <c r="B14" s="131" t="s">
        <v>162</v>
      </c>
      <c r="C14" s="252">
        <v>300000</v>
      </c>
      <c r="D14" s="252">
        <v>334000</v>
      </c>
      <c r="E14" s="252">
        <v>400000</v>
      </c>
      <c r="G14" s="222" t="s">
        <v>455</v>
      </c>
      <c r="R14" s="105"/>
    </row>
    <row r="15" spans="1:19" ht="15.5">
      <c r="B15" s="131" t="s">
        <v>161</v>
      </c>
      <c r="C15" s="251">
        <v>0.65</v>
      </c>
      <c r="D15" s="251">
        <v>0.9</v>
      </c>
      <c r="E15" s="251">
        <v>1.1000000000000001</v>
      </c>
      <c r="G15" s="70" t="s">
        <v>390</v>
      </c>
      <c r="I15" s="219">
        <f t="shared" ref="I15:R15" si="1">H9/1000*$C$13</f>
        <v>6000000</v>
      </c>
      <c r="J15" s="219">
        <f t="shared" si="1"/>
        <v>6390000</v>
      </c>
      <c r="K15" s="219">
        <f t="shared" si="1"/>
        <v>6708150</v>
      </c>
      <c r="L15" s="219">
        <f t="shared" si="1"/>
        <v>7028889.75</v>
      </c>
      <c r="M15" s="219">
        <f t="shared" si="1"/>
        <v>7352679.4537500013</v>
      </c>
      <c r="N15" s="219">
        <f t="shared" si="1"/>
        <v>7679972.0829937505</v>
      </c>
      <c r="O15" s="219">
        <f t="shared" si="1"/>
        <v>8011214.317605095</v>
      </c>
      <c r="P15" s="219">
        <f t="shared" si="1"/>
        <v>8346847.4502880936</v>
      </c>
      <c r="Q15" s="219">
        <f t="shared" si="1"/>
        <v>8687308.2582780663</v>
      </c>
      <c r="R15" s="218">
        <f t="shared" si="1"/>
        <v>9033029.844361268</v>
      </c>
      <c r="S15" t="s">
        <v>451</v>
      </c>
    </row>
    <row r="16" spans="1:19" ht="15.5">
      <c r="B16" s="131" t="s">
        <v>160</v>
      </c>
      <c r="C16" s="250">
        <v>77</v>
      </c>
      <c r="D16" s="250">
        <v>79</v>
      </c>
      <c r="E16" s="250">
        <v>80</v>
      </c>
      <c r="G16" s="70" t="s">
        <v>454</v>
      </c>
      <c r="I16" s="219">
        <f t="shared" ref="I16:R16" si="2">I11</f>
        <v>3750000</v>
      </c>
      <c r="J16" s="219">
        <f t="shared" si="2"/>
        <v>3993750</v>
      </c>
      <c r="K16" s="219">
        <f t="shared" si="2"/>
        <v>4192593.7500000005</v>
      </c>
      <c r="L16" s="219">
        <f t="shared" si="2"/>
        <v>4393056.09375</v>
      </c>
      <c r="M16" s="219">
        <f t="shared" si="2"/>
        <v>4595424.6585937506</v>
      </c>
      <c r="N16" s="219">
        <f t="shared" si="2"/>
        <v>4799982.5518710939</v>
      </c>
      <c r="O16" s="219">
        <f t="shared" si="2"/>
        <v>5007008.9485031841</v>
      </c>
      <c r="P16" s="219">
        <f t="shared" si="2"/>
        <v>5216779.6564300591</v>
      </c>
      <c r="Q16" s="219">
        <f t="shared" si="2"/>
        <v>5429567.6614237912</v>
      </c>
      <c r="R16" s="218">
        <f t="shared" si="2"/>
        <v>5645643.6527257925</v>
      </c>
      <c r="S16" t="s">
        <v>451</v>
      </c>
    </row>
    <row r="17" spans="2:19" ht="15.5">
      <c r="B17" s="131" t="s">
        <v>211</v>
      </c>
      <c r="C17" s="248">
        <v>90000000</v>
      </c>
      <c r="D17" s="248">
        <v>70000000</v>
      </c>
      <c r="E17" s="248">
        <v>55000000</v>
      </c>
      <c r="G17" s="70" t="s">
        <v>136</v>
      </c>
      <c r="I17" s="219">
        <f t="shared" ref="I17:R17" si="3">$C$12*$C$17</f>
        <v>3600000</v>
      </c>
      <c r="J17" s="219">
        <f t="shared" si="3"/>
        <v>3600000</v>
      </c>
      <c r="K17" s="219">
        <f t="shared" si="3"/>
        <v>3600000</v>
      </c>
      <c r="L17" s="219">
        <f t="shared" si="3"/>
        <v>3600000</v>
      </c>
      <c r="M17" s="219">
        <f t="shared" si="3"/>
        <v>3600000</v>
      </c>
      <c r="N17" s="219">
        <f t="shared" si="3"/>
        <v>3600000</v>
      </c>
      <c r="O17" s="219">
        <f t="shared" si="3"/>
        <v>3600000</v>
      </c>
      <c r="P17" s="219">
        <f t="shared" si="3"/>
        <v>3600000</v>
      </c>
      <c r="Q17" s="219">
        <f t="shared" si="3"/>
        <v>3600000</v>
      </c>
      <c r="R17" s="218">
        <f t="shared" si="3"/>
        <v>3600000</v>
      </c>
      <c r="S17" t="s">
        <v>451</v>
      </c>
    </row>
    <row r="18" spans="2:19" ht="15.5">
      <c r="B18" s="131" t="s">
        <v>159</v>
      </c>
      <c r="C18" s="249">
        <v>0.08</v>
      </c>
      <c r="D18" s="249">
        <v>0.08</v>
      </c>
      <c r="E18" s="249">
        <v>0.08</v>
      </c>
      <c r="G18" s="70" t="s">
        <v>453</v>
      </c>
      <c r="I18" s="219">
        <f t="shared" ref="I18:R18" si="4">I13-H13</f>
        <v>3753750</v>
      </c>
      <c r="J18" s="219">
        <f t="shared" si="4"/>
        <v>3062193.75</v>
      </c>
      <c r="K18" s="219">
        <f t="shared" si="4"/>
        <v>3087120.09375</v>
      </c>
      <c r="L18" s="219">
        <f t="shared" si="4"/>
        <v>3116475.8985937685</v>
      </c>
      <c r="M18" s="219">
        <f t="shared" si="4"/>
        <v>3150191.5564710796</v>
      </c>
      <c r="N18" s="219">
        <f t="shared" si="4"/>
        <v>3188206.5081341863</v>
      </c>
      <c r="O18" s="219">
        <f t="shared" si="4"/>
        <v>3230468.9020738751</v>
      </c>
      <c r="P18" s="219">
        <f t="shared" si="4"/>
        <v>3276935.2769034803</v>
      </c>
      <c r="Q18" s="219">
        <f t="shared" si="4"/>
        <v>3327570.2660508156</v>
      </c>
      <c r="R18" s="218">
        <f t="shared" si="4"/>
        <v>3382346.3236762881</v>
      </c>
      <c r="S18" t="s">
        <v>451</v>
      </c>
    </row>
    <row r="19" spans="2:19" ht="15.5">
      <c r="B19" s="131" t="s">
        <v>158</v>
      </c>
      <c r="C19" s="248">
        <v>17500000</v>
      </c>
      <c r="D19" s="248">
        <v>13000000</v>
      </c>
      <c r="E19" s="248">
        <v>10000000</v>
      </c>
      <c r="G19" s="70" t="s">
        <v>452</v>
      </c>
      <c r="I19" s="219">
        <f t="shared" ref="I19:R19" si="5">$C$14+$C$15*H9/1000</f>
        <v>787500</v>
      </c>
      <c r="J19" s="219">
        <f t="shared" si="5"/>
        <v>819187.5</v>
      </c>
      <c r="K19" s="219">
        <f t="shared" si="5"/>
        <v>845037.1875</v>
      </c>
      <c r="L19" s="219">
        <f t="shared" si="5"/>
        <v>871097.29218750005</v>
      </c>
      <c r="M19" s="219">
        <f t="shared" si="5"/>
        <v>897405.20561718766</v>
      </c>
      <c r="N19" s="219">
        <f t="shared" si="5"/>
        <v>923997.73174324224</v>
      </c>
      <c r="O19" s="219">
        <f t="shared" si="5"/>
        <v>950911.16330541391</v>
      </c>
      <c r="P19" s="219">
        <f t="shared" si="5"/>
        <v>978181.35533590754</v>
      </c>
      <c r="Q19" s="219">
        <f t="shared" si="5"/>
        <v>1005843.795985093</v>
      </c>
      <c r="R19" s="218">
        <f t="shared" si="5"/>
        <v>1033933.674854353</v>
      </c>
      <c r="S19" t="s">
        <v>451</v>
      </c>
    </row>
    <row r="20" spans="2:19" ht="15.5">
      <c r="B20" s="131" t="s">
        <v>157</v>
      </c>
      <c r="C20" s="247">
        <v>0.98</v>
      </c>
      <c r="D20" s="247">
        <v>0.98</v>
      </c>
      <c r="E20" s="247">
        <v>0.98</v>
      </c>
      <c r="F20" s="144"/>
      <c r="G20" s="222" t="s">
        <v>214</v>
      </c>
      <c r="H20" s="9"/>
      <c r="I20" s="221">
        <f t="shared" ref="I20:R20" si="6">I15+I17-I16-I18-I19</f>
        <v>1308750</v>
      </c>
      <c r="J20" s="221">
        <f t="shared" si="6"/>
        <v>2114868.75</v>
      </c>
      <c r="K20" s="221">
        <f t="shared" si="6"/>
        <v>2183398.96875</v>
      </c>
      <c r="L20" s="221">
        <f t="shared" si="6"/>
        <v>2248260.4654687317</v>
      </c>
      <c r="M20" s="221">
        <f t="shared" si="6"/>
        <v>2309658.0330679836</v>
      </c>
      <c r="N20" s="221">
        <f t="shared" si="6"/>
        <v>2367785.2912452272</v>
      </c>
      <c r="O20" s="221">
        <f t="shared" si="6"/>
        <v>2422825.3037226219</v>
      </c>
      <c r="P20" s="221">
        <f t="shared" si="6"/>
        <v>2474951.1616186476</v>
      </c>
      <c r="Q20" s="221">
        <f t="shared" si="6"/>
        <v>2524326.5348183666</v>
      </c>
      <c r="R20" s="220">
        <f t="shared" si="6"/>
        <v>2571106.1931048343</v>
      </c>
      <c r="S20" t="s">
        <v>451</v>
      </c>
    </row>
    <row r="21" spans="2:19">
      <c r="G21" s="70"/>
      <c r="R21" s="105"/>
    </row>
    <row r="22" spans="2:19" ht="15.5">
      <c r="B22" s="50" t="s">
        <v>475</v>
      </c>
      <c r="G22" s="222" t="s">
        <v>450</v>
      </c>
      <c r="R22" s="105"/>
    </row>
    <row r="23" spans="2:19" ht="15.5">
      <c r="B23" s="50" t="s">
        <v>156</v>
      </c>
      <c r="C23" s="245"/>
      <c r="D23" s="245"/>
      <c r="E23" s="245"/>
      <c r="G23" s="70" t="s">
        <v>449</v>
      </c>
      <c r="I23" s="219">
        <f>$C$19</f>
        <v>17500000</v>
      </c>
      <c r="J23" s="219">
        <f t="shared" ref="J23:R23" si="7">I23*(1+$C$11)</f>
        <v>17937500</v>
      </c>
      <c r="K23" s="219">
        <f t="shared" si="7"/>
        <v>18385937.5</v>
      </c>
      <c r="L23" s="219">
        <f t="shared" si="7"/>
        <v>18845585.9375</v>
      </c>
      <c r="M23" s="219">
        <f t="shared" si="7"/>
        <v>19316725.5859375</v>
      </c>
      <c r="N23" s="219">
        <f t="shared" si="7"/>
        <v>19799643.725585938</v>
      </c>
      <c r="O23" s="219">
        <f t="shared" si="7"/>
        <v>20294634.818725586</v>
      </c>
      <c r="P23" s="219">
        <f t="shared" si="7"/>
        <v>20802000.689193726</v>
      </c>
      <c r="Q23" s="219">
        <f t="shared" si="7"/>
        <v>21322050.706423566</v>
      </c>
      <c r="R23" s="218">
        <f t="shared" si="7"/>
        <v>21855101.974084154</v>
      </c>
      <c r="S23" t="s">
        <v>440</v>
      </c>
    </row>
    <row r="24" spans="2:19" ht="15.5">
      <c r="B24" s="50" t="s">
        <v>155</v>
      </c>
      <c r="C24" s="246"/>
      <c r="D24" s="246"/>
      <c r="E24" s="246"/>
      <c r="G24" s="70" t="s">
        <v>448</v>
      </c>
      <c r="I24" s="219">
        <f t="shared" ref="I24:R24" si="8">I13*$C$18</f>
        <v>4920300</v>
      </c>
      <c r="J24" s="219">
        <f t="shared" si="8"/>
        <v>5165275.5</v>
      </c>
      <c r="K24" s="219">
        <f t="shared" si="8"/>
        <v>5412245.1074999999</v>
      </c>
      <c r="L24" s="219">
        <f t="shared" si="8"/>
        <v>5661563.1793875014</v>
      </c>
      <c r="M24" s="219">
        <f t="shared" si="8"/>
        <v>5913578.5039051883</v>
      </c>
      <c r="N24" s="219">
        <f t="shared" si="8"/>
        <v>6168635.0245559225</v>
      </c>
      <c r="O24" s="219">
        <f t="shared" si="8"/>
        <v>6427072.5367218331</v>
      </c>
      <c r="P24" s="219">
        <f t="shared" si="8"/>
        <v>6689227.3588741114</v>
      </c>
      <c r="Q24" s="219">
        <f t="shared" si="8"/>
        <v>6955432.9801581763</v>
      </c>
      <c r="R24" s="218">
        <f t="shared" si="8"/>
        <v>7226020.6860522795</v>
      </c>
      <c r="S24" t="s">
        <v>440</v>
      </c>
    </row>
    <row r="25" spans="2:19" ht="15.5">
      <c r="B25" s="50" t="s">
        <v>474</v>
      </c>
      <c r="C25" s="245"/>
      <c r="D25" s="245"/>
      <c r="E25" s="245"/>
      <c r="G25" s="70" t="s">
        <v>447</v>
      </c>
      <c r="I25" s="219">
        <f t="shared" ref="I25:R25" si="9">I28</f>
        <v>18571367.5</v>
      </c>
      <c r="J25" s="219">
        <f t="shared" si="9"/>
        <v>18871462.487500001</v>
      </c>
      <c r="K25" s="219">
        <f t="shared" si="9"/>
        <v>19174000.2566875</v>
      </c>
      <c r="L25" s="219">
        <f t="shared" si="9"/>
        <v>19479414.89474969</v>
      </c>
      <c r="M25" s="219">
        <f t="shared" si="9"/>
        <v>19788133.667283855</v>
      </c>
      <c r="N25" s="219">
        <f t="shared" si="9"/>
        <v>20100577.905081004</v>
      </c>
      <c r="O25" s="219">
        <f t="shared" si="9"/>
        <v>20417163.857484244</v>
      </c>
      <c r="P25" s="219">
        <f t="shared" si="9"/>
        <v>20738303.514620788</v>
      </c>
      <c r="Q25" s="219">
        <f t="shared" si="9"/>
        <v>21064405.400693767</v>
      </c>
      <c r="R25" s="218">
        <f t="shared" si="9"/>
        <v>21395875.340414044</v>
      </c>
      <c r="S25" t="s">
        <v>440</v>
      </c>
    </row>
    <row r="26" spans="2:19">
      <c r="B26" s="77"/>
      <c r="C26" s="244"/>
      <c r="D26" s="244"/>
      <c r="E26" s="244"/>
      <c r="G26" s="222" t="s">
        <v>446</v>
      </c>
      <c r="I26" s="224">
        <f t="shared" ref="I26:R26" si="10">(I23+I24)/I25</f>
        <v>1.2072508930750523</v>
      </c>
      <c r="J26" s="224">
        <f t="shared" si="10"/>
        <v>1.2242175462184088</v>
      </c>
      <c r="K26" s="224">
        <f t="shared" si="10"/>
        <v>1.2411694111248215</v>
      </c>
      <c r="L26" s="224">
        <f t="shared" si="10"/>
        <v>1.2581049918235965</v>
      </c>
      <c r="M26" s="224">
        <f t="shared" si="10"/>
        <v>1.2750219153591271</v>
      </c>
      <c r="N26" s="224">
        <f t="shared" si="10"/>
        <v>1.2919170221258973</v>
      </c>
      <c r="O26" s="224">
        <f t="shared" si="10"/>
        <v>1.3087864476168243</v>
      </c>
      <c r="P26" s="224">
        <f t="shared" si="10"/>
        <v>1.3256256968505715</v>
      </c>
      <c r="Q26" s="224">
        <f t="shared" si="10"/>
        <v>1.3424297125258713</v>
      </c>
      <c r="R26" s="223">
        <f t="shared" si="10"/>
        <v>1.3591929377717933</v>
      </c>
      <c r="S26" t="s">
        <v>440</v>
      </c>
    </row>
    <row r="27" spans="2:19" ht="15.5">
      <c r="B27" s="242" t="s">
        <v>473</v>
      </c>
      <c r="G27" s="70"/>
      <c r="R27" s="105"/>
    </row>
    <row r="28" spans="2:19" ht="15.5">
      <c r="B28" s="242" t="s">
        <v>472</v>
      </c>
      <c r="C28" s="243"/>
      <c r="G28" s="222" t="s">
        <v>445</v>
      </c>
      <c r="H28" s="9"/>
      <c r="I28" s="221">
        <f t="shared" ref="I28:R28" si="11">SUM(I29:I31)*I32</f>
        <v>18571367.5</v>
      </c>
      <c r="J28" s="221">
        <f t="shared" si="11"/>
        <v>18871462.487500001</v>
      </c>
      <c r="K28" s="221">
        <f t="shared" si="11"/>
        <v>19174000.2566875</v>
      </c>
      <c r="L28" s="221">
        <f t="shared" si="11"/>
        <v>19479414.89474969</v>
      </c>
      <c r="M28" s="221">
        <f t="shared" si="11"/>
        <v>19788133.667283855</v>
      </c>
      <c r="N28" s="221">
        <f t="shared" si="11"/>
        <v>20100577.905081004</v>
      </c>
      <c r="O28" s="221">
        <f t="shared" si="11"/>
        <v>20417163.857484244</v>
      </c>
      <c r="P28" s="221">
        <f t="shared" si="11"/>
        <v>20738303.514620788</v>
      </c>
      <c r="Q28" s="221">
        <f t="shared" si="11"/>
        <v>21064405.400693767</v>
      </c>
      <c r="R28" s="220">
        <f t="shared" si="11"/>
        <v>21395875.340414044</v>
      </c>
      <c r="S28" t="s">
        <v>440</v>
      </c>
    </row>
    <row r="29" spans="2:19" ht="15.5">
      <c r="B29" s="242" t="s">
        <v>471</v>
      </c>
      <c r="G29" s="70" t="s">
        <v>444</v>
      </c>
      <c r="I29" s="219">
        <f t="shared" ref="I29:R29" si="12">12%*$C$17</f>
        <v>10800000</v>
      </c>
      <c r="J29" s="219">
        <f t="shared" si="12"/>
        <v>10800000</v>
      </c>
      <c r="K29" s="219">
        <f t="shared" si="12"/>
        <v>10800000</v>
      </c>
      <c r="L29" s="219">
        <f t="shared" si="12"/>
        <v>10800000</v>
      </c>
      <c r="M29" s="219">
        <f t="shared" si="12"/>
        <v>10800000</v>
      </c>
      <c r="N29" s="219">
        <f t="shared" si="12"/>
        <v>10800000</v>
      </c>
      <c r="O29" s="219">
        <f t="shared" si="12"/>
        <v>10800000</v>
      </c>
      <c r="P29" s="219">
        <f t="shared" si="12"/>
        <v>10800000</v>
      </c>
      <c r="Q29" s="219">
        <f t="shared" si="12"/>
        <v>10800000</v>
      </c>
      <c r="R29" s="218">
        <f t="shared" si="12"/>
        <v>10800000</v>
      </c>
      <c r="S29" t="s">
        <v>440</v>
      </c>
    </row>
    <row r="30" spans="2:19" ht="15.5">
      <c r="B30" s="242" t="s">
        <v>470</v>
      </c>
      <c r="G30" s="70" t="s">
        <v>443</v>
      </c>
      <c r="I30" s="219">
        <f t="shared" ref="I30:R30" si="13">I13*10%</f>
        <v>6150375</v>
      </c>
      <c r="J30" s="219">
        <f t="shared" si="13"/>
        <v>6456594.375</v>
      </c>
      <c r="K30" s="219">
        <f t="shared" si="13"/>
        <v>6765306.3843750004</v>
      </c>
      <c r="L30" s="219">
        <f t="shared" si="13"/>
        <v>7076953.974234377</v>
      </c>
      <c r="M30" s="219">
        <f t="shared" si="13"/>
        <v>7391973.1298814854</v>
      </c>
      <c r="N30" s="219">
        <f t="shared" si="13"/>
        <v>7710793.7806949038</v>
      </c>
      <c r="O30" s="219">
        <f t="shared" si="13"/>
        <v>8033840.6709022913</v>
      </c>
      <c r="P30" s="219">
        <f t="shared" si="13"/>
        <v>8361534.1985926395</v>
      </c>
      <c r="Q30" s="219">
        <f t="shared" si="13"/>
        <v>8694291.2251977213</v>
      </c>
      <c r="R30" s="218">
        <f t="shared" si="13"/>
        <v>9032525.857565349</v>
      </c>
      <c r="S30" t="s">
        <v>440</v>
      </c>
    </row>
    <row r="31" spans="2:19" ht="15.5">
      <c r="B31" s="242" t="s">
        <v>469</v>
      </c>
      <c r="G31" s="70" t="s">
        <v>442</v>
      </c>
      <c r="I31" s="219">
        <v>2000000</v>
      </c>
      <c r="J31" s="219">
        <v>2000000</v>
      </c>
      <c r="K31" s="219">
        <v>2000000</v>
      </c>
      <c r="L31" s="219">
        <v>2000000</v>
      </c>
      <c r="M31" s="219">
        <v>2000000</v>
      </c>
      <c r="N31" s="219">
        <v>2000000</v>
      </c>
      <c r="O31" s="219">
        <v>2000000</v>
      </c>
      <c r="P31" s="219">
        <v>2000000</v>
      </c>
      <c r="Q31" s="219">
        <v>2000000</v>
      </c>
      <c r="R31" s="218">
        <v>2000000</v>
      </c>
      <c r="S31" t="s">
        <v>440</v>
      </c>
    </row>
    <row r="32" spans="2:19">
      <c r="G32" s="241" t="s">
        <v>441</v>
      </c>
      <c r="H32" s="146"/>
      <c r="I32" s="146">
        <v>0.98</v>
      </c>
      <c r="J32" s="146">
        <v>0.98</v>
      </c>
      <c r="K32" s="146">
        <v>0.98</v>
      </c>
      <c r="L32" s="146">
        <v>0.98</v>
      </c>
      <c r="M32" s="146">
        <v>0.98</v>
      </c>
      <c r="N32" s="146">
        <v>0.98</v>
      </c>
      <c r="O32" s="146">
        <v>0.98</v>
      </c>
      <c r="P32" s="146">
        <v>0.98</v>
      </c>
      <c r="Q32" s="146">
        <v>0.98</v>
      </c>
      <c r="R32" s="240">
        <v>0.98</v>
      </c>
      <c r="S32" t="s">
        <v>440</v>
      </c>
    </row>
    <row r="33" spans="2:19" ht="15.5">
      <c r="B33" s="239"/>
    </row>
    <row r="34" spans="2:19">
      <c r="B34" s="77"/>
    </row>
    <row r="35" spans="2:19">
      <c r="B35" s="77"/>
    </row>
    <row r="36" spans="2:19">
      <c r="G36" s="237" t="s">
        <v>468</v>
      </c>
    </row>
    <row r="38" spans="2:19">
      <c r="G38" s="233"/>
      <c r="H38" s="235" t="s">
        <v>333</v>
      </c>
      <c r="I38" s="235" t="s">
        <v>466</v>
      </c>
      <c r="J38" s="235" t="s">
        <v>465</v>
      </c>
      <c r="K38" s="235" t="s">
        <v>464</v>
      </c>
      <c r="L38" s="235" t="s">
        <v>463</v>
      </c>
      <c r="M38" s="235" t="s">
        <v>462</v>
      </c>
      <c r="N38" s="235" t="s">
        <v>461</v>
      </c>
      <c r="O38" s="235" t="s">
        <v>460</v>
      </c>
      <c r="P38" s="235" t="s">
        <v>459</v>
      </c>
      <c r="Q38" s="235" t="s">
        <v>458</v>
      </c>
      <c r="R38" s="234" t="s">
        <v>457</v>
      </c>
    </row>
    <row r="39" spans="2:19">
      <c r="G39" s="227" t="s">
        <v>150</v>
      </c>
      <c r="H39" s="229">
        <v>50000</v>
      </c>
      <c r="I39" s="229">
        <v>51950</v>
      </c>
      <c r="J39" s="229">
        <v>53053.85</v>
      </c>
      <c r="K39" s="229">
        <v>54123.743549999999</v>
      </c>
      <c r="L39" s="229">
        <v>55162.805696650001</v>
      </c>
      <c r="M39" s="229">
        <v>56173.925962007947</v>
      </c>
      <c r="N39" s="229">
        <v>57159.776529973329</v>
      </c>
      <c r="O39" s="229">
        <v>58122.829032875787</v>
      </c>
      <c r="P39" s="229">
        <v>59065.370046011856</v>
      </c>
      <c r="Q39" s="229">
        <v>59989.51538962312</v>
      </c>
      <c r="R39" s="228">
        <v>60897.223330147863</v>
      </c>
    </row>
    <row r="40" spans="2:19">
      <c r="G40" s="227" t="s">
        <v>149</v>
      </c>
      <c r="H40" s="229"/>
      <c r="I40" s="229">
        <v>5800</v>
      </c>
      <c r="J40" s="229">
        <v>5858</v>
      </c>
      <c r="K40" s="229">
        <v>5916.58</v>
      </c>
      <c r="L40" s="229">
        <v>5975.7457999999997</v>
      </c>
      <c r="M40" s="229">
        <v>6035.5032579999997</v>
      </c>
      <c r="N40" s="229">
        <v>6095.8582905799994</v>
      </c>
      <c r="O40" s="229">
        <v>6156.8168734857991</v>
      </c>
      <c r="P40" s="229">
        <v>6218.3850422206569</v>
      </c>
      <c r="Q40" s="229">
        <v>6280.5688926428638</v>
      </c>
      <c r="R40" s="228">
        <v>6343.3745815692928</v>
      </c>
    </row>
    <row r="41" spans="2:19">
      <c r="G41" s="227" t="s">
        <v>148</v>
      </c>
      <c r="H41" s="230"/>
      <c r="I41" s="229">
        <v>350</v>
      </c>
      <c r="J41" s="229">
        <v>363.65000000000003</v>
      </c>
      <c r="K41" s="229">
        <v>371.37695000000002</v>
      </c>
      <c r="L41" s="229">
        <v>378.86620484999997</v>
      </c>
      <c r="M41" s="229">
        <v>386.13963987655001</v>
      </c>
      <c r="N41" s="229">
        <v>393.21748173405564</v>
      </c>
      <c r="O41" s="229">
        <v>400.1184357098133</v>
      </c>
      <c r="P41" s="229">
        <v>406.85980323013052</v>
      </c>
      <c r="Q41" s="229">
        <v>413.45759032208298</v>
      </c>
      <c r="R41" s="228">
        <v>419.92660772736184</v>
      </c>
    </row>
    <row r="42" spans="2:19">
      <c r="G42" s="227" t="s">
        <v>147</v>
      </c>
      <c r="H42" s="230"/>
      <c r="I42" s="229">
        <v>3500.0000000000005</v>
      </c>
      <c r="J42" s="229">
        <v>4390.5</v>
      </c>
      <c r="K42" s="229">
        <v>4475.3095000000003</v>
      </c>
      <c r="L42" s="229">
        <v>4557.8174485</v>
      </c>
      <c r="M42" s="229">
        <v>4638.2433527655012</v>
      </c>
      <c r="N42" s="229">
        <v>4716.7902408805567</v>
      </c>
      <c r="O42" s="229">
        <v>4793.6459348735334</v>
      </c>
      <c r="P42" s="229">
        <v>4868.9842258544595</v>
      </c>
      <c r="Q42" s="229">
        <v>4942.9659587095157</v>
      </c>
      <c r="R42" s="228">
        <v>5015.7400333171918</v>
      </c>
    </row>
    <row r="43" spans="2:19">
      <c r="G43" s="227" t="s">
        <v>146</v>
      </c>
      <c r="H43" s="226">
        <v>750000000</v>
      </c>
      <c r="I43" s="226">
        <v>779250000</v>
      </c>
      <c r="J43" s="226">
        <v>795807750</v>
      </c>
      <c r="K43" s="226">
        <v>811856153.25</v>
      </c>
      <c r="L43" s="226">
        <v>827442085.44975007</v>
      </c>
      <c r="M43" s="226">
        <v>842608889.43011916</v>
      </c>
      <c r="N43" s="226">
        <v>857396647.94959998</v>
      </c>
      <c r="O43" s="226">
        <v>871842435.49313676</v>
      </c>
      <c r="P43" s="226">
        <v>885980550.6901778</v>
      </c>
      <c r="Q43" s="226">
        <v>899842730.84434676</v>
      </c>
      <c r="R43" s="225">
        <v>913458349.95221794</v>
      </c>
    </row>
    <row r="44" spans="2:19">
      <c r="G44" s="227" t="s">
        <v>145</v>
      </c>
      <c r="H44" s="226"/>
      <c r="I44" s="226">
        <v>87000000</v>
      </c>
      <c r="J44" s="226">
        <v>87870000</v>
      </c>
      <c r="K44" s="226">
        <v>88748700</v>
      </c>
      <c r="L44" s="226">
        <v>89636187</v>
      </c>
      <c r="M44" s="226">
        <v>90532548.86999999</v>
      </c>
      <c r="N44" s="226">
        <v>91437874.358699992</v>
      </c>
      <c r="O44" s="226">
        <v>92352253.10228698</v>
      </c>
      <c r="P44" s="226">
        <v>93275775.633309856</v>
      </c>
      <c r="Q44" s="226">
        <v>94208533.389642954</v>
      </c>
      <c r="R44" s="225">
        <v>95150618.723539397</v>
      </c>
    </row>
    <row r="45" spans="2:19">
      <c r="G45" s="227" t="s">
        <v>144</v>
      </c>
      <c r="H45" s="226"/>
      <c r="I45" s="226">
        <v>5250000</v>
      </c>
      <c r="J45" s="226">
        <v>5454750.0000000009</v>
      </c>
      <c r="K45" s="226">
        <v>5570654.25</v>
      </c>
      <c r="L45" s="226">
        <v>5682993.0727499994</v>
      </c>
      <c r="M45" s="226">
        <v>5792094.59814825</v>
      </c>
      <c r="N45" s="226">
        <v>5898262.2260108348</v>
      </c>
      <c r="O45" s="226">
        <v>6001776.5356471995</v>
      </c>
      <c r="P45" s="226">
        <v>6102897.0484519582</v>
      </c>
      <c r="Q45" s="226">
        <v>6201863.8548312448</v>
      </c>
      <c r="R45" s="225">
        <v>6298899.1159104276</v>
      </c>
    </row>
    <row r="46" spans="2:19" ht="15.5">
      <c r="B46" s="238"/>
      <c r="G46" s="227" t="s">
        <v>143</v>
      </c>
      <c r="H46" s="226"/>
      <c r="I46" s="226">
        <v>52500000.000000007</v>
      </c>
      <c r="J46" s="226">
        <v>65857500</v>
      </c>
      <c r="K46" s="226">
        <v>67129642.5</v>
      </c>
      <c r="L46" s="226">
        <v>68367261.727500007</v>
      </c>
      <c r="M46" s="226">
        <v>69573650.291482523</v>
      </c>
      <c r="N46" s="226">
        <v>70751853.613208354</v>
      </c>
      <c r="O46" s="226">
        <v>71904689.023102999</v>
      </c>
      <c r="P46" s="226">
        <v>73034763.387816891</v>
      </c>
      <c r="Q46" s="226">
        <v>74144489.380642742</v>
      </c>
      <c r="R46" s="225">
        <v>75236100.499757871</v>
      </c>
    </row>
    <row r="47" spans="2:19" ht="15.5">
      <c r="B47" s="238"/>
      <c r="G47" s="70" t="s">
        <v>456</v>
      </c>
      <c r="H47" s="219">
        <f t="shared" ref="H47:R47" si="14">$D$16*H43/1000</f>
        <v>59250000</v>
      </c>
      <c r="I47" s="219">
        <f t="shared" si="14"/>
        <v>61560750</v>
      </c>
      <c r="J47" s="219">
        <f t="shared" si="14"/>
        <v>62868812.25</v>
      </c>
      <c r="K47" s="219">
        <f t="shared" si="14"/>
        <v>64136636.106749997</v>
      </c>
      <c r="L47" s="219">
        <f t="shared" si="14"/>
        <v>65367924.750530258</v>
      </c>
      <c r="M47" s="219">
        <f t="shared" si="14"/>
        <v>66566102.264979415</v>
      </c>
      <c r="N47" s="219">
        <f t="shared" si="14"/>
        <v>67734335.188018396</v>
      </c>
      <c r="O47" s="219">
        <f t="shared" si="14"/>
        <v>68875552.403957814</v>
      </c>
      <c r="P47" s="219">
        <f t="shared" si="14"/>
        <v>69992463.504524052</v>
      </c>
      <c r="Q47" s="219">
        <f t="shared" si="14"/>
        <v>71087575.736703396</v>
      </c>
      <c r="R47" s="218">
        <f t="shared" si="14"/>
        <v>72163209.646225214</v>
      </c>
      <c r="S47" t="s">
        <v>451</v>
      </c>
    </row>
    <row r="48" spans="2:19" ht="15.5">
      <c r="B48" s="238"/>
      <c r="G48" s="222" t="s">
        <v>455</v>
      </c>
      <c r="R48" s="105"/>
    </row>
    <row r="49" spans="2:19" ht="15.5">
      <c r="B49" s="238"/>
      <c r="G49" s="70" t="s">
        <v>390</v>
      </c>
      <c r="I49" s="219">
        <f t="shared" ref="I49:R49" si="15">H43/1000*$D$13</f>
        <v>6000000</v>
      </c>
      <c r="J49" s="219">
        <f t="shared" si="15"/>
        <v>6234000</v>
      </c>
      <c r="K49" s="219">
        <f t="shared" si="15"/>
        <v>6366462</v>
      </c>
      <c r="L49" s="219">
        <f t="shared" si="15"/>
        <v>6494849.2259999998</v>
      </c>
      <c r="M49" s="219">
        <f t="shared" si="15"/>
        <v>6619536.6835980006</v>
      </c>
      <c r="N49" s="219">
        <f t="shared" si="15"/>
        <v>6740871.1154409535</v>
      </c>
      <c r="O49" s="219">
        <f t="shared" si="15"/>
        <v>6859173.1835968001</v>
      </c>
      <c r="P49" s="219">
        <f t="shared" si="15"/>
        <v>6974739.483945094</v>
      </c>
      <c r="Q49" s="219">
        <f t="shared" si="15"/>
        <v>7087844.4055214226</v>
      </c>
      <c r="R49" s="218">
        <f t="shared" si="15"/>
        <v>7198741.8467547745</v>
      </c>
      <c r="S49" t="s">
        <v>451</v>
      </c>
    </row>
    <row r="50" spans="2:19" ht="15.5">
      <c r="B50" s="238"/>
      <c r="G50" s="70" t="s">
        <v>454</v>
      </c>
      <c r="I50" s="219">
        <f t="shared" ref="I50:R50" si="16">I45</f>
        <v>5250000</v>
      </c>
      <c r="J50" s="219">
        <f t="shared" si="16"/>
        <v>5454750.0000000009</v>
      </c>
      <c r="K50" s="219">
        <f t="shared" si="16"/>
        <v>5570654.25</v>
      </c>
      <c r="L50" s="219">
        <f t="shared" si="16"/>
        <v>5682993.0727499994</v>
      </c>
      <c r="M50" s="219">
        <f t="shared" si="16"/>
        <v>5792094.59814825</v>
      </c>
      <c r="N50" s="219">
        <f t="shared" si="16"/>
        <v>5898262.2260108348</v>
      </c>
      <c r="O50" s="219">
        <f t="shared" si="16"/>
        <v>6001776.5356471995</v>
      </c>
      <c r="P50" s="219">
        <f t="shared" si="16"/>
        <v>6102897.0484519582</v>
      </c>
      <c r="Q50" s="219">
        <f t="shared" si="16"/>
        <v>6201863.8548312448</v>
      </c>
      <c r="R50" s="218">
        <f t="shared" si="16"/>
        <v>6298899.1159104276</v>
      </c>
      <c r="S50" s="219" t="s">
        <v>451</v>
      </c>
    </row>
    <row r="51" spans="2:19" ht="15.5">
      <c r="B51" s="238"/>
      <c r="G51" s="70" t="s">
        <v>136</v>
      </c>
      <c r="I51" s="219">
        <f t="shared" ref="I51:R51" si="17">$D$12*$D$17</f>
        <v>2100000</v>
      </c>
      <c r="J51" s="219">
        <f t="shared" si="17"/>
        <v>2100000</v>
      </c>
      <c r="K51" s="219">
        <f t="shared" si="17"/>
        <v>2100000</v>
      </c>
      <c r="L51" s="219">
        <f t="shared" si="17"/>
        <v>2100000</v>
      </c>
      <c r="M51" s="219">
        <f t="shared" si="17"/>
        <v>2100000</v>
      </c>
      <c r="N51" s="219">
        <f t="shared" si="17"/>
        <v>2100000</v>
      </c>
      <c r="O51" s="219">
        <f t="shared" si="17"/>
        <v>2100000</v>
      </c>
      <c r="P51" s="219">
        <f t="shared" si="17"/>
        <v>2100000</v>
      </c>
      <c r="Q51" s="219">
        <f t="shared" si="17"/>
        <v>2100000</v>
      </c>
      <c r="R51" s="218">
        <f t="shared" si="17"/>
        <v>2100000</v>
      </c>
      <c r="S51" t="s">
        <v>451</v>
      </c>
    </row>
    <row r="52" spans="2:19">
      <c r="G52" s="70" t="s">
        <v>453</v>
      </c>
      <c r="I52" s="219">
        <f t="shared" ref="I52:R52" si="18">I47-H47</f>
        <v>2310750</v>
      </c>
      <c r="J52" s="219">
        <f t="shared" si="18"/>
        <v>1308062.25</v>
      </c>
      <c r="K52" s="219">
        <f t="shared" si="18"/>
        <v>1267823.8567499965</v>
      </c>
      <c r="L52" s="219">
        <f t="shared" si="18"/>
        <v>1231288.6437802613</v>
      </c>
      <c r="M52" s="219">
        <f t="shared" si="18"/>
        <v>1198177.5144491568</v>
      </c>
      <c r="N52" s="219">
        <f t="shared" si="18"/>
        <v>1168232.9230389819</v>
      </c>
      <c r="O52" s="219">
        <f t="shared" si="18"/>
        <v>1141217.2159394175</v>
      </c>
      <c r="P52" s="219">
        <f t="shared" si="18"/>
        <v>1116911.1005662382</v>
      </c>
      <c r="Q52" s="219">
        <f t="shared" si="18"/>
        <v>1095112.2321793437</v>
      </c>
      <c r="R52" s="218">
        <f t="shared" si="18"/>
        <v>1075633.9095218182</v>
      </c>
      <c r="S52" t="s">
        <v>451</v>
      </c>
    </row>
    <row r="53" spans="2:19">
      <c r="G53" s="70" t="s">
        <v>452</v>
      </c>
      <c r="I53" s="219">
        <f t="shared" ref="I53:R53" si="19">$D$14+$D$15*H43/1000</f>
        <v>1009000</v>
      </c>
      <c r="J53" s="219">
        <f t="shared" si="19"/>
        <v>1035325</v>
      </c>
      <c r="K53" s="219">
        <f t="shared" si="19"/>
        <v>1050226.9750000001</v>
      </c>
      <c r="L53" s="219">
        <f t="shared" si="19"/>
        <v>1064670.5379250001</v>
      </c>
      <c r="M53" s="219">
        <f t="shared" si="19"/>
        <v>1078697.8769047749</v>
      </c>
      <c r="N53" s="219">
        <f t="shared" si="19"/>
        <v>1092348.0004871073</v>
      </c>
      <c r="O53" s="219">
        <f t="shared" si="19"/>
        <v>1105656.9831546401</v>
      </c>
      <c r="P53" s="219">
        <f t="shared" si="19"/>
        <v>1118658.1919438231</v>
      </c>
      <c r="Q53" s="219">
        <f t="shared" si="19"/>
        <v>1131382.4956211601</v>
      </c>
      <c r="R53" s="218">
        <f t="shared" si="19"/>
        <v>1143858.4577599121</v>
      </c>
      <c r="S53" t="s">
        <v>451</v>
      </c>
    </row>
    <row r="54" spans="2:19">
      <c r="G54" s="222" t="s">
        <v>214</v>
      </c>
      <c r="H54" s="9"/>
      <c r="I54" s="221">
        <f t="shared" ref="I54:R54" si="20">I49+I51-I50-I52-I53</f>
        <v>-469750</v>
      </c>
      <c r="J54" s="221">
        <f t="shared" si="20"/>
        <v>535862.74999999907</v>
      </c>
      <c r="K54" s="221">
        <f t="shared" si="20"/>
        <v>577756.91825000336</v>
      </c>
      <c r="L54" s="221">
        <f t="shared" si="20"/>
        <v>615896.97154473909</v>
      </c>
      <c r="M54" s="221">
        <f t="shared" si="20"/>
        <v>650566.69409581879</v>
      </c>
      <c r="N54" s="221">
        <f t="shared" si="20"/>
        <v>682027.96590402955</v>
      </c>
      <c r="O54" s="221">
        <f t="shared" si="20"/>
        <v>710522.44885554397</v>
      </c>
      <c r="P54" s="221">
        <f t="shared" si="20"/>
        <v>736273.14298307453</v>
      </c>
      <c r="Q54" s="221">
        <f t="shared" si="20"/>
        <v>759485.82288967399</v>
      </c>
      <c r="R54" s="220">
        <f t="shared" si="20"/>
        <v>780350.36356261652</v>
      </c>
      <c r="S54" t="s">
        <v>451</v>
      </c>
    </row>
    <row r="55" spans="2:19">
      <c r="G55" s="70"/>
      <c r="R55" s="105"/>
    </row>
    <row r="56" spans="2:19">
      <c r="G56" s="222" t="s">
        <v>450</v>
      </c>
      <c r="R56" s="105"/>
    </row>
    <row r="57" spans="2:19">
      <c r="G57" s="70" t="s">
        <v>449</v>
      </c>
      <c r="I57" s="219">
        <f>$D$19</f>
        <v>13000000</v>
      </c>
      <c r="J57" s="219">
        <f t="shared" ref="J57:R57" si="21">I57*(1+$D$11)</f>
        <v>13000000</v>
      </c>
      <c r="K57" s="219">
        <f t="shared" si="21"/>
        <v>13000000</v>
      </c>
      <c r="L57" s="219">
        <f t="shared" si="21"/>
        <v>13000000</v>
      </c>
      <c r="M57" s="219">
        <f t="shared" si="21"/>
        <v>13000000</v>
      </c>
      <c r="N57" s="219">
        <f t="shared" si="21"/>
        <v>13000000</v>
      </c>
      <c r="O57" s="219">
        <f t="shared" si="21"/>
        <v>13000000</v>
      </c>
      <c r="P57" s="219">
        <f t="shared" si="21"/>
        <v>13000000</v>
      </c>
      <c r="Q57" s="219">
        <f t="shared" si="21"/>
        <v>13000000</v>
      </c>
      <c r="R57" s="218">
        <f t="shared" si="21"/>
        <v>13000000</v>
      </c>
      <c r="S57" t="s">
        <v>440</v>
      </c>
    </row>
    <row r="58" spans="2:19">
      <c r="G58" s="70" t="s">
        <v>448</v>
      </c>
      <c r="I58" s="219">
        <f t="shared" ref="I58:R58" si="22">I47*$D$18</f>
        <v>4924860</v>
      </c>
      <c r="J58" s="219">
        <f t="shared" si="22"/>
        <v>5029504.9800000004</v>
      </c>
      <c r="K58" s="219">
        <f t="shared" si="22"/>
        <v>5130930.8885399997</v>
      </c>
      <c r="L58" s="219">
        <f t="shared" si="22"/>
        <v>5229433.9800424203</v>
      </c>
      <c r="M58" s="219">
        <f t="shared" si="22"/>
        <v>5325288.1811983529</v>
      </c>
      <c r="N58" s="219">
        <f t="shared" si="22"/>
        <v>5418746.8150414722</v>
      </c>
      <c r="O58" s="219">
        <f t="shared" si="22"/>
        <v>5510044.1923166253</v>
      </c>
      <c r="P58" s="219">
        <f t="shared" si="22"/>
        <v>5599397.0803619241</v>
      </c>
      <c r="Q58" s="219">
        <f t="shared" si="22"/>
        <v>5687006.0589362718</v>
      </c>
      <c r="R58" s="218">
        <f t="shared" si="22"/>
        <v>5773056.7716980176</v>
      </c>
      <c r="S58" t="s">
        <v>440</v>
      </c>
    </row>
    <row r="59" spans="2:19">
      <c r="G59" s="70" t="s">
        <v>447</v>
      </c>
      <c r="I59" s="219">
        <f t="shared" ref="I59:R59" si="23">I62</f>
        <v>16224953.5</v>
      </c>
      <c r="J59" s="219">
        <f t="shared" si="23"/>
        <v>16353143.600500001</v>
      </c>
      <c r="K59" s="219">
        <f t="shared" si="23"/>
        <v>16477390.3384615</v>
      </c>
      <c r="L59" s="219">
        <f t="shared" si="23"/>
        <v>16598056.625551967</v>
      </c>
      <c r="M59" s="219">
        <f t="shared" si="23"/>
        <v>16715478.021967981</v>
      </c>
      <c r="N59" s="219">
        <f t="shared" si="23"/>
        <v>16829964.848425802</v>
      </c>
      <c r="O59" s="219">
        <f t="shared" si="23"/>
        <v>16941804.135587864</v>
      </c>
      <c r="P59" s="219">
        <f t="shared" si="23"/>
        <v>17051261.423443355</v>
      </c>
      <c r="Q59" s="219">
        <f t="shared" si="23"/>
        <v>17158582.422196932</v>
      </c>
      <c r="R59" s="218">
        <f t="shared" si="23"/>
        <v>17263994.54533007</v>
      </c>
      <c r="S59" t="s">
        <v>440</v>
      </c>
    </row>
    <row r="60" spans="2:19">
      <c r="G60" s="222" t="s">
        <v>446</v>
      </c>
      <c r="I60" s="224">
        <f t="shared" ref="I60:R60" si="24">(I57+I58)/I59</f>
        <v>1.1047711169095185</v>
      </c>
      <c r="J60" s="224">
        <f t="shared" si="24"/>
        <v>1.102510038464332</v>
      </c>
      <c r="K60" s="224">
        <f t="shared" si="24"/>
        <v>1.1003520895064802</v>
      </c>
      <c r="L60" s="224">
        <f t="shared" si="24"/>
        <v>1.0982872508085688</v>
      </c>
      <c r="M60" s="224">
        <f t="shared" si="24"/>
        <v>1.0963065583356162</v>
      </c>
      <c r="N60" s="224">
        <f t="shared" si="24"/>
        <v>1.0944019777179914</v>
      </c>
      <c r="O60" s="224">
        <f t="shared" si="24"/>
        <v>1.0925662960200635</v>
      </c>
      <c r="P60" s="224">
        <f t="shared" si="24"/>
        <v>1.0907930280624327</v>
      </c>
      <c r="Q60" s="224">
        <f t="shared" si="24"/>
        <v>1.0890763350451445</v>
      </c>
      <c r="R60" s="223">
        <f t="shared" si="24"/>
        <v>1.0874109536124796</v>
      </c>
      <c r="S60" t="s">
        <v>440</v>
      </c>
    </row>
    <row r="61" spans="2:19">
      <c r="G61" s="70"/>
      <c r="R61" s="105"/>
    </row>
    <row r="62" spans="2:19">
      <c r="G62" s="222" t="s">
        <v>445</v>
      </c>
      <c r="H62" s="9"/>
      <c r="I62" s="221">
        <f t="shared" ref="I62:R62" si="25">SUM(I63:I65)*I66</f>
        <v>16224953.5</v>
      </c>
      <c r="J62" s="221">
        <f t="shared" si="25"/>
        <v>16353143.600500001</v>
      </c>
      <c r="K62" s="221">
        <f t="shared" si="25"/>
        <v>16477390.3384615</v>
      </c>
      <c r="L62" s="221">
        <f t="shared" si="25"/>
        <v>16598056.625551967</v>
      </c>
      <c r="M62" s="221">
        <f t="shared" si="25"/>
        <v>16715478.021967981</v>
      </c>
      <c r="N62" s="221">
        <f t="shared" si="25"/>
        <v>16829964.848425802</v>
      </c>
      <c r="O62" s="221">
        <f t="shared" si="25"/>
        <v>16941804.135587864</v>
      </c>
      <c r="P62" s="221">
        <f t="shared" si="25"/>
        <v>17051261.423443355</v>
      </c>
      <c r="Q62" s="221">
        <f t="shared" si="25"/>
        <v>17158582.422196932</v>
      </c>
      <c r="R62" s="220">
        <f t="shared" si="25"/>
        <v>17263994.54533007</v>
      </c>
      <c r="S62" t="s">
        <v>440</v>
      </c>
    </row>
    <row r="63" spans="2:19">
      <c r="G63" s="70" t="s">
        <v>444</v>
      </c>
      <c r="I63" s="219">
        <f t="shared" ref="I63:R63" si="26">12%*$D$17</f>
        <v>8400000</v>
      </c>
      <c r="J63" s="219">
        <f t="shared" si="26"/>
        <v>8400000</v>
      </c>
      <c r="K63" s="219">
        <f t="shared" si="26"/>
        <v>8400000</v>
      </c>
      <c r="L63" s="219">
        <f t="shared" si="26"/>
        <v>8400000</v>
      </c>
      <c r="M63" s="219">
        <f t="shared" si="26"/>
        <v>8400000</v>
      </c>
      <c r="N63" s="219">
        <f t="shared" si="26"/>
        <v>8400000</v>
      </c>
      <c r="O63" s="219">
        <f t="shared" si="26"/>
        <v>8400000</v>
      </c>
      <c r="P63" s="219">
        <f t="shared" si="26"/>
        <v>8400000</v>
      </c>
      <c r="Q63" s="219">
        <f t="shared" si="26"/>
        <v>8400000</v>
      </c>
      <c r="R63" s="218">
        <f t="shared" si="26"/>
        <v>8400000</v>
      </c>
      <c r="S63" t="s">
        <v>440</v>
      </c>
    </row>
    <row r="64" spans="2:19">
      <c r="G64" s="70" t="s">
        <v>443</v>
      </c>
      <c r="I64" s="219">
        <f t="shared" ref="I64:R64" si="27">I47*10%</f>
        <v>6156075</v>
      </c>
      <c r="J64" s="219">
        <f t="shared" si="27"/>
        <v>6286881.2250000006</v>
      </c>
      <c r="K64" s="219">
        <f t="shared" si="27"/>
        <v>6413663.6106749997</v>
      </c>
      <c r="L64" s="219">
        <f t="shared" si="27"/>
        <v>6536792.4750530263</v>
      </c>
      <c r="M64" s="219">
        <f t="shared" si="27"/>
        <v>6656610.2264979417</v>
      </c>
      <c r="N64" s="219">
        <f t="shared" si="27"/>
        <v>6773433.51880184</v>
      </c>
      <c r="O64" s="219">
        <f t="shared" si="27"/>
        <v>6887555.2403957816</v>
      </c>
      <c r="P64" s="219">
        <f t="shared" si="27"/>
        <v>6999246.3504524054</v>
      </c>
      <c r="Q64" s="219">
        <f t="shared" si="27"/>
        <v>7108757.5736703398</v>
      </c>
      <c r="R64" s="218">
        <f t="shared" si="27"/>
        <v>7216320.9646225218</v>
      </c>
      <c r="S64" t="s">
        <v>440</v>
      </c>
    </row>
    <row r="65" spans="7:19">
      <c r="G65" s="70" t="s">
        <v>442</v>
      </c>
      <c r="I65" s="219">
        <v>2000000</v>
      </c>
      <c r="J65" s="219">
        <v>2000000</v>
      </c>
      <c r="K65" s="219">
        <v>2000000</v>
      </c>
      <c r="L65" s="219">
        <v>2000000</v>
      </c>
      <c r="M65" s="219">
        <v>2000000</v>
      </c>
      <c r="N65" s="219">
        <v>2000000</v>
      </c>
      <c r="O65" s="219">
        <v>2000000</v>
      </c>
      <c r="P65" s="219">
        <v>2000000</v>
      </c>
      <c r="Q65" s="219">
        <v>2000000</v>
      </c>
      <c r="R65" s="218">
        <v>2000000</v>
      </c>
      <c r="S65" t="s">
        <v>440</v>
      </c>
    </row>
    <row r="66" spans="7:19">
      <c r="G66" s="217" t="s">
        <v>441</v>
      </c>
      <c r="H66" s="216"/>
      <c r="I66" s="216">
        <v>0.98</v>
      </c>
      <c r="J66" s="216">
        <v>0.98</v>
      </c>
      <c r="K66" s="216">
        <v>0.98</v>
      </c>
      <c r="L66" s="216">
        <v>0.98</v>
      </c>
      <c r="M66" s="216">
        <v>0.98</v>
      </c>
      <c r="N66" s="216">
        <v>0.98</v>
      </c>
      <c r="O66" s="216">
        <v>0.98</v>
      </c>
      <c r="P66" s="216">
        <v>0.98</v>
      </c>
      <c r="Q66" s="216">
        <v>0.98</v>
      </c>
      <c r="R66" s="215">
        <v>0.98</v>
      </c>
      <c r="S66" t="s">
        <v>440</v>
      </c>
    </row>
    <row r="70" spans="7:19">
      <c r="G70" s="237" t="s">
        <v>467</v>
      </c>
    </row>
    <row r="72" spans="7:19">
      <c r="G72" s="236"/>
      <c r="H72" s="235" t="s">
        <v>333</v>
      </c>
      <c r="I72" s="235" t="s">
        <v>466</v>
      </c>
      <c r="J72" s="235" t="s">
        <v>465</v>
      </c>
      <c r="K72" s="235" t="s">
        <v>464</v>
      </c>
      <c r="L72" s="235" t="s">
        <v>463</v>
      </c>
      <c r="M72" s="235" t="s">
        <v>462</v>
      </c>
      <c r="N72" s="235" t="s">
        <v>461</v>
      </c>
      <c r="O72" s="235" t="s">
        <v>460</v>
      </c>
      <c r="P72" s="235" t="s">
        <v>459</v>
      </c>
      <c r="Q72" s="235" t="s">
        <v>458</v>
      </c>
      <c r="R72" s="234" t="s">
        <v>457</v>
      </c>
    </row>
    <row r="73" spans="7:19">
      <c r="G73" s="233" t="s">
        <v>150</v>
      </c>
      <c r="H73" s="232">
        <v>50000</v>
      </c>
      <c r="I73" s="232">
        <v>51250</v>
      </c>
      <c r="J73" s="232">
        <v>50826.25</v>
      </c>
      <c r="K73" s="232">
        <v>50399.193750000006</v>
      </c>
      <c r="L73" s="232">
        <v>49969.505531250004</v>
      </c>
      <c r="M73" s="232">
        <v>49537.798378593754</v>
      </c>
      <c r="N73" s="232">
        <v>49104.629325738286</v>
      </c>
      <c r="O73" s="232">
        <v>48670.504204282275</v>
      </c>
      <c r="P73" s="232">
        <v>48235.882034437716</v>
      </c>
      <c r="Q73" s="232">
        <v>47801.179042154748</v>
      </c>
      <c r="R73" s="231">
        <v>47366.772334409397</v>
      </c>
    </row>
    <row r="74" spans="7:19">
      <c r="G74" s="227" t="s">
        <v>149</v>
      </c>
      <c r="H74" s="229"/>
      <c r="I74" s="229">
        <v>5500</v>
      </c>
      <c r="J74" s="229">
        <v>5445</v>
      </c>
      <c r="K74" s="229">
        <v>5390.55</v>
      </c>
      <c r="L74" s="229">
        <v>5336.6445000000003</v>
      </c>
      <c r="M74" s="229">
        <v>5283.2780550000007</v>
      </c>
      <c r="N74" s="229">
        <v>5230.4452744500004</v>
      </c>
      <c r="O74" s="229">
        <v>5178.1408217055005</v>
      </c>
      <c r="P74" s="229">
        <v>5126.3594134884452</v>
      </c>
      <c r="Q74" s="229">
        <v>5075.0958193535607</v>
      </c>
      <c r="R74" s="228">
        <v>5024.3448611600252</v>
      </c>
    </row>
    <row r="75" spans="7:19">
      <c r="G75" s="227" t="s">
        <v>148</v>
      </c>
      <c r="H75" s="230"/>
      <c r="I75" s="229">
        <v>500</v>
      </c>
      <c r="J75" s="229">
        <v>512.5</v>
      </c>
      <c r="K75" s="229">
        <v>508.26249999999999</v>
      </c>
      <c r="L75" s="229">
        <v>503.99193750000006</v>
      </c>
      <c r="M75" s="229">
        <v>499.69505531250007</v>
      </c>
      <c r="N75" s="229">
        <v>495.37798378593754</v>
      </c>
      <c r="O75" s="229">
        <v>491.04629325738284</v>
      </c>
      <c r="P75" s="229">
        <v>486.70504204282275</v>
      </c>
      <c r="Q75" s="229">
        <v>482.35882034437719</v>
      </c>
      <c r="R75" s="228">
        <v>478.01179042154752</v>
      </c>
    </row>
    <row r="76" spans="7:19">
      <c r="G76" s="227" t="s">
        <v>147</v>
      </c>
      <c r="H76" s="230"/>
      <c r="I76" s="229">
        <v>3750</v>
      </c>
      <c r="J76" s="229">
        <v>5356.25</v>
      </c>
      <c r="K76" s="229">
        <v>5309.34375</v>
      </c>
      <c r="L76" s="229">
        <v>5262.34078125</v>
      </c>
      <c r="M76" s="229">
        <v>5215.2901523437504</v>
      </c>
      <c r="N76" s="229">
        <v>5168.2363435195311</v>
      </c>
      <c r="O76" s="229">
        <v>5121.2196499041211</v>
      </c>
      <c r="P76" s="229">
        <v>5074.2765412901826</v>
      </c>
      <c r="Q76" s="229">
        <v>5027.4399912921508</v>
      </c>
      <c r="R76" s="228">
        <v>4980.7397784838349</v>
      </c>
    </row>
    <row r="77" spans="7:19">
      <c r="G77" s="227" t="s">
        <v>146</v>
      </c>
      <c r="H77" s="226">
        <v>750000000</v>
      </c>
      <c r="I77" s="226">
        <v>768750000</v>
      </c>
      <c r="J77" s="226">
        <v>762393750</v>
      </c>
      <c r="K77" s="226">
        <v>755987906.25000012</v>
      </c>
      <c r="L77" s="226">
        <v>749542582.96875012</v>
      </c>
      <c r="M77" s="226">
        <v>743066975.67890632</v>
      </c>
      <c r="N77" s="226">
        <v>736569439.8860743</v>
      </c>
      <c r="O77" s="226">
        <v>730057563.06423414</v>
      </c>
      <c r="P77" s="226">
        <v>723538230.5165658</v>
      </c>
      <c r="Q77" s="226">
        <v>717017685.63232124</v>
      </c>
      <c r="R77" s="225">
        <v>710501585.01614094</v>
      </c>
    </row>
    <row r="78" spans="7:19">
      <c r="G78" s="227" t="s">
        <v>145</v>
      </c>
      <c r="H78" s="226"/>
      <c r="I78" s="226">
        <v>82500000</v>
      </c>
      <c r="J78" s="226">
        <v>81675000</v>
      </c>
      <c r="K78" s="226">
        <v>80858250</v>
      </c>
      <c r="L78" s="226">
        <v>80049667.5</v>
      </c>
      <c r="M78" s="226">
        <v>79249170.825000003</v>
      </c>
      <c r="N78" s="226">
        <v>78456679.116750002</v>
      </c>
      <c r="O78" s="226">
        <v>77672112.325582504</v>
      </c>
      <c r="P78" s="226">
        <v>76895391.20232667</v>
      </c>
      <c r="Q78" s="226">
        <v>76126437.290303409</v>
      </c>
      <c r="R78" s="225">
        <v>75365172.917400375</v>
      </c>
    </row>
    <row r="79" spans="7:19">
      <c r="G79" s="227" t="s">
        <v>144</v>
      </c>
      <c r="H79" s="226"/>
      <c r="I79" s="226">
        <v>7500000</v>
      </c>
      <c r="J79" s="226">
        <v>7687500</v>
      </c>
      <c r="K79" s="226">
        <v>7623937.5</v>
      </c>
      <c r="L79" s="226">
        <v>7559879.0625000009</v>
      </c>
      <c r="M79" s="226">
        <v>7495425.8296875013</v>
      </c>
      <c r="N79" s="226">
        <v>7430669.7567890631</v>
      </c>
      <c r="O79" s="226">
        <v>7365694.3988607423</v>
      </c>
      <c r="P79" s="226">
        <v>7300575.6306423414</v>
      </c>
      <c r="Q79" s="226">
        <v>7235382.3051656578</v>
      </c>
      <c r="R79" s="225">
        <v>7170176.8563232124</v>
      </c>
    </row>
    <row r="80" spans="7:19">
      <c r="G80" s="227" t="s">
        <v>143</v>
      </c>
      <c r="H80" s="226"/>
      <c r="I80" s="226">
        <v>56250000</v>
      </c>
      <c r="J80" s="226">
        <v>80343750</v>
      </c>
      <c r="K80" s="226">
        <v>79640156.25</v>
      </c>
      <c r="L80" s="226">
        <v>78935111.71875</v>
      </c>
      <c r="M80" s="226">
        <v>78229352.28515625</v>
      </c>
      <c r="N80" s="226">
        <v>77523545.15279296</v>
      </c>
      <c r="O80" s="226">
        <v>76818294.748561814</v>
      </c>
      <c r="P80" s="226">
        <v>76114148.119352743</v>
      </c>
      <c r="Q80" s="226">
        <v>75411599.869382262</v>
      </c>
      <c r="R80" s="225">
        <v>74711096.677257523</v>
      </c>
    </row>
    <row r="81" spans="7:19">
      <c r="G81" s="70" t="s">
        <v>456</v>
      </c>
      <c r="H81" s="219">
        <f t="shared" ref="H81:R81" si="28">$E$16*H77/1000</f>
        <v>60000000</v>
      </c>
      <c r="I81" s="219">
        <f t="shared" si="28"/>
        <v>61500000</v>
      </c>
      <c r="J81" s="219">
        <f t="shared" si="28"/>
        <v>60991500</v>
      </c>
      <c r="K81" s="219">
        <f t="shared" si="28"/>
        <v>60479032.500000007</v>
      </c>
      <c r="L81" s="219">
        <f t="shared" si="28"/>
        <v>59963406.63750001</v>
      </c>
      <c r="M81" s="219">
        <f t="shared" si="28"/>
        <v>59445358.054312505</v>
      </c>
      <c r="N81" s="219">
        <f t="shared" si="28"/>
        <v>58925555.190885939</v>
      </c>
      <c r="O81" s="219">
        <f t="shared" si="28"/>
        <v>58404605.045138732</v>
      </c>
      <c r="P81" s="219">
        <f t="shared" si="28"/>
        <v>57883058.441325262</v>
      </c>
      <c r="Q81" s="219">
        <f t="shared" si="28"/>
        <v>57361414.850585699</v>
      </c>
      <c r="R81" s="218">
        <f t="shared" si="28"/>
        <v>56840126.801291272</v>
      </c>
      <c r="S81" t="s">
        <v>451</v>
      </c>
    </row>
    <row r="82" spans="7:19">
      <c r="G82" s="222" t="s">
        <v>455</v>
      </c>
      <c r="R82" s="105"/>
    </row>
    <row r="83" spans="7:19">
      <c r="G83" s="70" t="s">
        <v>390</v>
      </c>
      <c r="I83" s="219">
        <f t="shared" ref="I83:R83" si="29">H77/1000*$E$13</f>
        <v>6000000</v>
      </c>
      <c r="J83" s="219">
        <f t="shared" si="29"/>
        <v>6150000</v>
      </c>
      <c r="K83" s="219">
        <f t="shared" si="29"/>
        <v>6099150</v>
      </c>
      <c r="L83" s="219">
        <f t="shared" si="29"/>
        <v>6047903.2500000009</v>
      </c>
      <c r="M83" s="219">
        <f t="shared" si="29"/>
        <v>5996340.6637500012</v>
      </c>
      <c r="N83" s="219">
        <f t="shared" si="29"/>
        <v>5944535.8054312505</v>
      </c>
      <c r="O83" s="219">
        <f t="shared" si="29"/>
        <v>5892555.5190885942</v>
      </c>
      <c r="P83" s="219">
        <f t="shared" si="29"/>
        <v>5840460.5045138728</v>
      </c>
      <c r="Q83" s="219">
        <f t="shared" si="29"/>
        <v>5788305.8441325268</v>
      </c>
      <c r="R83" s="218">
        <f t="shared" si="29"/>
        <v>5736141.4850585703</v>
      </c>
      <c r="S83" t="s">
        <v>451</v>
      </c>
    </row>
    <row r="84" spans="7:19">
      <c r="G84" s="70" t="s">
        <v>454</v>
      </c>
      <c r="I84" s="219">
        <f t="shared" ref="I84:R84" si="30">I79</f>
        <v>7500000</v>
      </c>
      <c r="J84" s="219">
        <f t="shared" si="30"/>
        <v>7687500</v>
      </c>
      <c r="K84" s="219">
        <f t="shared" si="30"/>
        <v>7623937.5</v>
      </c>
      <c r="L84" s="219">
        <f t="shared" si="30"/>
        <v>7559879.0625000009</v>
      </c>
      <c r="M84" s="219">
        <f t="shared" si="30"/>
        <v>7495425.8296875013</v>
      </c>
      <c r="N84" s="219">
        <f t="shared" si="30"/>
        <v>7430669.7567890631</v>
      </c>
      <c r="O84" s="219">
        <f t="shared" si="30"/>
        <v>7365694.3988607423</v>
      </c>
      <c r="P84" s="219">
        <f t="shared" si="30"/>
        <v>7300575.6306423414</v>
      </c>
      <c r="Q84" s="219">
        <f t="shared" si="30"/>
        <v>7235382.3051656578</v>
      </c>
      <c r="R84" s="218">
        <f t="shared" si="30"/>
        <v>7170176.8563232124</v>
      </c>
      <c r="S84" t="s">
        <v>451</v>
      </c>
    </row>
    <row r="85" spans="7:19">
      <c r="G85" s="70" t="s">
        <v>136</v>
      </c>
      <c r="I85" s="219">
        <f t="shared" ref="I85:R85" si="31">$E$12*$E$17</f>
        <v>550000</v>
      </c>
      <c r="J85" s="219">
        <f t="shared" si="31"/>
        <v>550000</v>
      </c>
      <c r="K85" s="219">
        <f t="shared" si="31"/>
        <v>550000</v>
      </c>
      <c r="L85" s="219">
        <f t="shared" si="31"/>
        <v>550000</v>
      </c>
      <c r="M85" s="219">
        <f t="shared" si="31"/>
        <v>550000</v>
      </c>
      <c r="N85" s="219">
        <f t="shared" si="31"/>
        <v>550000</v>
      </c>
      <c r="O85" s="219">
        <f t="shared" si="31"/>
        <v>550000</v>
      </c>
      <c r="P85" s="219">
        <f t="shared" si="31"/>
        <v>550000</v>
      </c>
      <c r="Q85" s="219">
        <f t="shared" si="31"/>
        <v>550000</v>
      </c>
      <c r="R85" s="218">
        <f t="shared" si="31"/>
        <v>550000</v>
      </c>
      <c r="S85" t="s">
        <v>451</v>
      </c>
    </row>
    <row r="86" spans="7:19">
      <c r="G86" s="70" t="s">
        <v>453</v>
      </c>
      <c r="I86" s="219">
        <f t="shared" ref="I86:R86" si="32">I81-H81</f>
        <v>1500000</v>
      </c>
      <c r="J86" s="219">
        <f t="shared" si="32"/>
        <v>-508500</v>
      </c>
      <c r="K86" s="219">
        <f t="shared" si="32"/>
        <v>-512467.49999999255</v>
      </c>
      <c r="L86" s="219">
        <f t="shared" si="32"/>
        <v>-515625.86249999702</v>
      </c>
      <c r="M86" s="219">
        <f t="shared" si="32"/>
        <v>-518048.5831875056</v>
      </c>
      <c r="N86" s="219">
        <f t="shared" si="32"/>
        <v>-519802.86342656612</v>
      </c>
      <c r="O86" s="219">
        <f t="shared" si="32"/>
        <v>-520950.14574720711</v>
      </c>
      <c r="P86" s="219">
        <f t="shared" si="32"/>
        <v>-521546.60381346941</v>
      </c>
      <c r="Q86" s="219">
        <f t="shared" si="32"/>
        <v>-521643.59073956311</v>
      </c>
      <c r="R86" s="218">
        <f t="shared" si="32"/>
        <v>-521288.04929442704</v>
      </c>
      <c r="S86" t="s">
        <v>451</v>
      </c>
    </row>
    <row r="87" spans="7:19">
      <c r="G87" s="70" t="s">
        <v>452</v>
      </c>
      <c r="I87" s="219">
        <f t="shared" ref="I87:R87" si="33">$E$14+$E$15*H77/1000</f>
        <v>1225000</v>
      </c>
      <c r="J87" s="219">
        <f t="shared" si="33"/>
        <v>1245625</v>
      </c>
      <c r="K87" s="219">
        <f t="shared" si="33"/>
        <v>1238633.125</v>
      </c>
      <c r="L87" s="219">
        <f t="shared" si="33"/>
        <v>1231586.6968750004</v>
      </c>
      <c r="M87" s="219">
        <f t="shared" si="33"/>
        <v>1224496.8412656253</v>
      </c>
      <c r="N87" s="219">
        <f t="shared" si="33"/>
        <v>1217373.6732467969</v>
      </c>
      <c r="O87" s="219">
        <f t="shared" si="33"/>
        <v>1210226.3838746818</v>
      </c>
      <c r="P87" s="219">
        <f t="shared" si="33"/>
        <v>1203063.3193706577</v>
      </c>
      <c r="Q87" s="219">
        <f t="shared" si="33"/>
        <v>1195892.0535682226</v>
      </c>
      <c r="R87" s="218">
        <f t="shared" si="33"/>
        <v>1188719.4541955534</v>
      </c>
      <c r="S87" t="s">
        <v>451</v>
      </c>
    </row>
    <row r="88" spans="7:19">
      <c r="G88" s="222" t="s">
        <v>214</v>
      </c>
      <c r="H88" s="9"/>
      <c r="I88" s="221">
        <f t="shared" ref="I88:R88" si="34">I83+I85-I84-I86-I87</f>
        <v>-3675000</v>
      </c>
      <c r="J88" s="221">
        <f t="shared" si="34"/>
        <v>-1724625</v>
      </c>
      <c r="K88" s="221">
        <f t="shared" si="34"/>
        <v>-1700953.1250000075</v>
      </c>
      <c r="L88" s="221">
        <f t="shared" si="34"/>
        <v>-1677936.6468750034</v>
      </c>
      <c r="M88" s="221">
        <f t="shared" si="34"/>
        <v>-1655533.4240156198</v>
      </c>
      <c r="N88" s="221">
        <f t="shared" si="34"/>
        <v>-1633704.7611780434</v>
      </c>
      <c r="O88" s="221">
        <f t="shared" si="34"/>
        <v>-1612415.1178996228</v>
      </c>
      <c r="P88" s="221">
        <f t="shared" si="34"/>
        <v>-1591631.8416856569</v>
      </c>
      <c r="Q88" s="221">
        <f t="shared" si="34"/>
        <v>-1571324.9238617904</v>
      </c>
      <c r="R88" s="220">
        <f t="shared" si="34"/>
        <v>-1551466.7761657685</v>
      </c>
      <c r="S88" t="s">
        <v>451</v>
      </c>
    </row>
    <row r="89" spans="7:19">
      <c r="G89" s="70"/>
      <c r="R89" s="105"/>
    </row>
    <row r="90" spans="7:19">
      <c r="G90" s="222" t="s">
        <v>450</v>
      </c>
      <c r="R90" s="105"/>
    </row>
    <row r="91" spans="7:19">
      <c r="G91" s="70" t="s">
        <v>449</v>
      </c>
      <c r="I91" s="219">
        <f>$E$19</f>
        <v>10000000</v>
      </c>
      <c r="J91" s="219">
        <f t="shared" ref="J91:R91" si="35">I91*(1+$E$11)</f>
        <v>9800000</v>
      </c>
      <c r="K91" s="219">
        <f t="shared" si="35"/>
        <v>9604000</v>
      </c>
      <c r="L91" s="219">
        <f t="shared" si="35"/>
        <v>9411920</v>
      </c>
      <c r="M91" s="219">
        <f t="shared" si="35"/>
        <v>9223681.5999999996</v>
      </c>
      <c r="N91" s="219">
        <f t="shared" si="35"/>
        <v>9039207.9680000003</v>
      </c>
      <c r="O91" s="219">
        <f t="shared" si="35"/>
        <v>8858423.8086399995</v>
      </c>
      <c r="P91" s="219">
        <f t="shared" si="35"/>
        <v>8681255.3324672002</v>
      </c>
      <c r="Q91" s="219">
        <f t="shared" si="35"/>
        <v>8507630.2258178554</v>
      </c>
      <c r="R91" s="218">
        <f t="shared" si="35"/>
        <v>8337477.6213014983</v>
      </c>
      <c r="S91" t="s">
        <v>440</v>
      </c>
    </row>
    <row r="92" spans="7:19">
      <c r="G92" s="70" t="s">
        <v>448</v>
      </c>
      <c r="I92" s="219">
        <f t="shared" ref="I92:R92" si="36">I81*$E$18</f>
        <v>4920000</v>
      </c>
      <c r="J92" s="219">
        <f t="shared" si="36"/>
        <v>4879320</v>
      </c>
      <c r="K92" s="219">
        <f t="shared" si="36"/>
        <v>4838322.6000000006</v>
      </c>
      <c r="L92" s="219">
        <f t="shared" si="36"/>
        <v>4797072.5310000014</v>
      </c>
      <c r="M92" s="219">
        <f t="shared" si="36"/>
        <v>4755628.6443450004</v>
      </c>
      <c r="N92" s="219">
        <f t="shared" si="36"/>
        <v>4714044.4152708752</v>
      </c>
      <c r="O92" s="219">
        <f t="shared" si="36"/>
        <v>4672368.4036110984</v>
      </c>
      <c r="P92" s="219">
        <f t="shared" si="36"/>
        <v>4630644.6753060212</v>
      </c>
      <c r="Q92" s="219">
        <f t="shared" si="36"/>
        <v>4588913.1880468559</v>
      </c>
      <c r="R92" s="218">
        <f t="shared" si="36"/>
        <v>4547210.1441033017</v>
      </c>
      <c r="S92" t="s">
        <v>440</v>
      </c>
    </row>
    <row r="93" spans="7:19">
      <c r="G93" s="70" t="s">
        <v>447</v>
      </c>
      <c r="I93" s="219">
        <f t="shared" ref="I93:R93" si="37">I96</f>
        <v>14455000</v>
      </c>
      <c r="J93" s="219">
        <f t="shared" si="37"/>
        <v>14405167</v>
      </c>
      <c r="K93" s="219">
        <f t="shared" si="37"/>
        <v>14354945.185000001</v>
      </c>
      <c r="L93" s="219">
        <f t="shared" si="37"/>
        <v>14304413.850475</v>
      </c>
      <c r="M93" s="219">
        <f t="shared" si="37"/>
        <v>14253645.089322625</v>
      </c>
      <c r="N93" s="219">
        <f t="shared" si="37"/>
        <v>14202704.408706822</v>
      </c>
      <c r="O93" s="219">
        <f t="shared" si="37"/>
        <v>14151651.294423597</v>
      </c>
      <c r="P93" s="219">
        <f t="shared" si="37"/>
        <v>14100539.727249878</v>
      </c>
      <c r="Q93" s="219">
        <f t="shared" si="37"/>
        <v>14049418.655357398</v>
      </c>
      <c r="R93" s="218">
        <f t="shared" si="37"/>
        <v>13998332.426526545</v>
      </c>
      <c r="S93" t="s">
        <v>440</v>
      </c>
    </row>
    <row r="94" spans="7:19">
      <c r="G94" s="222" t="s">
        <v>446</v>
      </c>
      <c r="I94" s="224">
        <f t="shared" ref="I94:R94" si="38">(I91+I92)/I93</f>
        <v>1.0321687997232791</v>
      </c>
      <c r="J94" s="224">
        <f t="shared" si="38"/>
        <v>1.0190315738790117</v>
      </c>
      <c r="K94" s="224">
        <f t="shared" si="38"/>
        <v>1.0060869208397469</v>
      </c>
      <c r="L94" s="224">
        <f t="shared" si="38"/>
        <v>0.99332923945906182</v>
      </c>
      <c r="M94" s="224">
        <f t="shared" si="38"/>
        <v>0.98075335514119621</v>
      </c>
      <c r="N94" s="224">
        <f t="shared" si="38"/>
        <v>0.96835447584472611</v>
      </c>
      <c r="O94" s="224">
        <f t="shared" si="38"/>
        <v>0.95612815287378183</v>
      </c>
      <c r="P94" s="224">
        <f t="shared" si="38"/>
        <v>0.94407024591033362</v>
      </c>
      <c r="Q94" s="224">
        <f t="shared" si="38"/>
        <v>0.93217689180830754</v>
      </c>
      <c r="R94" s="223">
        <f t="shared" si="38"/>
        <v>0.92044447672842722</v>
      </c>
      <c r="S94" t="s">
        <v>440</v>
      </c>
    </row>
    <row r="95" spans="7:19">
      <c r="G95" s="70"/>
      <c r="R95" s="105"/>
    </row>
    <row r="96" spans="7:19">
      <c r="G96" s="222" t="s">
        <v>445</v>
      </c>
      <c r="H96" s="9"/>
      <c r="I96" s="221">
        <f t="shared" ref="I96:R96" si="39">SUM(I97:I99)*I100</f>
        <v>14455000</v>
      </c>
      <c r="J96" s="221">
        <f t="shared" si="39"/>
        <v>14405167</v>
      </c>
      <c r="K96" s="221">
        <f t="shared" si="39"/>
        <v>14354945.185000001</v>
      </c>
      <c r="L96" s="221">
        <f t="shared" si="39"/>
        <v>14304413.850475</v>
      </c>
      <c r="M96" s="221">
        <f t="shared" si="39"/>
        <v>14253645.089322625</v>
      </c>
      <c r="N96" s="221">
        <f t="shared" si="39"/>
        <v>14202704.408706822</v>
      </c>
      <c r="O96" s="221">
        <f t="shared" si="39"/>
        <v>14151651.294423597</v>
      </c>
      <c r="P96" s="221">
        <f t="shared" si="39"/>
        <v>14100539.727249878</v>
      </c>
      <c r="Q96" s="221">
        <f t="shared" si="39"/>
        <v>14049418.655357398</v>
      </c>
      <c r="R96" s="220">
        <f t="shared" si="39"/>
        <v>13998332.426526545</v>
      </c>
      <c r="S96" t="s">
        <v>440</v>
      </c>
    </row>
    <row r="97" spans="7:19">
      <c r="G97" s="70" t="s">
        <v>444</v>
      </c>
      <c r="I97" s="219">
        <f t="shared" ref="I97:R97" si="40">12%*$E$17</f>
        <v>6600000</v>
      </c>
      <c r="J97" s="219">
        <f t="shared" si="40"/>
        <v>6600000</v>
      </c>
      <c r="K97" s="219">
        <f t="shared" si="40"/>
        <v>6600000</v>
      </c>
      <c r="L97" s="219">
        <f t="shared" si="40"/>
        <v>6600000</v>
      </c>
      <c r="M97" s="219">
        <f t="shared" si="40"/>
        <v>6600000</v>
      </c>
      <c r="N97" s="219">
        <f t="shared" si="40"/>
        <v>6600000</v>
      </c>
      <c r="O97" s="219">
        <f t="shared" si="40"/>
        <v>6600000</v>
      </c>
      <c r="P97" s="219">
        <f t="shared" si="40"/>
        <v>6600000</v>
      </c>
      <c r="Q97" s="219">
        <f t="shared" si="40"/>
        <v>6600000</v>
      </c>
      <c r="R97" s="218">
        <f t="shared" si="40"/>
        <v>6600000</v>
      </c>
      <c r="S97" t="s">
        <v>440</v>
      </c>
    </row>
    <row r="98" spans="7:19">
      <c r="G98" s="70" t="s">
        <v>443</v>
      </c>
      <c r="I98" s="219">
        <f t="shared" ref="I98:R98" si="41">I81*10%</f>
        <v>6150000</v>
      </c>
      <c r="J98" s="219">
        <f t="shared" si="41"/>
        <v>6099150</v>
      </c>
      <c r="K98" s="219">
        <f t="shared" si="41"/>
        <v>6047903.2500000009</v>
      </c>
      <c r="L98" s="219">
        <f t="shared" si="41"/>
        <v>5996340.6637500012</v>
      </c>
      <c r="M98" s="219">
        <f t="shared" si="41"/>
        <v>5944535.8054312505</v>
      </c>
      <c r="N98" s="219">
        <f t="shared" si="41"/>
        <v>5892555.5190885942</v>
      </c>
      <c r="O98" s="219">
        <f t="shared" si="41"/>
        <v>5840460.5045138737</v>
      </c>
      <c r="P98" s="219">
        <f t="shared" si="41"/>
        <v>5788305.8441325268</v>
      </c>
      <c r="Q98" s="219">
        <f t="shared" si="41"/>
        <v>5736141.4850585703</v>
      </c>
      <c r="R98" s="218">
        <f t="shared" si="41"/>
        <v>5684012.6801291276</v>
      </c>
      <c r="S98" t="s">
        <v>440</v>
      </c>
    </row>
    <row r="99" spans="7:19">
      <c r="G99" s="70" t="s">
        <v>442</v>
      </c>
      <c r="I99" s="219">
        <v>2000000</v>
      </c>
      <c r="J99" s="219">
        <v>2000000</v>
      </c>
      <c r="K99" s="219">
        <v>2000000</v>
      </c>
      <c r="L99" s="219">
        <v>2000000</v>
      </c>
      <c r="M99" s="219">
        <v>2000000</v>
      </c>
      <c r="N99" s="219">
        <v>2000000</v>
      </c>
      <c r="O99" s="219">
        <v>2000000</v>
      </c>
      <c r="P99" s="219">
        <v>2000000</v>
      </c>
      <c r="Q99" s="219">
        <v>2000000</v>
      </c>
      <c r="R99" s="218">
        <v>2000000</v>
      </c>
      <c r="S99" t="s">
        <v>440</v>
      </c>
    </row>
    <row r="100" spans="7:19">
      <c r="G100" s="217" t="s">
        <v>441</v>
      </c>
      <c r="H100" s="216"/>
      <c r="I100" s="216">
        <v>0.98</v>
      </c>
      <c r="J100" s="216">
        <v>0.98</v>
      </c>
      <c r="K100" s="216">
        <v>0.98</v>
      </c>
      <c r="L100" s="216">
        <v>0.98</v>
      </c>
      <c r="M100" s="216">
        <v>0.98</v>
      </c>
      <c r="N100" s="216">
        <v>0.98</v>
      </c>
      <c r="O100" s="216">
        <v>0.98</v>
      </c>
      <c r="P100" s="216">
        <v>0.98</v>
      </c>
      <c r="Q100" s="216">
        <v>0.98</v>
      </c>
      <c r="R100" s="215">
        <v>0.98</v>
      </c>
      <c r="S100" t="s">
        <v>440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7E09-117E-4F8E-BCB1-DC92FAAAD423}">
  <dimension ref="A1:L46"/>
  <sheetViews>
    <sheetView zoomScale="85" zoomScaleNormal="85" workbookViewId="0">
      <selection activeCell="F16" sqref="F16"/>
    </sheetView>
  </sheetViews>
  <sheetFormatPr baseColWidth="10" defaultColWidth="8.81640625" defaultRowHeight="14.5"/>
  <cols>
    <col min="1" max="1" width="12.81640625" customWidth="1"/>
    <col min="2" max="3" width="15.81640625" customWidth="1"/>
    <col min="4" max="4" width="24.81640625" bestFit="1" customWidth="1"/>
    <col min="5" max="12" width="15.81640625" customWidth="1"/>
  </cols>
  <sheetData>
    <row r="1" spans="1:12" ht="22.5">
      <c r="A1" s="1" t="s">
        <v>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242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15"/>
      <c r="B4" s="3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 t="s">
        <v>244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 t="s">
        <v>243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4" t="s">
        <v>245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6" thickBot="1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6" thickBot="1">
      <c r="A10" s="4"/>
      <c r="B10" s="83" t="s">
        <v>4</v>
      </c>
      <c r="C10" s="84" t="s">
        <v>7</v>
      </c>
      <c r="D10" s="81" t="s">
        <v>334</v>
      </c>
      <c r="E10" s="2"/>
      <c r="F10" s="2"/>
      <c r="G10" s="2"/>
      <c r="H10" s="2"/>
      <c r="I10" s="2"/>
      <c r="J10" s="2"/>
      <c r="K10" s="2"/>
      <c r="L10" s="2"/>
    </row>
    <row r="11" spans="1:12" ht="16" thickBot="1">
      <c r="A11" s="4"/>
      <c r="B11" s="85">
        <v>30</v>
      </c>
      <c r="C11" s="86">
        <v>50</v>
      </c>
      <c r="D11" s="86" t="s">
        <v>201</v>
      </c>
      <c r="E11" s="2"/>
      <c r="F11" s="2"/>
      <c r="G11" s="2"/>
      <c r="H11" s="2"/>
      <c r="I11" s="2"/>
      <c r="J11" s="2"/>
      <c r="K11" s="2"/>
      <c r="L11" s="2"/>
    </row>
    <row r="12" spans="1:12" ht="16" thickBot="1">
      <c r="A12" s="4"/>
      <c r="B12" s="85">
        <v>40</v>
      </c>
      <c r="C12" s="86">
        <v>150</v>
      </c>
      <c r="D12" s="86" t="s">
        <v>202</v>
      </c>
      <c r="E12" s="2"/>
      <c r="F12" s="2"/>
      <c r="G12" s="2"/>
      <c r="H12" s="2"/>
      <c r="I12" s="2"/>
      <c r="J12" s="2"/>
      <c r="K12" s="2"/>
      <c r="L12" s="2"/>
    </row>
    <row r="13" spans="1:12" ht="16" thickBot="1">
      <c r="A13" s="4"/>
      <c r="B13" s="85">
        <v>50</v>
      </c>
      <c r="C13" s="86">
        <v>65</v>
      </c>
      <c r="D13" s="86" t="s">
        <v>203</v>
      </c>
      <c r="E13" s="2"/>
      <c r="F13" s="2"/>
      <c r="G13" s="2"/>
      <c r="H13" s="2"/>
      <c r="I13" s="2"/>
      <c r="J13" s="2"/>
      <c r="K13" s="2"/>
      <c r="L13" s="2"/>
    </row>
    <row r="14" spans="1:12" ht="16" thickBot="1">
      <c r="A14" s="4"/>
      <c r="B14" s="85">
        <v>60</v>
      </c>
      <c r="C14" s="86">
        <v>30</v>
      </c>
      <c r="D14" s="86" t="s">
        <v>204</v>
      </c>
      <c r="E14" s="2"/>
      <c r="F14" s="2"/>
      <c r="G14" s="2"/>
      <c r="H14" s="2"/>
      <c r="I14" s="2"/>
      <c r="J14" s="2"/>
      <c r="K14" s="2"/>
      <c r="L14" s="2"/>
    </row>
    <row r="15" spans="1:12" ht="15.5">
      <c r="A15" s="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5">
      <c r="A16" s="4" t="s">
        <v>113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5">
      <c r="A17" s="4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.5">
      <c r="A18" s="12" t="s">
        <v>205</v>
      </c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.5">
      <c r="A19" s="12" t="s">
        <v>206</v>
      </c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ht="15.5">
      <c r="A20" s="12" t="s">
        <v>207</v>
      </c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5">
      <c r="A21" s="4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5">
      <c r="A22" s="4" t="s">
        <v>246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5">
      <c r="A23" s="4" t="s">
        <v>247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5">
      <c r="A24" s="4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.5">
      <c r="A25" s="3" t="s">
        <v>248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.5">
      <c r="A26" s="4" t="s">
        <v>3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</row>
    <row r="37" spans="1:12" ht="15.5">
      <c r="A37" s="4" t="s">
        <v>249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5">
      <c r="A39" s="4" t="s">
        <v>114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.5">
      <c r="A40" s="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5">
      <c r="A41" s="12" t="s">
        <v>208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.5">
      <c r="A42" s="12" t="s">
        <v>250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.5">
      <c r="A43" s="12" t="s">
        <v>209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5">
      <c r="A45" s="3" t="s">
        <v>251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.5">
      <c r="A46" s="4" t="s">
        <v>3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</row>
  </sheetData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7FCA-1F49-4B77-80B9-C64849EE0AB4}">
  <dimension ref="B1:I24"/>
  <sheetViews>
    <sheetView zoomScale="85" zoomScaleNormal="85" workbookViewId="0">
      <selection activeCell="D19" sqref="D19"/>
    </sheetView>
  </sheetViews>
  <sheetFormatPr baseColWidth="10" defaultColWidth="8.7265625" defaultRowHeight="14.5"/>
  <cols>
    <col min="2" max="9" width="19.1796875" customWidth="1"/>
  </cols>
  <sheetData>
    <row r="1" spans="2:9" ht="15" thickBot="1"/>
    <row r="2" spans="2:9" ht="15" thickBot="1">
      <c r="B2" s="9" t="s">
        <v>489</v>
      </c>
      <c r="E2" s="348" t="s">
        <v>487</v>
      </c>
      <c r="F2" s="349"/>
    </row>
    <row r="3" spans="2:9" ht="15.5" thickBot="1">
      <c r="B3" s="263" t="s">
        <v>4</v>
      </c>
      <c r="C3" s="262" t="s">
        <v>7</v>
      </c>
      <c r="D3" s="262" t="s">
        <v>486</v>
      </c>
      <c r="E3" s="262" t="s">
        <v>485</v>
      </c>
      <c r="F3" s="262" t="s">
        <v>484</v>
      </c>
    </row>
    <row r="4" spans="2:9" ht="16" thickBot="1">
      <c r="B4" s="261">
        <v>30</v>
      </c>
      <c r="C4" s="260">
        <v>50</v>
      </c>
      <c r="D4" s="259">
        <v>50000</v>
      </c>
      <c r="E4" s="259">
        <f>-(5*(C4*D4/260*(1-0.7)*1.08)+5*(C4*D4/260*1.08))</f>
        <v>-67500</v>
      </c>
      <c r="F4" s="259">
        <f>10*C4*D4/260*3</f>
        <v>288461.5384615385</v>
      </c>
    </row>
    <row r="5" spans="2:9" ht="16" thickBot="1">
      <c r="B5" s="261">
        <v>40</v>
      </c>
      <c r="C5" s="260">
        <v>150</v>
      </c>
      <c r="D5" s="259">
        <v>75000</v>
      </c>
      <c r="E5" s="259">
        <f>-(5*(C5*D5/260*(1-0.7)*1.08)+5*(C5*D5/260*1.08))</f>
        <v>-303750</v>
      </c>
      <c r="F5" s="259">
        <f>10*C5*D5/260*3</f>
        <v>1298076.923076923</v>
      </c>
    </row>
    <row r="6" spans="2:9" ht="16" thickBot="1">
      <c r="B6" s="261">
        <v>50</v>
      </c>
      <c r="C6" s="260">
        <v>65</v>
      </c>
      <c r="D6" s="259">
        <v>90000</v>
      </c>
      <c r="E6" s="259">
        <f>-(5*(C6*D6/260*(1-0.7)*1.08)+5*(C6*D6/260*1.08))</f>
        <v>-157950</v>
      </c>
      <c r="F6" s="259">
        <f>10*C6*D6/260*3</f>
        <v>675000</v>
      </c>
    </row>
    <row r="7" spans="2:9" ht="16" thickBot="1">
      <c r="B7" s="261">
        <v>60</v>
      </c>
      <c r="C7" s="260">
        <v>30</v>
      </c>
      <c r="D7" s="259">
        <v>115000</v>
      </c>
      <c r="E7" s="259">
        <f>-(5*(C7*D7/260*(1-0.7)*1.08)+5*(C7*D7/260*1.08))</f>
        <v>-93150</v>
      </c>
      <c r="F7" s="259">
        <f>10*C7*D7/260*3</f>
        <v>398076.92307692306</v>
      </c>
    </row>
    <row r="8" spans="2:9" ht="15.5" thickBot="1">
      <c r="E8" s="258">
        <f>SUM(E4:E7)</f>
        <v>-622350</v>
      </c>
      <c r="F8" s="258">
        <f>SUM(F4:F7)</f>
        <v>2659615.3846153845</v>
      </c>
    </row>
    <row r="9" spans="2:9" ht="15.5" thickBot="1">
      <c r="F9" s="257">
        <f>SUM(E8:F8)</f>
        <v>2037265.3846153845</v>
      </c>
    </row>
    <row r="10" spans="2:9">
      <c r="E10" s="9" t="s">
        <v>479</v>
      </c>
    </row>
    <row r="11" spans="2:9" ht="15" thickBot="1">
      <c r="E11" s="9"/>
    </row>
    <row r="12" spans="2:9" ht="15" thickBot="1">
      <c r="B12" s="9" t="s">
        <v>488</v>
      </c>
      <c r="E12" s="348" t="s">
        <v>487</v>
      </c>
      <c r="F12" s="350"/>
      <c r="G12" s="351"/>
      <c r="H12" s="6"/>
      <c r="I12" s="6"/>
    </row>
    <row r="13" spans="2:9" ht="30.5" thickBot="1">
      <c r="B13" s="263" t="s">
        <v>4</v>
      </c>
      <c r="C13" s="262" t="s">
        <v>7</v>
      </c>
      <c r="D13" s="262" t="s">
        <v>486</v>
      </c>
      <c r="E13" s="262" t="s">
        <v>485</v>
      </c>
      <c r="F13" s="262" t="s">
        <v>484</v>
      </c>
      <c r="G13" s="262" t="s">
        <v>483</v>
      </c>
      <c r="H13" s="262" t="s">
        <v>482</v>
      </c>
    </row>
    <row r="14" spans="2:9" ht="16" thickBot="1">
      <c r="B14" s="261">
        <v>30</v>
      </c>
      <c r="C14" s="260">
        <f t="shared" ref="C14:E17" si="0">C4</f>
        <v>50</v>
      </c>
      <c r="D14" s="259">
        <f t="shared" si="0"/>
        <v>50000</v>
      </c>
      <c r="E14" s="259">
        <f t="shared" si="0"/>
        <v>-67500</v>
      </c>
      <c r="F14" s="259">
        <f>10*C14*D14/260*0.75</f>
        <v>72115.384615384624</v>
      </c>
      <c r="G14" s="259">
        <f>10*C14*D14/260*1.5*1.08</f>
        <v>155769.23076923081</v>
      </c>
      <c r="H14" s="259"/>
    </row>
    <row r="15" spans="2:9" ht="16" thickBot="1">
      <c r="B15" s="261">
        <v>40</v>
      </c>
      <c r="C15" s="260">
        <f t="shared" si="0"/>
        <v>150</v>
      </c>
      <c r="D15" s="259">
        <f t="shared" si="0"/>
        <v>75000</v>
      </c>
      <c r="E15" s="259">
        <f t="shared" si="0"/>
        <v>-303750</v>
      </c>
      <c r="F15" s="259">
        <f>10*C15*D15/260*0.75</f>
        <v>324519.23076923075</v>
      </c>
      <c r="G15" s="259">
        <f>10*C15*D15/260*1.5*1.08</f>
        <v>700961.5384615385</v>
      </c>
      <c r="H15" s="259"/>
    </row>
    <row r="16" spans="2:9" ht="16" thickBot="1">
      <c r="B16" s="261">
        <v>50</v>
      </c>
      <c r="C16" s="260">
        <f t="shared" si="0"/>
        <v>65</v>
      </c>
      <c r="D16" s="259">
        <f t="shared" si="0"/>
        <v>90000</v>
      </c>
      <c r="E16" s="259">
        <f t="shared" si="0"/>
        <v>-157950</v>
      </c>
      <c r="F16" s="259">
        <f>10*C16*D16/260*0.75</f>
        <v>168750</v>
      </c>
      <c r="G16" s="259">
        <f>10*C16*D16/260*1.5*1.08</f>
        <v>364500</v>
      </c>
      <c r="H16" s="259"/>
    </row>
    <row r="17" spans="2:8" ht="16" thickBot="1">
      <c r="B17" s="261">
        <v>60</v>
      </c>
      <c r="C17" s="260">
        <f t="shared" si="0"/>
        <v>30</v>
      </c>
      <c r="D17" s="259">
        <f t="shared" si="0"/>
        <v>115000</v>
      </c>
      <c r="E17" s="259">
        <f t="shared" si="0"/>
        <v>-93150</v>
      </c>
      <c r="F17" s="259">
        <f>10*C17*D17/260*0.75</f>
        <v>99519.230769230766</v>
      </c>
      <c r="G17" s="259">
        <f>10*C17*D17/260*1.5*1.08</f>
        <v>214961.53846153847</v>
      </c>
      <c r="H17" s="259">
        <f>10*SUM(C14:C17)*D17/260*1.5*1.08</f>
        <v>2113788.4615384615</v>
      </c>
    </row>
    <row r="18" spans="2:8" ht="15.5" thickBot="1">
      <c r="E18" s="258">
        <f>SUM(E14:E17)</f>
        <v>-622350</v>
      </c>
      <c r="F18" s="258">
        <f>SUM(F14:F17)</f>
        <v>664903.84615384613</v>
      </c>
      <c r="G18" s="258">
        <f>SUM(G14:G17)</f>
        <v>1436192.3076923077</v>
      </c>
      <c r="H18" s="258">
        <f>SUM(H14:H17)</f>
        <v>2113788.4615384615</v>
      </c>
    </row>
    <row r="19" spans="2:8" ht="15.5" thickBot="1">
      <c r="F19" s="257">
        <f>E18+F18+G18</f>
        <v>1478746.153846154</v>
      </c>
      <c r="G19" s="256" t="s">
        <v>481</v>
      </c>
    </row>
    <row r="20" spans="2:8" ht="15.5" thickBot="1">
      <c r="E20" s="9"/>
      <c r="F20" s="257">
        <f>E18+F18+H18</f>
        <v>2156342.3076923075</v>
      </c>
      <c r="G20" s="256" t="s">
        <v>480</v>
      </c>
    </row>
    <row r="21" spans="2:8">
      <c r="E21" s="9" t="s">
        <v>479</v>
      </c>
    </row>
    <row r="22" spans="2:8">
      <c r="B22" s="9" t="s">
        <v>478</v>
      </c>
    </row>
    <row r="23" spans="2:8">
      <c r="B23" t="s">
        <v>477</v>
      </c>
    </row>
    <row r="24" spans="2:8">
      <c r="B24" t="s">
        <v>476</v>
      </c>
    </row>
  </sheetData>
  <mergeCells count="2">
    <mergeCell ref="E2:F2"/>
    <mergeCell ref="E12:G1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6494B-5ED1-4AD7-9DE6-7195A13C77EE}">
  <dimension ref="B1:H28"/>
  <sheetViews>
    <sheetView topLeftCell="A22" zoomScale="85" zoomScaleNormal="85" workbookViewId="0">
      <selection activeCell="E31" sqref="E31"/>
    </sheetView>
  </sheetViews>
  <sheetFormatPr baseColWidth="10" defaultColWidth="8.7265625" defaultRowHeight="14.5"/>
  <cols>
    <col min="2" max="7" width="19.1796875" customWidth="1"/>
  </cols>
  <sheetData>
    <row r="1" spans="2:8" ht="15.5" thickBot="1">
      <c r="B1" s="9" t="s">
        <v>502</v>
      </c>
      <c r="F1" s="257">
        <f>'Solution for Q7 (a)'!$F$19</f>
        <v>1478746.153846154</v>
      </c>
    </row>
    <row r="3" spans="2:8" ht="15" thickBot="1">
      <c r="B3" s="9" t="s">
        <v>501</v>
      </c>
    </row>
    <row r="4" spans="2:8" ht="15" thickBot="1">
      <c r="E4" s="348" t="s">
        <v>500</v>
      </c>
      <c r="F4" s="350"/>
      <c r="G4" s="351"/>
      <c r="H4" s="6"/>
    </row>
    <row r="5" spans="2:8" ht="30.5" thickBot="1">
      <c r="B5" s="263" t="s">
        <v>4</v>
      </c>
      <c r="C5" s="262" t="s">
        <v>7</v>
      </c>
      <c r="D5" s="262" t="s">
        <v>486</v>
      </c>
      <c r="E5" s="262" t="s">
        <v>485</v>
      </c>
      <c r="F5" s="262" t="s">
        <v>484</v>
      </c>
      <c r="G5" s="262" t="s">
        <v>499</v>
      </c>
      <c r="H5" s="267"/>
    </row>
    <row r="6" spans="2:8" ht="16" thickBot="1">
      <c r="B6" s="261">
        <v>30</v>
      </c>
      <c r="C6" s="260">
        <f>'Solution for Q7 (a)'!C4</f>
        <v>50</v>
      </c>
      <c r="D6" s="259">
        <f>'Solution for Q7 (a)'!D4</f>
        <v>50000</v>
      </c>
      <c r="E6" s="259">
        <f>-(4*(C6*D6/260*(1-0.7)*1.08)+5*(C6*D6/260*1.08))</f>
        <v>-64384.61538461539</v>
      </c>
      <c r="F6" s="259">
        <f>9*C6*D6/260*0.75</f>
        <v>64903.846153846149</v>
      </c>
      <c r="G6" s="259">
        <f>9*C6*D6/260*1.5*1.08</f>
        <v>140192.30769230769</v>
      </c>
      <c r="H6" s="266"/>
    </row>
    <row r="7" spans="2:8" ht="16" thickBot="1">
      <c r="B7" s="261">
        <v>40</v>
      </c>
      <c r="C7" s="260">
        <f>'Solution for Q7 (a)'!C5</f>
        <v>150</v>
      </c>
      <c r="D7" s="259">
        <f>'Solution for Q7 (a)'!D5</f>
        <v>75000</v>
      </c>
      <c r="E7" s="259">
        <f>-(4*(C7*D7/260*(1-0.7)*1.08)+5*(C7*D7/260*1.08))</f>
        <v>-289730.76923076919</v>
      </c>
      <c r="F7" s="259">
        <f>9*C7*D7/260*0.75</f>
        <v>292067.30769230769</v>
      </c>
      <c r="G7" s="259">
        <f>9*C7*D7/260*1.5*1.08</f>
        <v>630865.38461538462</v>
      </c>
      <c r="H7" s="266"/>
    </row>
    <row r="8" spans="2:8" ht="16" thickBot="1">
      <c r="B8" s="261">
        <v>50</v>
      </c>
      <c r="C8" s="260">
        <f>'Solution for Q7 (a)'!C6</f>
        <v>65</v>
      </c>
      <c r="D8" s="259">
        <f>'Solution for Q7 (a)'!D6</f>
        <v>90000</v>
      </c>
      <c r="E8" s="259">
        <f>-(4*(C8*D8/260*(1-0.7)*1.08)+5*(C8*D8/260*1.08))</f>
        <v>-150660</v>
      </c>
      <c r="F8" s="259">
        <f>9*C8*D8/260*0.75</f>
        <v>151875</v>
      </c>
      <c r="G8" s="259">
        <f>9*C8*D8/260*1.5*1.08</f>
        <v>328050</v>
      </c>
      <c r="H8" s="266"/>
    </row>
    <row r="9" spans="2:8" ht="16" thickBot="1">
      <c r="B9" s="261">
        <v>60</v>
      </c>
      <c r="C9" s="260">
        <f>'Solution for Q7 (a)'!C7</f>
        <v>30</v>
      </c>
      <c r="D9" s="259">
        <f>'Solution for Q7 (a)'!D7</f>
        <v>115000</v>
      </c>
      <c r="E9" s="259">
        <f>-(4*(C9*D9/260*(1-0.7)*1.08)+5*(C9*D9/260*1.08))</f>
        <v>-88850.769230769234</v>
      </c>
      <c r="F9" s="259">
        <f>9*C9*D9/260*0.75</f>
        <v>89567.307692307688</v>
      </c>
      <c r="G9" s="259">
        <f>9*C9*D9/260*1.5*1.08</f>
        <v>193465.38461538462</v>
      </c>
      <c r="H9" s="266"/>
    </row>
    <row r="10" spans="2:8" ht="15.5" thickBot="1">
      <c r="E10" s="258">
        <f>SUM(E6:E9)</f>
        <v>-593626.15384615376</v>
      </c>
      <c r="F10" s="258">
        <f>SUM(F6:F9)</f>
        <v>598413.4615384615</v>
      </c>
      <c r="G10" s="258">
        <f>SUM(G6:G9)</f>
        <v>1292573.076923077</v>
      </c>
      <c r="H10" s="265"/>
    </row>
    <row r="11" spans="2:8" ht="15.5" thickBot="1">
      <c r="F11" s="257">
        <f>SUM(E10:G10)</f>
        <v>1297360.3846153847</v>
      </c>
      <c r="G11" s="256"/>
    </row>
    <row r="12" spans="2:8" ht="15" thickBot="1">
      <c r="E12" s="9" t="s">
        <v>479</v>
      </c>
      <c r="F12" s="9"/>
      <c r="G12" s="9"/>
    </row>
    <row r="13" spans="2:8" ht="15.5" thickBot="1">
      <c r="B13" s="9" t="s">
        <v>498</v>
      </c>
      <c r="E13" s="9"/>
      <c r="F13" s="257">
        <f>F1-F11</f>
        <v>181385.76923076925</v>
      </c>
    </row>
    <row r="15" spans="2:8" ht="15" thickBot="1">
      <c r="B15" s="9" t="s">
        <v>497</v>
      </c>
    </row>
    <row r="16" spans="2:8" ht="15.5" thickBot="1">
      <c r="B16" s="263" t="s">
        <v>4</v>
      </c>
      <c r="C16" s="262" t="s">
        <v>7</v>
      </c>
      <c r="F16" s="263" t="s">
        <v>496</v>
      </c>
    </row>
    <row r="17" spans="2:7" ht="16" thickBot="1">
      <c r="B17" s="261">
        <v>30</v>
      </c>
      <c r="C17" s="260">
        <f>'Solution for Q7 (a)'!C4</f>
        <v>50</v>
      </c>
      <c r="F17" s="264">
        <f>1250*C17*1.02^(30-40)/0.9</f>
        <v>56968.631935774676</v>
      </c>
    </row>
    <row r="18" spans="2:7" ht="16" thickBot="1">
      <c r="B18" s="261">
        <v>40</v>
      </c>
      <c r="C18" s="260">
        <f>'Solution for Q7 (a)'!C5</f>
        <v>150</v>
      </c>
      <c r="F18" s="264">
        <f>1250*C18*1.02^(40-40)/0.9</f>
        <v>208333.33333333331</v>
      </c>
    </row>
    <row r="19" spans="2:7" ht="16" thickBot="1">
      <c r="B19" s="261">
        <v>50</v>
      </c>
      <c r="C19" s="260">
        <f>'Solution for Q7 (a)'!C6</f>
        <v>65</v>
      </c>
      <c r="F19" s="264">
        <f>1250*C19*1.02^(50-40)/0.9</f>
        <v>110048.10736063779</v>
      </c>
    </row>
    <row r="20" spans="2:7" ht="16" thickBot="1">
      <c r="B20" s="261">
        <v>60</v>
      </c>
      <c r="C20" s="260">
        <f>'Solution for Q7 (a)'!C7</f>
        <v>30</v>
      </c>
      <c r="F20" s="264">
        <f>1250*C20*1.02^(60-40)/0.9</f>
        <v>61914.474832431428</v>
      </c>
    </row>
    <row r="21" spans="2:7" ht="15.5" thickBot="1">
      <c r="F21" s="257">
        <f>SUM(F17:F20)</f>
        <v>437264.54746217723</v>
      </c>
      <c r="G21" s="256" t="s">
        <v>495</v>
      </c>
    </row>
    <row r="22" spans="2:7" ht="15.5" thickBot="1">
      <c r="F22" s="257">
        <f>F21/2</f>
        <v>218632.27373108862</v>
      </c>
      <c r="G22" s="256" t="s">
        <v>494</v>
      </c>
    </row>
    <row r="24" spans="2:7">
      <c r="B24" s="9" t="s">
        <v>493</v>
      </c>
    </row>
    <row r="25" spans="2:7">
      <c r="B25" t="s">
        <v>492</v>
      </c>
    </row>
    <row r="27" spans="2:7">
      <c r="B27" t="s">
        <v>491</v>
      </c>
    </row>
    <row r="28" spans="2:7">
      <c r="B28" t="s">
        <v>490</v>
      </c>
    </row>
  </sheetData>
  <mergeCells count="1">
    <mergeCell ref="E4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97A25-1EA0-4E3E-A96A-24C2A47482C0}">
  <dimension ref="A1:T64"/>
  <sheetViews>
    <sheetView zoomScale="85" zoomScaleNormal="85" workbookViewId="0">
      <selection activeCell="A18" sqref="A18"/>
    </sheetView>
  </sheetViews>
  <sheetFormatPr baseColWidth="10" defaultColWidth="8.7265625" defaultRowHeight="14.5"/>
  <cols>
    <col min="2" max="2" width="12.54296875" bestFit="1" customWidth="1"/>
    <col min="3" max="3" width="13.54296875" bestFit="1" customWidth="1"/>
    <col min="4" max="4" width="11.26953125" bestFit="1" customWidth="1"/>
    <col min="5" max="5" width="10" customWidth="1"/>
    <col min="6" max="6" width="9.453125" bestFit="1" customWidth="1"/>
    <col min="7" max="7" width="9.81640625" bestFit="1" customWidth="1"/>
    <col min="8" max="8" width="9.26953125" bestFit="1" customWidth="1"/>
    <col min="9" max="9" width="11.81640625" bestFit="1" customWidth="1"/>
    <col min="10" max="10" width="15.54296875" bestFit="1" customWidth="1"/>
    <col min="11" max="11" width="12.7265625" bestFit="1" customWidth="1"/>
    <col min="12" max="13" width="15" bestFit="1" customWidth="1"/>
    <col min="14" max="14" width="12.54296875" bestFit="1" customWidth="1"/>
    <col min="15" max="15" width="13.54296875" bestFit="1" customWidth="1"/>
    <col min="16" max="16" width="11.26953125" bestFit="1" customWidth="1"/>
  </cols>
  <sheetData>
    <row r="1" spans="1:16">
      <c r="A1" s="9" t="s">
        <v>556</v>
      </c>
    </row>
    <row r="2" spans="1:16">
      <c r="A2" t="s">
        <v>557</v>
      </c>
      <c r="B2" t="s">
        <v>255</v>
      </c>
      <c r="C2" t="s">
        <v>256</v>
      </c>
      <c r="D2" t="s">
        <v>257</v>
      </c>
      <c r="E2" t="s">
        <v>258</v>
      </c>
      <c r="F2" t="s">
        <v>259</v>
      </c>
      <c r="G2" t="s">
        <v>260</v>
      </c>
      <c r="H2" t="s">
        <v>261</v>
      </c>
      <c r="I2" t="s">
        <v>262</v>
      </c>
      <c r="J2" t="s">
        <v>263</v>
      </c>
      <c r="K2" t="s">
        <v>264</v>
      </c>
      <c r="L2" t="s">
        <v>265</v>
      </c>
      <c r="M2" t="s">
        <v>266</v>
      </c>
      <c r="N2" t="s">
        <v>267</v>
      </c>
      <c r="O2" t="s">
        <v>268</v>
      </c>
      <c r="P2" t="s">
        <v>269</v>
      </c>
    </row>
    <row r="3" spans="1:16">
      <c r="A3">
        <v>1</v>
      </c>
      <c r="B3" s="324">
        <f ca="1">SUMIFS('Data for Q1'!$C$3:$C$116,'Data for Q1'!$A$3:$A$116,B$2,'Data for Q1'!$B$3:$B$116,OFFSET(B$2,0,$A3-1))</f>
        <v>588.6</v>
      </c>
      <c r="C3" s="324">
        <f ca="1">SUMIFS('Data for Q1'!$C$3:$C$116,'Data for Q1'!$A$3:$A$116,C$2,'Data for Q1'!$B$3:$B$116,OFFSET(C$2,0,$A3-1))</f>
        <v>630</v>
      </c>
      <c r="D3" s="324">
        <f ca="1">SUMIFS('Data for Q1'!$C$3:$C$116,'Data for Q1'!$A$3:$A$116,D$2,'Data for Q1'!$B$3:$B$116,OFFSET(D$2,0,$A3-1))</f>
        <v>616.80000000000007</v>
      </c>
      <c r="E3" s="324">
        <f ca="1">SUMIFS('Data for Q1'!$C$3:$C$116,'Data for Q1'!$A$3:$A$116,E$2,'Data for Q1'!$B$3:$B$116,OFFSET(E$2,0,$A3-1))</f>
        <v>625.20000000000005</v>
      </c>
      <c r="F3" s="324">
        <f ca="1">SUMIFS('Data for Q1'!$C$3:$C$116,'Data for Q1'!$A$3:$A$116,F$2,'Data for Q1'!$B$3:$B$116,OFFSET(F$2,0,$A3-1))</f>
        <v>573.6</v>
      </c>
      <c r="G3" s="324">
        <f ca="1">SUMIFS('Data for Q1'!$C$3:$C$116,'Data for Q1'!$A$3:$A$116,G$2,'Data for Q1'!$B$3:$B$116,OFFSET(G$2,0,$A3-1))</f>
        <v>601.79999999999995</v>
      </c>
      <c r="H3" s="324">
        <f ca="1">SUMIFS('Data for Q1'!$C$3:$C$116,'Data for Q1'!$A$3:$A$116,H$2,'Data for Q1'!$B$3:$B$116,OFFSET(H$2,0,$A3-1))</f>
        <v>575.4</v>
      </c>
      <c r="I3" s="324">
        <f ca="1">SUMIFS('Data for Q1'!$C$3:$C$116,'Data for Q1'!$A$3:$A$116,I$2,'Data for Q1'!$B$3:$B$116,OFFSET(I$2,0,$A3-1))</f>
        <v>628.80000000000007</v>
      </c>
      <c r="J3" s="324">
        <f ca="1">SUMIFS('Data for Q1'!$C$3:$C$116,'Data for Q1'!$A$3:$A$116,J$2,'Data for Q1'!$B$3:$B$116,OFFSET(J$2,0,$A3-1))</f>
        <v>626.4</v>
      </c>
      <c r="K3" s="324">
        <f ca="1">SUMIFS('Data for Q1'!$C$3:$C$116,'Data for Q1'!$A$3:$A$116,K$2,'Data for Q1'!$B$3:$B$116,OFFSET(K$2,0,$A3-1))</f>
        <v>574.79999999999995</v>
      </c>
      <c r="L3" s="324">
        <f ca="1">SUMIFS('Data for Q1'!$C$3:$C$116,'Data for Q1'!$A$3:$A$116,L$2,'Data for Q1'!$B$3:$B$116,OFFSET(L$2,0,$A3-1))</f>
        <v>600</v>
      </c>
      <c r="M3" s="324">
        <f ca="1">SUMIFS('Data for Q1'!$C$3:$C$116,'Data for Q1'!$A$3:$A$116,M$2,'Data for Q1'!$B$3:$B$116,OFFSET(M$2,0,$A3-1))</f>
        <v>580.79999999999995</v>
      </c>
    </row>
    <row r="4" spans="1:16">
      <c r="A4">
        <v>2</v>
      </c>
      <c r="B4" s="324">
        <f ca="1">SUMIFS('Data for Q1'!$C$3:$C$116,'Data for Q1'!$A$3:$A$116,B$2,'Data for Q1'!$B$3:$B$116,OFFSET(B$2,0,$A4-1))</f>
        <v>803.99999999999989</v>
      </c>
      <c r="C4" s="324">
        <f ca="1">SUMIFS('Data for Q1'!$C$3:$C$116,'Data for Q1'!$A$3:$A$116,C$2,'Data for Q1'!$B$3:$B$116,OFFSET(C$2,0,$A4-1))</f>
        <v>789.6</v>
      </c>
      <c r="D4" s="324">
        <f ca="1">SUMIFS('Data for Q1'!$C$3:$C$116,'Data for Q1'!$A$3:$A$116,D$2,'Data for Q1'!$B$3:$B$116,OFFSET(D$2,0,$A4-1))</f>
        <v>801.6</v>
      </c>
      <c r="E4" s="324">
        <f ca="1">SUMIFS('Data for Q1'!$C$3:$C$116,'Data for Q1'!$A$3:$A$116,E$2,'Data for Q1'!$B$3:$B$116,OFFSET(E$2,0,$A4-1))</f>
        <v>807.19999999999993</v>
      </c>
      <c r="F4" s="324">
        <f ca="1">SUMIFS('Data for Q1'!$C$3:$C$116,'Data for Q1'!$A$3:$A$116,F$2,'Data for Q1'!$B$3:$B$116,OFFSET(F$2,0,$A4-1))</f>
        <v>822.4</v>
      </c>
      <c r="G4" s="324">
        <f ca="1">SUMIFS('Data for Q1'!$C$3:$C$116,'Data for Q1'!$A$3:$A$116,G$2,'Data for Q1'!$B$3:$B$116,OFFSET(G$2,0,$A4-1))</f>
        <v>840</v>
      </c>
      <c r="H4" s="324">
        <f ca="1">SUMIFS('Data for Q1'!$C$3:$C$116,'Data for Q1'!$A$3:$A$116,H$2,'Data for Q1'!$B$3:$B$116,OFFSET(H$2,0,$A4-1))</f>
        <v>788.8</v>
      </c>
      <c r="I4" s="324">
        <f ca="1">SUMIFS('Data for Q1'!$C$3:$C$116,'Data for Q1'!$A$3:$A$116,I$2,'Data for Q1'!$B$3:$B$116,OFFSET(I$2,0,$A4-1))</f>
        <v>808.8</v>
      </c>
      <c r="J4" s="324">
        <f ca="1">SUMIFS('Data for Q1'!$C$3:$C$116,'Data for Q1'!$A$3:$A$116,J$2,'Data for Q1'!$B$3:$B$116,OFFSET(J$2,0,$A4-1))</f>
        <v>800</v>
      </c>
      <c r="K4" s="324">
        <f ca="1">SUMIFS('Data for Q1'!$C$3:$C$116,'Data for Q1'!$A$3:$A$116,K$2,'Data for Q1'!$B$3:$B$116,OFFSET(K$2,0,$A4-1))</f>
        <v>776.8</v>
      </c>
      <c r="L4" s="324">
        <f ca="1">SUMIFS('Data for Q1'!$C$3:$C$116,'Data for Q1'!$A$3:$A$116,L$2,'Data for Q1'!$B$3:$B$116,OFFSET(L$2,0,$A4-1))</f>
        <v>780.8</v>
      </c>
      <c r="M4" s="324">
        <f ca="1">SUMIFS('Data for Q1'!$C$3:$C$116,'Data for Q1'!$A$3:$A$116,M$2,'Data for Q1'!$B$3:$B$116,OFFSET(M$2,0,$A4-1))</f>
        <v>811.2</v>
      </c>
    </row>
    <row r="5" spans="1:16">
      <c r="A5">
        <v>3</v>
      </c>
      <c r="B5" s="324">
        <f ca="1">SUMIFS('Data for Q1'!$C$3:$C$116,'Data for Q1'!$A$3:$A$116,B$2,'Data for Q1'!$B$3:$B$116,OFFSET(B$2,0,$A5-1))</f>
        <v>298.5</v>
      </c>
      <c r="C5" s="324">
        <f ca="1">SUMIFS('Data for Q1'!$C$3:$C$116,'Data for Q1'!$A$3:$A$116,C$2,'Data for Q1'!$B$3:$B$116,OFFSET(C$2,0,$A5-1))</f>
        <v>312.89999999999998</v>
      </c>
      <c r="D5" s="324">
        <f ca="1">SUMIFS('Data for Q1'!$C$3:$C$116,'Data for Q1'!$A$3:$A$116,D$2,'Data for Q1'!$B$3:$B$116,OFFSET(D$2,0,$A5-1))</f>
        <v>289.2</v>
      </c>
      <c r="E5" s="324">
        <f ca="1">SUMIFS('Data for Q1'!$C$3:$C$116,'Data for Q1'!$A$3:$A$116,E$2,'Data for Q1'!$B$3:$B$116,OFFSET(E$2,0,$A5-1))</f>
        <v>313.5</v>
      </c>
      <c r="F5" s="324">
        <f ca="1">SUMIFS('Data for Q1'!$C$3:$C$116,'Data for Q1'!$A$3:$A$116,F$2,'Data for Q1'!$B$3:$B$116,OFFSET(F$2,0,$A5-1))</f>
        <v>306.60000000000002</v>
      </c>
      <c r="G5" s="324">
        <f ca="1">SUMIFS('Data for Q1'!$C$3:$C$116,'Data for Q1'!$A$3:$A$116,G$2,'Data for Q1'!$B$3:$B$116,OFFSET(G$2,0,$A5-1))</f>
        <v>312.29999999999995</v>
      </c>
      <c r="H5" s="324">
        <f ca="1">SUMIFS('Data for Q1'!$C$3:$C$116,'Data for Q1'!$A$3:$A$116,H$2,'Data for Q1'!$B$3:$B$116,OFFSET(H$2,0,$A5-1))</f>
        <v>289.2</v>
      </c>
      <c r="I5" s="324">
        <f ca="1">SUMIFS('Data for Q1'!$C$3:$C$116,'Data for Q1'!$A$3:$A$116,I$2,'Data for Q1'!$B$3:$B$116,OFFSET(I$2,0,$A5-1))</f>
        <v>300.29999999999995</v>
      </c>
      <c r="J5" s="324">
        <f ca="1">SUMIFS('Data for Q1'!$C$3:$C$116,'Data for Q1'!$A$3:$A$116,J$2,'Data for Q1'!$B$3:$B$116,OFFSET(J$2,0,$A5-1))</f>
        <v>291.59999999999997</v>
      </c>
      <c r="K5" s="324">
        <f ca="1">SUMIFS('Data for Q1'!$C$3:$C$116,'Data for Q1'!$A$3:$A$116,K$2,'Data for Q1'!$B$3:$B$116,OFFSET(K$2,0,$A5-1))</f>
        <v>288.3</v>
      </c>
      <c r="L5" s="324">
        <f ca="1">SUMIFS('Data for Q1'!$C$3:$C$116,'Data for Q1'!$A$3:$A$116,L$2,'Data for Q1'!$B$3:$B$116,OFFSET(L$2,0,$A5-1))</f>
        <v>295.8</v>
      </c>
      <c r="M5" s="324">
        <f ca="1">SUMIFS('Data for Q1'!$C$3:$C$116,'Data for Q1'!$A$3:$A$116,M$2,'Data for Q1'!$B$3:$B$116,OFFSET(M$2,0,$A5-1))</f>
        <v>308.09999999999997</v>
      </c>
    </row>
    <row r="6" spans="1:16">
      <c r="A6">
        <v>4</v>
      </c>
      <c r="B6" s="324">
        <f ca="1">SUMIFS('Data for Q1'!$C$3:$C$116,'Data for Q1'!$A$3:$A$116,B$2,'Data for Q1'!$B$3:$B$116,OFFSET(B$2,0,$A6-1))</f>
        <v>205.39999999999998</v>
      </c>
      <c r="C6" s="324">
        <f ca="1">SUMIFS('Data for Q1'!$C$3:$C$116,'Data for Q1'!$A$3:$A$116,C$2,'Data for Q1'!$B$3:$B$116,OFFSET(C$2,0,$A6-1))</f>
        <v>196</v>
      </c>
      <c r="D6" s="324">
        <f ca="1">SUMIFS('Data for Q1'!$C$3:$C$116,'Data for Q1'!$A$3:$A$116,D$2,'Data for Q1'!$B$3:$B$116,OFFSET(D$2,0,$A6-1))</f>
        <v>201.2</v>
      </c>
      <c r="E6" s="324">
        <f ca="1">SUMIFS('Data for Q1'!$C$3:$C$116,'Data for Q1'!$A$3:$A$116,E$2,'Data for Q1'!$B$3:$B$116,OFFSET(E$2,0,$A6-1))</f>
        <v>199.4</v>
      </c>
      <c r="F6" s="324">
        <f ca="1">SUMIFS('Data for Q1'!$C$3:$C$116,'Data for Q1'!$A$3:$A$116,F$2,'Data for Q1'!$B$3:$B$116,OFFSET(F$2,0,$A6-1))</f>
        <v>206.8</v>
      </c>
      <c r="G6" s="324">
        <f ca="1">SUMIFS('Data for Q1'!$C$3:$C$116,'Data for Q1'!$A$3:$A$116,G$2,'Data for Q1'!$B$3:$B$116,OFFSET(G$2,0,$A6-1))</f>
        <v>208.8</v>
      </c>
      <c r="H6" s="324">
        <f ca="1">SUMIFS('Data for Q1'!$C$3:$C$116,'Data for Q1'!$A$3:$A$116,H$2,'Data for Q1'!$B$3:$B$116,OFFSET(H$2,0,$A6-1))</f>
        <v>195.79999999999998</v>
      </c>
      <c r="I6" s="324">
        <f ca="1">SUMIFS('Data for Q1'!$C$3:$C$116,'Data for Q1'!$A$3:$A$116,I$2,'Data for Q1'!$B$3:$B$116,OFFSET(I$2,0,$A6-1))</f>
        <v>193.2</v>
      </c>
      <c r="J6" s="324">
        <f ca="1">SUMIFS('Data for Q1'!$C$3:$C$116,'Data for Q1'!$A$3:$A$116,J$2,'Data for Q1'!$B$3:$B$116,OFFSET(J$2,0,$A6-1))</f>
        <v>201.79999999999998</v>
      </c>
      <c r="K6" s="324">
        <f ca="1">SUMIFS('Data for Q1'!$C$3:$C$116,'Data for Q1'!$A$3:$A$116,K$2,'Data for Q1'!$B$3:$B$116,OFFSET(K$2,0,$A6-1))</f>
        <v>195</v>
      </c>
      <c r="L6" s="324">
        <f ca="1">SUMIFS('Data for Q1'!$C$3:$C$116,'Data for Q1'!$A$3:$A$116,L$2,'Data for Q1'!$B$3:$B$116,OFFSET(L$2,0,$A6-1))</f>
        <v>201.79999999999998</v>
      </c>
      <c r="M6" s="324">
        <f ca="1">SUMIFS('Data for Q1'!$C$3:$C$116,'Data for Q1'!$A$3:$A$116,M$2,'Data for Q1'!$B$3:$B$116,OFFSET(M$2,0,$A6-1))</f>
        <v>198</v>
      </c>
    </row>
    <row r="7" spans="1:16">
      <c r="A7">
        <v>5</v>
      </c>
      <c r="B7" s="324">
        <f ca="1">SUMIFS('Data for Q1'!$C$3:$C$116,'Data for Q1'!$A$3:$A$116,B$2,'Data for Q1'!$B$3:$B$116,OFFSET(B$2,0,$A7-1))</f>
        <v>50.649999999999991</v>
      </c>
      <c r="C7" s="324">
        <f ca="1">SUMIFS('Data for Q1'!$C$3:$C$116,'Data for Q1'!$A$3:$A$116,C$2,'Data for Q1'!$B$3:$B$116,OFFSET(C$2,0,$A7-1))</f>
        <v>48.3</v>
      </c>
      <c r="D7" s="324">
        <f ca="1">SUMIFS('Data for Q1'!$C$3:$C$116,'Data for Q1'!$A$3:$A$116,D$2,'Data for Q1'!$B$3:$B$116,OFFSET(D$2,0,$A7-1))</f>
        <v>52.15</v>
      </c>
      <c r="E7" s="324">
        <f ca="1">SUMIFS('Data for Q1'!$C$3:$C$116,'Data for Q1'!$A$3:$A$116,E$2,'Data for Q1'!$B$3:$B$116,OFFSET(E$2,0,$A7-1))</f>
        <v>49.55</v>
      </c>
      <c r="F7" s="324">
        <f ca="1">SUMIFS('Data for Q1'!$C$3:$C$116,'Data for Q1'!$A$3:$A$116,F$2,'Data for Q1'!$B$3:$B$116,OFFSET(F$2,0,$A7-1))</f>
        <v>51.249999999999993</v>
      </c>
      <c r="G7" s="324">
        <f ca="1">SUMIFS('Data for Q1'!$C$3:$C$116,'Data for Q1'!$A$3:$A$116,G$2,'Data for Q1'!$B$3:$B$116,OFFSET(G$2,0,$A7-1))</f>
        <v>48.3</v>
      </c>
      <c r="H7" s="324">
        <f ca="1">SUMIFS('Data for Q1'!$C$3:$C$116,'Data for Q1'!$A$3:$A$116,H$2,'Data for Q1'!$B$3:$B$116,OFFSET(H$2,0,$A7-1))</f>
        <v>48.25</v>
      </c>
      <c r="I7" s="324">
        <f ca="1">SUMIFS('Data for Q1'!$C$3:$C$116,'Data for Q1'!$A$3:$A$116,I$2,'Data for Q1'!$B$3:$B$116,OFFSET(I$2,0,$A7-1))</f>
        <v>47.9</v>
      </c>
      <c r="J7" s="324">
        <f ca="1">SUMIFS('Data for Q1'!$C$3:$C$116,'Data for Q1'!$A$3:$A$116,J$2,'Data for Q1'!$B$3:$B$116,OFFSET(J$2,0,$A7-1))</f>
        <v>48.05</v>
      </c>
      <c r="K7" s="324">
        <f ca="1">SUMIFS('Data for Q1'!$C$3:$C$116,'Data for Q1'!$A$3:$A$116,K$2,'Data for Q1'!$B$3:$B$116,OFFSET(K$2,0,$A7-1))</f>
        <v>48.3</v>
      </c>
      <c r="L7" s="324">
        <f ca="1">SUMIFS('Data for Q1'!$C$3:$C$116,'Data for Q1'!$A$3:$A$116,L$2,'Data for Q1'!$B$3:$B$116,OFFSET(L$2,0,$A7-1))</f>
        <v>49.1</v>
      </c>
      <c r="M7" s="324">
        <f ca="1">SUMIFS('Data for Q1'!$C$3:$C$116,'Data for Q1'!$A$3:$A$116,M$2,'Data for Q1'!$B$3:$B$116,OFFSET(M$2,0,$A7-1))</f>
        <v>0</v>
      </c>
    </row>
    <row r="8" spans="1:16">
      <c r="A8">
        <v>6</v>
      </c>
      <c r="B8" s="324">
        <f ca="1">SUMIFS('Data for Q1'!$C$3:$C$116,'Data for Q1'!$A$3:$A$116,B$2,'Data for Q1'!$B$3:$B$116,OFFSET(B$2,0,$A8-1))</f>
        <v>48.5</v>
      </c>
      <c r="C8" s="324">
        <f ca="1">SUMIFS('Data for Q1'!$C$3:$C$116,'Data for Q1'!$A$3:$A$116,C$2,'Data for Q1'!$B$3:$B$116,OFFSET(C$2,0,$A8-1))</f>
        <v>25.1</v>
      </c>
      <c r="D8" s="324">
        <f ca="1">SUMIFS('Data for Q1'!$C$3:$C$116,'Data for Q1'!$A$3:$A$116,D$2,'Data for Q1'!$B$3:$B$116,OFFSET(D$2,0,$A8-1))</f>
        <v>10.38</v>
      </c>
      <c r="E8" s="324">
        <f ca="1">SUMIFS('Data for Q1'!$C$3:$C$116,'Data for Q1'!$A$3:$A$116,E$2,'Data for Q1'!$B$3:$B$116,OFFSET(E$2,0,$A8-1))</f>
        <v>0</v>
      </c>
      <c r="F8" s="324">
        <f ca="1">SUMIFS('Data for Q1'!$C$3:$C$116,'Data for Q1'!$A$3:$A$116,F$2,'Data for Q1'!$B$3:$B$116,OFFSET(F$2,0,$A8-1))</f>
        <v>19.54</v>
      </c>
      <c r="G8" s="324">
        <f ca="1">SUMIFS('Data for Q1'!$C$3:$C$116,'Data for Q1'!$A$3:$A$116,G$2,'Data for Q1'!$B$3:$B$116,OFFSET(G$2,0,$A8-1))</f>
        <v>9.65</v>
      </c>
      <c r="H8" s="324">
        <f ca="1">SUMIFS('Data for Q1'!$C$3:$C$116,'Data for Q1'!$A$3:$A$116,H$2,'Data for Q1'!$B$3:$B$116,OFFSET(H$2,0,$A8-1))</f>
        <v>0</v>
      </c>
      <c r="I8" s="324">
        <f ca="1">SUMIFS('Data for Q1'!$C$3:$C$116,'Data for Q1'!$A$3:$A$116,I$2,'Data for Q1'!$B$3:$B$116,OFFSET(I$2,0,$A8-1))</f>
        <v>0</v>
      </c>
      <c r="J8" s="324">
        <f ca="1">SUMIFS('Data for Q1'!$C$3:$C$116,'Data for Q1'!$A$3:$A$116,J$2,'Data for Q1'!$B$3:$B$116,OFFSET(J$2,0,$A8-1))</f>
        <v>0</v>
      </c>
      <c r="K8" s="324">
        <f ca="1">SUMIFS('Data for Q1'!$C$3:$C$116,'Data for Q1'!$A$3:$A$116,K$2,'Data for Q1'!$B$3:$B$116,OFFSET(K$2,0,$A8-1))</f>
        <v>0</v>
      </c>
      <c r="L8" s="324">
        <f ca="1">SUMIFS('Data for Q1'!$C$3:$C$116,'Data for Q1'!$A$3:$A$116,L$2,'Data for Q1'!$B$3:$B$116,OFFSET(L$2,0,$A8-1))</f>
        <v>0</v>
      </c>
      <c r="M8" s="324">
        <f ca="1">SUMIFS('Data for Q1'!$C$3:$C$116,'Data for Q1'!$A$3:$A$116,M$2,'Data for Q1'!$B$3:$B$116,OFFSET(M$2,0,$A8-1))</f>
        <v>0</v>
      </c>
    </row>
    <row r="9" spans="1:16">
      <c r="A9">
        <v>7</v>
      </c>
      <c r="B9" s="324">
        <f ca="1">SUMIFS('Data for Q1'!$C$3:$C$116,'Data for Q1'!$A$3:$A$116,B$2,'Data for Q1'!$B$3:$B$116,OFFSET(B$2,0,$A9-1))</f>
        <v>0</v>
      </c>
      <c r="C9" s="324">
        <f ca="1">SUMIFS('Data for Q1'!$C$3:$C$116,'Data for Q1'!$A$3:$A$116,C$2,'Data for Q1'!$B$3:$B$116,OFFSET(C$2,0,$A9-1))</f>
        <v>0</v>
      </c>
      <c r="D9" s="324">
        <f ca="1">SUMIFS('Data for Q1'!$C$3:$C$116,'Data for Q1'!$A$3:$A$116,D$2,'Data for Q1'!$B$3:$B$116,OFFSET(D$2,0,$A9-1))</f>
        <v>0</v>
      </c>
      <c r="E9" s="324">
        <f ca="1">SUMIFS('Data for Q1'!$C$3:$C$116,'Data for Q1'!$A$3:$A$116,E$2,'Data for Q1'!$B$3:$B$116,OFFSET(E$2,0,$A9-1))</f>
        <v>0</v>
      </c>
      <c r="F9" s="324">
        <f ca="1">SUMIFS('Data for Q1'!$C$3:$C$116,'Data for Q1'!$A$3:$A$116,F$2,'Data for Q1'!$B$3:$B$116,OFFSET(F$2,0,$A9-1))</f>
        <v>0</v>
      </c>
      <c r="G9" s="324">
        <f ca="1">SUMIFS('Data for Q1'!$C$3:$C$116,'Data for Q1'!$A$3:$A$116,G$2,'Data for Q1'!$B$3:$B$116,OFFSET(G$2,0,$A9-1))</f>
        <v>0</v>
      </c>
      <c r="H9" s="324">
        <f ca="1">SUMIFS('Data for Q1'!$C$3:$C$116,'Data for Q1'!$A$3:$A$116,H$2,'Data for Q1'!$B$3:$B$116,OFFSET(H$2,0,$A9-1))</f>
        <v>0</v>
      </c>
      <c r="I9" s="324">
        <f ca="1">SUMIFS('Data for Q1'!$C$3:$C$116,'Data for Q1'!$A$3:$A$116,I$2,'Data for Q1'!$B$3:$B$116,OFFSET(I$2,0,$A9-1))</f>
        <v>0</v>
      </c>
      <c r="J9" s="324">
        <f ca="1">SUMIFS('Data for Q1'!$C$3:$C$116,'Data for Q1'!$A$3:$A$116,J$2,'Data for Q1'!$B$3:$B$116,OFFSET(J$2,0,$A9-1))</f>
        <v>0</v>
      </c>
      <c r="K9" s="324">
        <f ca="1">SUMIFS('Data for Q1'!$C$3:$C$116,'Data for Q1'!$A$3:$A$116,K$2,'Data for Q1'!$B$3:$B$116,OFFSET(K$2,0,$A9-1))</f>
        <v>0</v>
      </c>
      <c r="L9" s="324">
        <f ca="1">SUMIFS('Data for Q1'!$C$3:$C$116,'Data for Q1'!$A$3:$A$116,L$2,'Data for Q1'!$B$3:$B$116,OFFSET(L$2,0,$A9-1))</f>
        <v>0</v>
      </c>
      <c r="M9" s="324">
        <f ca="1">SUMIFS('Data for Q1'!$C$3:$C$116,'Data for Q1'!$A$3:$A$116,M$2,'Data for Q1'!$B$3:$B$116,OFFSET(M$2,0,$A9-1))</f>
        <v>0</v>
      </c>
    </row>
    <row r="10" spans="1:16">
      <c r="A10">
        <v>8</v>
      </c>
      <c r="B10" s="324">
        <f ca="1">SUMIFS('Data for Q1'!$C$3:$C$116,'Data for Q1'!$A$3:$A$116,B$2,'Data for Q1'!$B$3:$B$116,OFFSET(B$2,0,$A10-1))</f>
        <v>0</v>
      </c>
      <c r="C10" s="324">
        <f ca="1">SUMIFS('Data for Q1'!$C$3:$C$116,'Data for Q1'!$A$3:$A$116,C$2,'Data for Q1'!$B$3:$B$116,OFFSET(C$2,0,$A10-1))</f>
        <v>0</v>
      </c>
      <c r="D10" s="324">
        <f ca="1">SUMIFS('Data for Q1'!$C$3:$C$116,'Data for Q1'!$A$3:$A$116,D$2,'Data for Q1'!$B$3:$B$116,OFFSET(D$2,0,$A10-1))</f>
        <v>0</v>
      </c>
      <c r="E10" s="324">
        <f ca="1">SUMIFS('Data for Q1'!$C$3:$C$116,'Data for Q1'!$A$3:$A$116,E$2,'Data for Q1'!$B$3:$B$116,OFFSET(E$2,0,$A10-1))</f>
        <v>0</v>
      </c>
      <c r="F10" s="324">
        <f ca="1">SUMIFS('Data for Q1'!$C$3:$C$116,'Data for Q1'!$A$3:$A$116,F$2,'Data for Q1'!$B$3:$B$116,OFFSET(F$2,0,$A10-1))</f>
        <v>0</v>
      </c>
      <c r="G10" s="324">
        <f ca="1">SUMIFS('Data for Q1'!$C$3:$C$116,'Data for Q1'!$A$3:$A$116,G$2,'Data for Q1'!$B$3:$B$116,OFFSET(G$2,0,$A10-1))</f>
        <v>0</v>
      </c>
      <c r="H10" s="324">
        <f ca="1">SUMIFS('Data for Q1'!$C$3:$C$116,'Data for Q1'!$A$3:$A$116,H$2,'Data for Q1'!$B$3:$B$116,OFFSET(H$2,0,$A10-1))</f>
        <v>0</v>
      </c>
      <c r="I10" s="324">
        <f ca="1">SUMIFS('Data for Q1'!$C$3:$C$116,'Data for Q1'!$A$3:$A$116,I$2,'Data for Q1'!$B$3:$B$116,OFFSET(I$2,0,$A10-1))</f>
        <v>0</v>
      </c>
      <c r="J10" s="324">
        <f ca="1">SUMIFS('Data for Q1'!$C$3:$C$116,'Data for Q1'!$A$3:$A$116,J$2,'Data for Q1'!$B$3:$B$116,OFFSET(J$2,0,$A10-1))</f>
        <v>0</v>
      </c>
      <c r="K10" s="324">
        <f ca="1">SUMIFS('Data for Q1'!$C$3:$C$116,'Data for Q1'!$A$3:$A$116,K$2,'Data for Q1'!$B$3:$B$116,OFFSET(K$2,0,$A10-1))</f>
        <v>0</v>
      </c>
      <c r="L10" s="324">
        <f ca="1">SUMIFS('Data for Q1'!$C$3:$C$116,'Data for Q1'!$A$3:$A$116,L$2,'Data for Q1'!$B$3:$B$116,OFFSET(L$2,0,$A10-1))</f>
        <v>0</v>
      </c>
      <c r="M10" s="324">
        <f ca="1">SUMIFS('Data for Q1'!$C$3:$C$116,'Data for Q1'!$A$3:$A$116,M$2,'Data for Q1'!$B$3:$B$116,OFFSET(M$2,0,$A10-1))</f>
        <v>0</v>
      </c>
    </row>
    <row r="11" spans="1:16">
      <c r="A11">
        <v>9</v>
      </c>
      <c r="B11" s="324">
        <f ca="1">SUMIFS('Data for Q1'!$C$3:$C$116,'Data for Q1'!$A$3:$A$116,B$2,'Data for Q1'!$B$3:$B$116,OFFSET(B$2,0,$A11-1))</f>
        <v>0</v>
      </c>
      <c r="C11" s="324">
        <f ca="1">SUMIFS('Data for Q1'!$C$3:$C$116,'Data for Q1'!$A$3:$A$116,C$2,'Data for Q1'!$B$3:$B$116,OFFSET(C$2,0,$A11-1))</f>
        <v>0</v>
      </c>
      <c r="D11" s="324">
        <f ca="1">SUMIFS('Data for Q1'!$C$3:$C$116,'Data for Q1'!$A$3:$A$116,D$2,'Data for Q1'!$B$3:$B$116,OFFSET(D$2,0,$A11-1))</f>
        <v>0</v>
      </c>
      <c r="E11" s="324">
        <f ca="1">SUMIFS('Data for Q1'!$C$3:$C$116,'Data for Q1'!$A$3:$A$116,E$2,'Data for Q1'!$B$3:$B$116,OFFSET(E$2,0,$A11-1))</f>
        <v>0</v>
      </c>
      <c r="F11" s="324">
        <f ca="1">SUMIFS('Data for Q1'!$C$3:$C$116,'Data for Q1'!$A$3:$A$116,F$2,'Data for Q1'!$B$3:$B$116,OFFSET(F$2,0,$A11-1))</f>
        <v>0</v>
      </c>
      <c r="G11" s="324">
        <f ca="1">SUMIFS('Data for Q1'!$C$3:$C$116,'Data for Q1'!$A$3:$A$116,G$2,'Data for Q1'!$B$3:$B$116,OFFSET(G$2,0,$A11-1))</f>
        <v>0</v>
      </c>
      <c r="H11" s="324">
        <f ca="1">SUMIFS('Data for Q1'!$C$3:$C$116,'Data for Q1'!$A$3:$A$116,H$2,'Data for Q1'!$B$3:$B$116,OFFSET(H$2,0,$A11-1))</f>
        <v>0</v>
      </c>
      <c r="I11" s="324">
        <f ca="1">SUMIFS('Data for Q1'!$C$3:$C$116,'Data for Q1'!$A$3:$A$116,I$2,'Data for Q1'!$B$3:$B$116,OFFSET(I$2,0,$A11-1))</f>
        <v>0</v>
      </c>
      <c r="J11" s="324">
        <f ca="1">SUMIFS('Data for Q1'!$C$3:$C$116,'Data for Q1'!$A$3:$A$116,J$2,'Data for Q1'!$B$3:$B$116,OFFSET(J$2,0,$A11-1))</f>
        <v>0</v>
      </c>
      <c r="K11" s="324">
        <f ca="1">SUMIFS('Data for Q1'!$C$3:$C$116,'Data for Q1'!$A$3:$A$116,K$2,'Data for Q1'!$B$3:$B$116,OFFSET(K$2,0,$A11-1))</f>
        <v>0</v>
      </c>
      <c r="L11" s="324">
        <f ca="1">SUMIFS('Data for Q1'!$C$3:$C$116,'Data for Q1'!$A$3:$A$116,L$2,'Data for Q1'!$B$3:$B$116,OFFSET(L$2,0,$A11-1))</f>
        <v>0</v>
      </c>
      <c r="M11" s="324">
        <f ca="1">SUMIFS('Data for Q1'!$C$3:$C$116,'Data for Q1'!$A$3:$A$116,M$2,'Data for Q1'!$B$3:$B$116,OFFSET(M$2,0,$A11-1))</f>
        <v>0</v>
      </c>
    </row>
    <row r="12" spans="1:16">
      <c r="A12">
        <v>10</v>
      </c>
      <c r="B12" s="324">
        <f ca="1">SUMIFS('Data for Q1'!$C$3:$C$116,'Data for Q1'!$A$3:$A$116,B$2,'Data for Q1'!$B$3:$B$116,OFFSET(B$2,0,$A12-1))</f>
        <v>0</v>
      </c>
      <c r="C12" s="324">
        <f ca="1">SUMIFS('Data for Q1'!$C$3:$C$116,'Data for Q1'!$A$3:$A$116,C$2,'Data for Q1'!$B$3:$B$116,OFFSET(C$2,0,$A12-1))</f>
        <v>0</v>
      </c>
      <c r="D12" s="324">
        <f ca="1">SUMIFS('Data for Q1'!$C$3:$C$116,'Data for Q1'!$A$3:$A$116,D$2,'Data for Q1'!$B$3:$B$116,OFFSET(D$2,0,$A12-1))</f>
        <v>0</v>
      </c>
      <c r="E12" s="324">
        <f ca="1">SUMIFS('Data for Q1'!$C$3:$C$116,'Data for Q1'!$A$3:$A$116,E$2,'Data for Q1'!$B$3:$B$116,OFFSET(E$2,0,$A12-1))</f>
        <v>0</v>
      </c>
      <c r="F12" s="324">
        <f ca="1">SUMIFS('Data for Q1'!$C$3:$C$116,'Data for Q1'!$A$3:$A$116,F$2,'Data for Q1'!$B$3:$B$116,OFFSET(F$2,0,$A12-1))</f>
        <v>0</v>
      </c>
      <c r="G12" s="324">
        <f ca="1">SUMIFS('Data for Q1'!$C$3:$C$116,'Data for Q1'!$A$3:$A$116,G$2,'Data for Q1'!$B$3:$B$116,OFFSET(G$2,0,$A12-1))</f>
        <v>0</v>
      </c>
      <c r="H12" s="324">
        <f ca="1">SUMIFS('Data for Q1'!$C$3:$C$116,'Data for Q1'!$A$3:$A$116,H$2,'Data for Q1'!$B$3:$B$116,OFFSET(H$2,0,$A12-1))</f>
        <v>0</v>
      </c>
      <c r="I12" s="324">
        <f ca="1">SUMIFS('Data for Q1'!$C$3:$C$116,'Data for Q1'!$A$3:$A$116,I$2,'Data for Q1'!$B$3:$B$116,OFFSET(I$2,0,$A12-1))</f>
        <v>0</v>
      </c>
      <c r="J12" s="324">
        <f ca="1">SUMIFS('Data for Q1'!$C$3:$C$116,'Data for Q1'!$A$3:$A$116,J$2,'Data for Q1'!$B$3:$B$116,OFFSET(J$2,0,$A12-1))</f>
        <v>0</v>
      </c>
      <c r="K12" s="324">
        <f ca="1">SUMIFS('Data for Q1'!$C$3:$C$116,'Data for Q1'!$A$3:$A$116,K$2,'Data for Q1'!$B$3:$B$116,OFFSET(K$2,0,$A12-1))</f>
        <v>0</v>
      </c>
      <c r="L12" s="324">
        <f ca="1">SUMIFS('Data for Q1'!$C$3:$C$116,'Data for Q1'!$A$3:$A$116,L$2,'Data for Q1'!$B$3:$B$116,OFFSET(L$2,0,$A12-1))</f>
        <v>0</v>
      </c>
      <c r="M12" s="324">
        <f ca="1">SUMIFS('Data for Q1'!$C$3:$C$116,'Data for Q1'!$A$3:$A$116,M$2,'Data for Q1'!$B$3:$B$116,OFFSET(M$2,0,$A12-1))</f>
        <v>0</v>
      </c>
    </row>
    <row r="13" spans="1:16">
      <c r="A13">
        <v>11</v>
      </c>
      <c r="B13" s="324">
        <f ca="1">SUMIFS('Data for Q1'!$C$3:$C$116,'Data for Q1'!$A$3:$A$116,B$2,'Data for Q1'!$B$3:$B$116,OFFSET(B$2,0,$A13-1))</f>
        <v>0</v>
      </c>
      <c r="C13" s="324">
        <f ca="1">SUMIFS('Data for Q1'!$C$3:$C$116,'Data for Q1'!$A$3:$A$116,C$2,'Data for Q1'!$B$3:$B$116,OFFSET(C$2,0,$A13-1))</f>
        <v>0</v>
      </c>
      <c r="D13" s="324">
        <f ca="1">SUMIFS('Data for Q1'!$C$3:$C$116,'Data for Q1'!$A$3:$A$116,D$2,'Data for Q1'!$B$3:$B$116,OFFSET(D$2,0,$A13-1))</f>
        <v>0</v>
      </c>
      <c r="E13" s="324">
        <f ca="1">SUMIFS('Data for Q1'!$C$3:$C$116,'Data for Q1'!$A$3:$A$116,E$2,'Data for Q1'!$B$3:$B$116,OFFSET(E$2,0,$A13-1))</f>
        <v>0</v>
      </c>
      <c r="F13" s="324">
        <f ca="1">SUMIFS('Data for Q1'!$C$3:$C$116,'Data for Q1'!$A$3:$A$116,F$2,'Data for Q1'!$B$3:$B$116,OFFSET(F$2,0,$A13-1))</f>
        <v>0</v>
      </c>
      <c r="G13" s="324">
        <f ca="1">SUMIFS('Data for Q1'!$C$3:$C$116,'Data for Q1'!$A$3:$A$116,G$2,'Data for Q1'!$B$3:$B$116,OFFSET(G$2,0,$A13-1))</f>
        <v>0</v>
      </c>
      <c r="H13" s="324">
        <f ca="1">SUMIFS('Data for Q1'!$C$3:$C$116,'Data for Q1'!$A$3:$A$116,H$2,'Data for Q1'!$B$3:$B$116,OFFSET(H$2,0,$A13-1))</f>
        <v>0</v>
      </c>
      <c r="I13" s="324">
        <f ca="1">SUMIFS('Data for Q1'!$C$3:$C$116,'Data for Q1'!$A$3:$A$116,I$2,'Data for Q1'!$B$3:$B$116,OFFSET(I$2,0,$A13-1))</f>
        <v>0</v>
      </c>
      <c r="J13" s="324">
        <f ca="1">SUMIFS('Data for Q1'!$C$3:$C$116,'Data for Q1'!$A$3:$A$116,J$2,'Data for Q1'!$B$3:$B$116,OFFSET(J$2,0,$A13-1))</f>
        <v>0</v>
      </c>
      <c r="K13" s="324">
        <f ca="1">SUMIFS('Data for Q1'!$C$3:$C$116,'Data for Q1'!$A$3:$A$116,K$2,'Data for Q1'!$B$3:$B$116,OFFSET(K$2,0,$A13-1))</f>
        <v>0</v>
      </c>
      <c r="L13" s="324">
        <f ca="1">SUMIFS('Data for Q1'!$C$3:$C$116,'Data for Q1'!$A$3:$A$116,L$2,'Data for Q1'!$B$3:$B$116,OFFSET(L$2,0,$A13-1))</f>
        <v>0</v>
      </c>
      <c r="M13" s="324">
        <f ca="1">SUMIFS('Data for Q1'!$C$3:$C$116,'Data for Q1'!$A$3:$A$116,M$2,'Data for Q1'!$B$3:$B$116,OFFSET(M$2,0,$A13-1))</f>
        <v>0</v>
      </c>
    </row>
    <row r="14" spans="1:16">
      <c r="A14">
        <v>12</v>
      </c>
      <c r="B14" s="324">
        <f ca="1">SUMIFS('Data for Q1'!$C$3:$C$116,'Data for Q1'!$A$3:$A$116,B$2,'Data for Q1'!$B$3:$B$116,OFFSET(B$2,0,$A14-1))</f>
        <v>0</v>
      </c>
      <c r="C14" s="324">
        <f ca="1">SUMIFS('Data for Q1'!$C$3:$C$116,'Data for Q1'!$A$3:$A$116,C$2,'Data for Q1'!$B$3:$B$116,OFFSET(C$2,0,$A14-1))</f>
        <v>0</v>
      </c>
      <c r="D14" s="324">
        <f ca="1">SUMIFS('Data for Q1'!$C$3:$C$116,'Data for Q1'!$A$3:$A$116,D$2,'Data for Q1'!$B$3:$B$116,OFFSET(D$2,0,$A14-1))</f>
        <v>0</v>
      </c>
      <c r="E14" s="324">
        <f ca="1">SUMIFS('Data for Q1'!$C$3:$C$116,'Data for Q1'!$A$3:$A$116,E$2,'Data for Q1'!$B$3:$B$116,OFFSET(E$2,0,$A14-1))</f>
        <v>0</v>
      </c>
      <c r="F14" s="324">
        <f ca="1">SUMIFS('Data for Q1'!$C$3:$C$116,'Data for Q1'!$A$3:$A$116,F$2,'Data for Q1'!$B$3:$B$116,OFFSET(F$2,0,$A14-1))</f>
        <v>0</v>
      </c>
      <c r="G14" s="324">
        <f ca="1">SUMIFS('Data for Q1'!$C$3:$C$116,'Data for Q1'!$A$3:$A$116,G$2,'Data for Q1'!$B$3:$B$116,OFFSET(G$2,0,$A14-1))</f>
        <v>0</v>
      </c>
      <c r="H14" s="324">
        <f ca="1">SUMIFS('Data for Q1'!$C$3:$C$116,'Data for Q1'!$A$3:$A$116,H$2,'Data for Q1'!$B$3:$B$116,OFFSET(H$2,0,$A14-1))</f>
        <v>0</v>
      </c>
      <c r="I14" s="324">
        <f ca="1">SUMIFS('Data for Q1'!$C$3:$C$116,'Data for Q1'!$A$3:$A$116,I$2,'Data for Q1'!$B$3:$B$116,OFFSET(I$2,0,$A14-1))</f>
        <v>0</v>
      </c>
      <c r="J14" s="324">
        <f ca="1">SUMIFS('Data for Q1'!$C$3:$C$116,'Data for Q1'!$A$3:$A$116,J$2,'Data for Q1'!$B$3:$B$116,OFFSET(J$2,0,$A14-1))</f>
        <v>0</v>
      </c>
      <c r="K14" s="324">
        <f ca="1">SUMIFS('Data for Q1'!$C$3:$C$116,'Data for Q1'!$A$3:$A$116,K$2,'Data for Q1'!$B$3:$B$116,OFFSET(K$2,0,$A14-1))</f>
        <v>0</v>
      </c>
      <c r="L14" s="324">
        <f ca="1">SUMIFS('Data for Q1'!$C$3:$C$116,'Data for Q1'!$A$3:$A$116,L$2,'Data for Q1'!$B$3:$B$116,OFFSET(L$2,0,$A14-1))</f>
        <v>0</v>
      </c>
      <c r="M14" s="324">
        <f ca="1">SUMIFS('Data for Q1'!$C$3:$C$116,'Data for Q1'!$A$3:$A$116,M$2,'Data for Q1'!$B$3:$B$116,OFFSET(M$2,0,$A14-1))</f>
        <v>0</v>
      </c>
    </row>
    <row r="15" spans="1:16">
      <c r="A15">
        <v>13</v>
      </c>
      <c r="B15" s="324">
        <f ca="1">SUMIFS('Data for Q1'!$C$3:$C$116,'Data for Q1'!$A$3:$A$116,B$2,'Data for Q1'!$B$3:$B$116,OFFSET(B$2,0,$A15-1))</f>
        <v>0</v>
      </c>
      <c r="C15" s="324">
        <f ca="1">SUMIFS('Data for Q1'!$C$3:$C$116,'Data for Q1'!$A$3:$A$116,C$2,'Data for Q1'!$B$3:$B$116,OFFSET(C$2,0,$A15-1))</f>
        <v>0</v>
      </c>
      <c r="D15" s="324">
        <f ca="1">SUMIFS('Data for Q1'!$C$3:$C$116,'Data for Q1'!$A$3:$A$116,D$2,'Data for Q1'!$B$3:$B$116,OFFSET(D$2,0,$A15-1))</f>
        <v>0</v>
      </c>
      <c r="E15" s="324">
        <f ca="1">SUMIFS('Data for Q1'!$C$3:$C$116,'Data for Q1'!$A$3:$A$116,E$2,'Data for Q1'!$B$3:$B$116,OFFSET(E$2,0,$A15-1))</f>
        <v>0</v>
      </c>
      <c r="F15" s="324">
        <f ca="1">SUMIFS('Data for Q1'!$C$3:$C$116,'Data for Q1'!$A$3:$A$116,F$2,'Data for Q1'!$B$3:$B$116,OFFSET(F$2,0,$A15-1))</f>
        <v>0</v>
      </c>
      <c r="G15" s="324">
        <f ca="1">SUMIFS('Data for Q1'!$C$3:$C$116,'Data for Q1'!$A$3:$A$116,G$2,'Data for Q1'!$B$3:$B$116,OFFSET(G$2,0,$A15-1))</f>
        <v>0</v>
      </c>
      <c r="H15" s="324">
        <f ca="1">SUMIFS('Data for Q1'!$C$3:$C$116,'Data for Q1'!$A$3:$A$116,H$2,'Data for Q1'!$B$3:$B$116,OFFSET(H$2,0,$A15-1))</f>
        <v>0</v>
      </c>
      <c r="I15" s="324">
        <f ca="1">SUMIFS('Data for Q1'!$C$3:$C$116,'Data for Q1'!$A$3:$A$116,I$2,'Data for Q1'!$B$3:$B$116,OFFSET(I$2,0,$A15-1))</f>
        <v>0</v>
      </c>
      <c r="J15" s="324">
        <f ca="1">SUMIFS('Data for Q1'!$C$3:$C$116,'Data for Q1'!$A$3:$A$116,J$2,'Data for Q1'!$B$3:$B$116,OFFSET(J$2,0,$A15-1))</f>
        <v>0</v>
      </c>
      <c r="K15" s="324">
        <f ca="1">SUMIFS('Data for Q1'!$C$3:$C$116,'Data for Q1'!$A$3:$A$116,K$2,'Data for Q1'!$B$3:$B$116,OFFSET(K$2,0,$A15-1))</f>
        <v>0</v>
      </c>
      <c r="L15" s="324">
        <f ca="1">SUMIFS('Data for Q1'!$C$3:$C$116,'Data for Q1'!$A$3:$A$116,L$2,'Data for Q1'!$B$3:$B$116,OFFSET(L$2,0,$A15-1))</f>
        <v>0</v>
      </c>
      <c r="M15" s="324">
        <f ca="1">SUMIFS('Data for Q1'!$C$3:$C$116,'Data for Q1'!$A$3:$A$116,M$2,'Data for Q1'!$B$3:$B$116,OFFSET(M$2,0,$A15-1))</f>
        <v>0</v>
      </c>
    </row>
    <row r="16" spans="1:16">
      <c r="A16">
        <v>14</v>
      </c>
      <c r="B16" s="324">
        <f ca="1">SUMIFS('Data for Q1'!$C$3:$C$116,'Data for Q1'!$A$3:$A$116,B$2,'Data for Q1'!$B$3:$B$116,OFFSET(B$2,0,$A16-1))</f>
        <v>0</v>
      </c>
      <c r="C16" s="324">
        <f ca="1">SUMIFS('Data for Q1'!$C$3:$C$116,'Data for Q1'!$A$3:$A$116,C$2,'Data for Q1'!$B$3:$B$116,OFFSET(C$2,0,$A16-1))</f>
        <v>0</v>
      </c>
      <c r="D16" s="324">
        <f ca="1">SUMIFS('Data for Q1'!$C$3:$C$116,'Data for Q1'!$A$3:$A$116,D$2,'Data for Q1'!$B$3:$B$116,OFFSET(D$2,0,$A16-1))</f>
        <v>0</v>
      </c>
      <c r="E16" s="324">
        <f ca="1">SUMIFS('Data for Q1'!$C$3:$C$116,'Data for Q1'!$A$3:$A$116,E$2,'Data for Q1'!$B$3:$B$116,OFFSET(E$2,0,$A16-1))</f>
        <v>0</v>
      </c>
      <c r="F16" s="324">
        <f ca="1">SUMIFS('Data for Q1'!$C$3:$C$116,'Data for Q1'!$A$3:$A$116,F$2,'Data for Q1'!$B$3:$B$116,OFFSET(F$2,0,$A16-1))</f>
        <v>0</v>
      </c>
      <c r="G16" s="324">
        <f ca="1">SUMIFS('Data for Q1'!$C$3:$C$116,'Data for Q1'!$A$3:$A$116,G$2,'Data for Q1'!$B$3:$B$116,OFFSET(G$2,0,$A16-1))</f>
        <v>0</v>
      </c>
      <c r="H16" s="324">
        <f ca="1">SUMIFS('Data for Q1'!$C$3:$C$116,'Data for Q1'!$A$3:$A$116,H$2,'Data for Q1'!$B$3:$B$116,OFFSET(H$2,0,$A16-1))</f>
        <v>0</v>
      </c>
      <c r="I16" s="324">
        <f ca="1">SUMIFS('Data for Q1'!$C$3:$C$116,'Data for Q1'!$A$3:$A$116,I$2,'Data for Q1'!$B$3:$B$116,OFFSET(I$2,0,$A16-1))</f>
        <v>0</v>
      </c>
      <c r="J16" s="324">
        <f ca="1">SUMIFS('Data for Q1'!$C$3:$C$116,'Data for Q1'!$A$3:$A$116,J$2,'Data for Q1'!$B$3:$B$116,OFFSET(J$2,0,$A16-1))</f>
        <v>0</v>
      </c>
      <c r="K16" s="324">
        <f ca="1">SUMIFS('Data for Q1'!$C$3:$C$116,'Data for Q1'!$A$3:$A$116,K$2,'Data for Q1'!$B$3:$B$116,OFFSET(K$2,0,$A16-1))</f>
        <v>0</v>
      </c>
      <c r="L16" s="324">
        <f ca="1">SUMIFS('Data for Q1'!$C$3:$C$116,'Data for Q1'!$A$3:$A$116,L$2,'Data for Q1'!$B$3:$B$116,OFFSET(L$2,0,$A16-1))</f>
        <v>0</v>
      </c>
      <c r="M16" s="324">
        <f ca="1">SUMIFS('Data for Q1'!$C$3:$C$116,'Data for Q1'!$A$3:$A$116,M$2,'Data for Q1'!$B$3:$B$116,OFFSET(M$2,0,$A16-1))</f>
        <v>0</v>
      </c>
    </row>
    <row r="17" spans="1:14">
      <c r="A17">
        <v>15</v>
      </c>
      <c r="B17" s="324">
        <f ca="1">SUMIFS('Data for Q1'!$C$3:$C$116,'Data for Q1'!$A$3:$A$116,B$2,'Data for Q1'!$B$3:$B$116,OFFSET(B$2,0,$A17-1))</f>
        <v>0</v>
      </c>
      <c r="C17" s="324">
        <f ca="1">SUMIFS('Data for Q1'!$C$3:$C$116,'Data for Q1'!$A$3:$A$116,C$2,'Data for Q1'!$B$3:$B$116,OFFSET(C$2,0,$A17-1))</f>
        <v>0</v>
      </c>
      <c r="D17" s="324">
        <f ca="1">SUMIFS('Data for Q1'!$C$3:$C$116,'Data for Q1'!$A$3:$A$116,D$2,'Data for Q1'!$B$3:$B$116,OFFSET(D$2,0,$A17-1))</f>
        <v>0</v>
      </c>
      <c r="E17" s="324">
        <f ca="1">SUMIFS('Data for Q1'!$C$3:$C$116,'Data for Q1'!$A$3:$A$116,E$2,'Data for Q1'!$B$3:$B$116,OFFSET(E$2,0,$A17-1))</f>
        <v>0</v>
      </c>
      <c r="F17" s="324">
        <f ca="1">SUMIFS('Data for Q1'!$C$3:$C$116,'Data for Q1'!$A$3:$A$116,F$2,'Data for Q1'!$B$3:$B$116,OFFSET(F$2,0,$A17-1))</f>
        <v>0</v>
      </c>
      <c r="G17" s="324">
        <f ca="1">SUMIFS('Data for Q1'!$C$3:$C$116,'Data for Q1'!$A$3:$A$116,G$2,'Data for Q1'!$B$3:$B$116,OFFSET(G$2,0,$A17-1))</f>
        <v>0</v>
      </c>
      <c r="H17" s="324">
        <f ca="1">SUMIFS('Data for Q1'!$C$3:$C$116,'Data for Q1'!$A$3:$A$116,H$2,'Data for Q1'!$B$3:$B$116,OFFSET(H$2,0,$A17-1))</f>
        <v>0</v>
      </c>
      <c r="I17" s="324">
        <f ca="1">SUMIFS('Data for Q1'!$C$3:$C$116,'Data for Q1'!$A$3:$A$116,I$2,'Data for Q1'!$B$3:$B$116,OFFSET(I$2,0,$A17-1))</f>
        <v>0</v>
      </c>
      <c r="J17" s="324">
        <f ca="1">SUMIFS('Data for Q1'!$C$3:$C$116,'Data for Q1'!$A$3:$A$116,J$2,'Data for Q1'!$B$3:$B$116,OFFSET(J$2,0,$A17-1))</f>
        <v>0</v>
      </c>
      <c r="K17" s="324">
        <f ca="1">SUMIFS('Data for Q1'!$C$3:$C$116,'Data for Q1'!$A$3:$A$116,K$2,'Data for Q1'!$B$3:$B$116,OFFSET(K$2,0,$A17-1))</f>
        <v>0</v>
      </c>
      <c r="L17" s="324">
        <f ca="1">SUMIFS('Data for Q1'!$C$3:$C$116,'Data for Q1'!$A$3:$A$116,L$2,'Data for Q1'!$B$3:$B$116,OFFSET(L$2,0,$A17-1))</f>
        <v>0</v>
      </c>
      <c r="M17" s="324">
        <f ca="1">SUMIFS('Data for Q1'!$C$3:$C$116,'Data for Q1'!$A$3:$A$116,M$2,'Data for Q1'!$B$3:$B$116,OFFSET(M$2,0,$A17-1))</f>
        <v>0</v>
      </c>
    </row>
    <row r="18" spans="1:14">
      <c r="A18" t="s">
        <v>379</v>
      </c>
      <c r="B18" s="87">
        <f t="shared" ref="B18:M18" ca="1" si="0">SUM(B3:B17)</f>
        <v>1995.65</v>
      </c>
      <c r="C18" s="87">
        <f t="shared" ca="1" si="0"/>
        <v>2001.8999999999999</v>
      </c>
      <c r="D18" s="87">
        <f t="shared" ca="1" si="0"/>
        <v>1971.3300000000004</v>
      </c>
      <c r="E18" s="87">
        <f t="shared" ca="1" si="0"/>
        <v>1994.8500000000001</v>
      </c>
      <c r="F18" s="87">
        <f t="shared" ca="1" si="0"/>
        <v>1980.1899999999998</v>
      </c>
      <c r="G18" s="87">
        <f t="shared" ca="1" si="0"/>
        <v>2020.85</v>
      </c>
      <c r="H18" s="87">
        <f t="shared" ca="1" si="0"/>
        <v>1897.4499999999998</v>
      </c>
      <c r="I18" s="87">
        <f t="shared" ca="1" si="0"/>
        <v>1979</v>
      </c>
      <c r="J18" s="87">
        <f t="shared" ca="1" si="0"/>
        <v>1967.85</v>
      </c>
      <c r="K18" s="87">
        <f t="shared" ca="1" si="0"/>
        <v>1883.1999999999998</v>
      </c>
      <c r="L18" s="87">
        <f t="shared" ca="1" si="0"/>
        <v>1927.4999999999998</v>
      </c>
      <c r="M18" s="87">
        <f t="shared" ca="1" si="0"/>
        <v>1898.1</v>
      </c>
    </row>
    <row r="19" spans="1:14" ht="15.5">
      <c r="A19" s="68"/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</row>
    <row r="20" spans="1:14" ht="15.5">
      <c r="A20" s="9" t="s">
        <v>558</v>
      </c>
      <c r="N20" s="326"/>
    </row>
    <row r="21" spans="1:14" ht="15.5">
      <c r="B21" t="s">
        <v>255</v>
      </c>
      <c r="C21" t="s">
        <v>256</v>
      </c>
      <c r="D21" t="s">
        <v>257</v>
      </c>
      <c r="E21" t="s">
        <v>258</v>
      </c>
      <c r="F21" t="s">
        <v>259</v>
      </c>
      <c r="G21" t="s">
        <v>260</v>
      </c>
      <c r="H21" t="s">
        <v>261</v>
      </c>
      <c r="I21" t="s">
        <v>262</v>
      </c>
      <c r="J21" t="s">
        <v>263</v>
      </c>
      <c r="K21" t="s">
        <v>264</v>
      </c>
      <c r="L21" t="s">
        <v>265</v>
      </c>
      <c r="M21" t="s">
        <v>266</v>
      </c>
      <c r="N21" s="326"/>
    </row>
    <row r="22" spans="1:14" ht="15.5">
      <c r="A22">
        <v>1</v>
      </c>
      <c r="B22" s="87">
        <f t="shared" ref="B22:M22" ca="1" si="1">B3</f>
        <v>588.6</v>
      </c>
      <c r="C22" s="87">
        <f t="shared" ca="1" si="1"/>
        <v>630</v>
      </c>
      <c r="D22" s="87">
        <f t="shared" ca="1" si="1"/>
        <v>616.80000000000007</v>
      </c>
      <c r="E22" s="87">
        <f t="shared" ca="1" si="1"/>
        <v>625.20000000000005</v>
      </c>
      <c r="F22" s="87">
        <f t="shared" ca="1" si="1"/>
        <v>573.6</v>
      </c>
      <c r="G22" s="87">
        <f t="shared" ca="1" si="1"/>
        <v>601.79999999999995</v>
      </c>
      <c r="H22" s="87">
        <f t="shared" ca="1" si="1"/>
        <v>575.4</v>
      </c>
      <c r="I22" s="87">
        <f t="shared" ca="1" si="1"/>
        <v>628.80000000000007</v>
      </c>
      <c r="J22" s="87">
        <f t="shared" ca="1" si="1"/>
        <v>626.4</v>
      </c>
      <c r="K22" s="87">
        <f t="shared" ca="1" si="1"/>
        <v>574.79999999999995</v>
      </c>
      <c r="L22" s="87">
        <f t="shared" ca="1" si="1"/>
        <v>600</v>
      </c>
      <c r="M22" s="87">
        <f t="shared" ca="1" si="1"/>
        <v>580.79999999999995</v>
      </c>
      <c r="N22" s="326"/>
    </row>
    <row r="23" spans="1:14" ht="15.5">
      <c r="A23">
        <v>2</v>
      </c>
      <c r="B23" s="87">
        <f t="shared" ref="B23:B36" ca="1" si="2">B22+B4</f>
        <v>1392.6</v>
      </c>
      <c r="C23" s="87">
        <f t="shared" ref="C23:C36" ca="1" si="3">C22+C4</f>
        <v>1419.6</v>
      </c>
      <c r="D23" s="87">
        <f t="shared" ref="D23:D36" ca="1" si="4">D22+D4</f>
        <v>1418.4</v>
      </c>
      <c r="E23" s="87">
        <f t="shared" ref="E23:E36" ca="1" si="5">E22+E4</f>
        <v>1432.4</v>
      </c>
      <c r="F23" s="87">
        <f t="shared" ref="F23:F36" ca="1" si="6">F22+F4</f>
        <v>1396</v>
      </c>
      <c r="G23" s="87">
        <f t="shared" ref="G23:G36" ca="1" si="7">G22+G4</f>
        <v>1441.8</v>
      </c>
      <c r="H23" s="87">
        <f t="shared" ref="H23:H36" ca="1" si="8">H22+H4</f>
        <v>1364.1999999999998</v>
      </c>
      <c r="I23" s="87">
        <f t="shared" ref="I23:I36" ca="1" si="9">I22+I4</f>
        <v>1437.6</v>
      </c>
      <c r="J23" s="87">
        <f t="shared" ref="J23:J36" ca="1" si="10">J22+J4</f>
        <v>1426.4</v>
      </c>
      <c r="K23" s="87">
        <f t="shared" ref="K23:K36" ca="1" si="11">K22+K4</f>
        <v>1351.6</v>
      </c>
      <c r="L23" s="87">
        <f t="shared" ref="L23:L36" ca="1" si="12">L22+L4</f>
        <v>1380.8</v>
      </c>
      <c r="M23" s="87">
        <f t="shared" ref="M23:M36" ca="1" si="13">M22+M4</f>
        <v>1392</v>
      </c>
      <c r="N23" s="326"/>
    </row>
    <row r="24" spans="1:14" ht="15.5">
      <c r="A24">
        <v>3</v>
      </c>
      <c r="B24" s="87">
        <f t="shared" ca="1" si="2"/>
        <v>1691.1</v>
      </c>
      <c r="C24" s="87">
        <f t="shared" ca="1" si="3"/>
        <v>1732.5</v>
      </c>
      <c r="D24" s="87">
        <f t="shared" ca="1" si="4"/>
        <v>1707.6000000000001</v>
      </c>
      <c r="E24" s="87">
        <f t="shared" ca="1" si="5"/>
        <v>1745.9</v>
      </c>
      <c r="F24" s="87">
        <f t="shared" ca="1" si="6"/>
        <v>1702.6</v>
      </c>
      <c r="G24" s="87">
        <f t="shared" ca="1" si="7"/>
        <v>1754.1</v>
      </c>
      <c r="H24" s="87">
        <f t="shared" ca="1" si="8"/>
        <v>1653.3999999999999</v>
      </c>
      <c r="I24" s="87">
        <f t="shared" ca="1" si="9"/>
        <v>1737.8999999999999</v>
      </c>
      <c r="J24" s="87">
        <f t="shared" ca="1" si="10"/>
        <v>1718</v>
      </c>
      <c r="K24" s="87">
        <f t="shared" ca="1" si="11"/>
        <v>1639.8999999999999</v>
      </c>
      <c r="L24" s="87">
        <f t="shared" ca="1" si="12"/>
        <v>1676.6</v>
      </c>
      <c r="M24" s="87">
        <f t="shared" ca="1" si="13"/>
        <v>1700.1</v>
      </c>
      <c r="N24" s="326"/>
    </row>
    <row r="25" spans="1:14" ht="15.5">
      <c r="A25">
        <v>4</v>
      </c>
      <c r="B25" s="87">
        <f t="shared" ca="1" si="2"/>
        <v>1896.5</v>
      </c>
      <c r="C25" s="87">
        <f t="shared" ca="1" si="3"/>
        <v>1928.5</v>
      </c>
      <c r="D25" s="87">
        <f t="shared" ca="1" si="4"/>
        <v>1908.8000000000002</v>
      </c>
      <c r="E25" s="87">
        <f t="shared" ca="1" si="5"/>
        <v>1945.3000000000002</v>
      </c>
      <c r="F25" s="87">
        <f t="shared" ca="1" si="6"/>
        <v>1909.3999999999999</v>
      </c>
      <c r="G25" s="87">
        <f t="shared" ca="1" si="7"/>
        <v>1962.8999999999999</v>
      </c>
      <c r="H25" s="87">
        <f t="shared" ca="1" si="8"/>
        <v>1849.1999999999998</v>
      </c>
      <c r="I25" s="87">
        <f t="shared" ca="1" si="9"/>
        <v>1931.1</v>
      </c>
      <c r="J25" s="87">
        <f t="shared" ca="1" si="10"/>
        <v>1919.8</v>
      </c>
      <c r="K25" s="87">
        <f t="shared" ca="1" si="11"/>
        <v>1834.8999999999999</v>
      </c>
      <c r="L25" s="87">
        <f t="shared" ca="1" si="12"/>
        <v>1878.3999999999999</v>
      </c>
      <c r="M25" s="87">
        <f t="shared" ca="1" si="13"/>
        <v>1898.1</v>
      </c>
      <c r="N25" s="326"/>
    </row>
    <row r="26" spans="1:14" ht="15.5">
      <c r="A26">
        <v>5</v>
      </c>
      <c r="B26" s="87">
        <f t="shared" ca="1" si="2"/>
        <v>1947.15</v>
      </c>
      <c r="C26" s="87">
        <f t="shared" ca="1" si="3"/>
        <v>1976.8</v>
      </c>
      <c r="D26" s="87">
        <f t="shared" ca="1" si="4"/>
        <v>1960.9500000000003</v>
      </c>
      <c r="E26" s="87">
        <f t="shared" ca="1" si="5"/>
        <v>1994.8500000000001</v>
      </c>
      <c r="F26" s="87">
        <f t="shared" ca="1" si="6"/>
        <v>1960.6499999999999</v>
      </c>
      <c r="G26" s="87">
        <f t="shared" ca="1" si="7"/>
        <v>2011.1999999999998</v>
      </c>
      <c r="H26" s="87">
        <f t="shared" ca="1" si="8"/>
        <v>1897.4499999999998</v>
      </c>
      <c r="I26" s="87">
        <f t="shared" ca="1" si="9"/>
        <v>1979</v>
      </c>
      <c r="J26" s="87">
        <f t="shared" ca="1" si="10"/>
        <v>1967.85</v>
      </c>
      <c r="K26" s="87">
        <f t="shared" ca="1" si="11"/>
        <v>1883.1999999999998</v>
      </c>
      <c r="L26" s="87">
        <f t="shared" ca="1" si="12"/>
        <v>1927.4999999999998</v>
      </c>
      <c r="M26" s="87">
        <f t="shared" ca="1" si="13"/>
        <v>1898.1</v>
      </c>
      <c r="N26" s="326"/>
    </row>
    <row r="27" spans="1:14" ht="15.5">
      <c r="A27">
        <v>6</v>
      </c>
      <c r="B27" s="87">
        <f t="shared" ca="1" si="2"/>
        <v>1995.65</v>
      </c>
      <c r="C27" s="87">
        <f t="shared" ca="1" si="3"/>
        <v>2001.8999999999999</v>
      </c>
      <c r="D27" s="87">
        <f t="shared" ca="1" si="4"/>
        <v>1971.3300000000004</v>
      </c>
      <c r="E27" s="87">
        <f t="shared" ca="1" si="5"/>
        <v>1994.8500000000001</v>
      </c>
      <c r="F27" s="87">
        <f t="shared" ca="1" si="6"/>
        <v>1980.1899999999998</v>
      </c>
      <c r="G27" s="87">
        <f t="shared" ca="1" si="7"/>
        <v>2020.85</v>
      </c>
      <c r="H27" s="87">
        <f t="shared" ca="1" si="8"/>
        <v>1897.4499999999998</v>
      </c>
      <c r="I27" s="87">
        <f t="shared" ca="1" si="9"/>
        <v>1979</v>
      </c>
      <c r="J27" s="87">
        <f t="shared" ca="1" si="10"/>
        <v>1967.85</v>
      </c>
      <c r="K27" s="87">
        <f t="shared" ca="1" si="11"/>
        <v>1883.1999999999998</v>
      </c>
      <c r="L27" s="87">
        <f t="shared" ca="1" si="12"/>
        <v>1927.4999999999998</v>
      </c>
      <c r="M27" s="87">
        <f t="shared" ca="1" si="13"/>
        <v>1898.1</v>
      </c>
      <c r="N27" s="327"/>
    </row>
    <row r="28" spans="1:14" ht="15.5">
      <c r="A28">
        <v>7</v>
      </c>
      <c r="B28" s="87">
        <f t="shared" ca="1" si="2"/>
        <v>1995.65</v>
      </c>
      <c r="C28" s="87">
        <f t="shared" ca="1" si="3"/>
        <v>2001.8999999999999</v>
      </c>
      <c r="D28" s="87">
        <f t="shared" ca="1" si="4"/>
        <v>1971.3300000000004</v>
      </c>
      <c r="E28" s="87">
        <f t="shared" ca="1" si="5"/>
        <v>1994.8500000000001</v>
      </c>
      <c r="F28" s="87">
        <f t="shared" ca="1" si="6"/>
        <v>1980.1899999999998</v>
      </c>
      <c r="G28" s="87">
        <f t="shared" ca="1" si="7"/>
        <v>2020.85</v>
      </c>
      <c r="H28" s="87">
        <f t="shared" ca="1" si="8"/>
        <v>1897.4499999999998</v>
      </c>
      <c r="I28" s="87">
        <f t="shared" ca="1" si="9"/>
        <v>1979</v>
      </c>
      <c r="J28" s="87">
        <f t="shared" ca="1" si="10"/>
        <v>1967.85</v>
      </c>
      <c r="K28" s="87">
        <f t="shared" ca="1" si="11"/>
        <v>1883.1999999999998</v>
      </c>
      <c r="L28" s="87">
        <f t="shared" ca="1" si="12"/>
        <v>1927.4999999999998</v>
      </c>
      <c r="M28" s="87">
        <f t="shared" ca="1" si="13"/>
        <v>1898.1</v>
      </c>
      <c r="N28" s="327"/>
    </row>
    <row r="29" spans="1:14" ht="15.5">
      <c r="A29">
        <v>8</v>
      </c>
      <c r="B29" s="87">
        <f t="shared" ca="1" si="2"/>
        <v>1995.65</v>
      </c>
      <c r="C29" s="87">
        <f t="shared" ca="1" si="3"/>
        <v>2001.8999999999999</v>
      </c>
      <c r="D29" s="87">
        <f t="shared" ca="1" si="4"/>
        <v>1971.3300000000004</v>
      </c>
      <c r="E29" s="87">
        <f t="shared" ca="1" si="5"/>
        <v>1994.8500000000001</v>
      </c>
      <c r="F29" s="87">
        <f t="shared" ca="1" si="6"/>
        <v>1980.1899999999998</v>
      </c>
      <c r="G29" s="87">
        <f t="shared" ca="1" si="7"/>
        <v>2020.85</v>
      </c>
      <c r="H29" s="87">
        <f t="shared" ca="1" si="8"/>
        <v>1897.4499999999998</v>
      </c>
      <c r="I29" s="87">
        <f t="shared" ca="1" si="9"/>
        <v>1979</v>
      </c>
      <c r="J29" s="87">
        <f t="shared" ca="1" si="10"/>
        <v>1967.85</v>
      </c>
      <c r="K29" s="87">
        <f t="shared" ca="1" si="11"/>
        <v>1883.1999999999998</v>
      </c>
      <c r="L29" s="87">
        <f t="shared" ca="1" si="12"/>
        <v>1927.4999999999998</v>
      </c>
      <c r="M29" s="87">
        <f t="shared" ca="1" si="13"/>
        <v>1898.1</v>
      </c>
      <c r="N29" s="327"/>
    </row>
    <row r="30" spans="1:14" ht="15.5">
      <c r="A30">
        <v>9</v>
      </c>
      <c r="B30" s="87">
        <f t="shared" ca="1" si="2"/>
        <v>1995.65</v>
      </c>
      <c r="C30" s="87">
        <f t="shared" ca="1" si="3"/>
        <v>2001.8999999999999</v>
      </c>
      <c r="D30" s="87">
        <f t="shared" ca="1" si="4"/>
        <v>1971.3300000000004</v>
      </c>
      <c r="E30" s="87">
        <f t="shared" ca="1" si="5"/>
        <v>1994.8500000000001</v>
      </c>
      <c r="F30" s="87">
        <f t="shared" ca="1" si="6"/>
        <v>1980.1899999999998</v>
      </c>
      <c r="G30" s="87">
        <f t="shared" ca="1" si="7"/>
        <v>2020.85</v>
      </c>
      <c r="H30" s="87">
        <f t="shared" ca="1" si="8"/>
        <v>1897.4499999999998</v>
      </c>
      <c r="I30" s="87">
        <f t="shared" ca="1" si="9"/>
        <v>1979</v>
      </c>
      <c r="J30" s="87">
        <f t="shared" ca="1" si="10"/>
        <v>1967.85</v>
      </c>
      <c r="K30" s="87">
        <f t="shared" ca="1" si="11"/>
        <v>1883.1999999999998</v>
      </c>
      <c r="L30" s="87">
        <f t="shared" ca="1" si="12"/>
        <v>1927.4999999999998</v>
      </c>
      <c r="M30" s="87">
        <f t="shared" ca="1" si="13"/>
        <v>1898.1</v>
      </c>
      <c r="N30" s="327"/>
    </row>
    <row r="31" spans="1:14" ht="15.5">
      <c r="A31">
        <v>10</v>
      </c>
      <c r="B31" s="87">
        <f t="shared" ca="1" si="2"/>
        <v>1995.65</v>
      </c>
      <c r="C31" s="87">
        <f t="shared" ca="1" si="3"/>
        <v>2001.8999999999999</v>
      </c>
      <c r="D31" s="87">
        <f t="shared" ca="1" si="4"/>
        <v>1971.3300000000004</v>
      </c>
      <c r="E31" s="87">
        <f t="shared" ca="1" si="5"/>
        <v>1994.8500000000001</v>
      </c>
      <c r="F31" s="87">
        <f t="shared" ca="1" si="6"/>
        <v>1980.1899999999998</v>
      </c>
      <c r="G31" s="87">
        <f t="shared" ca="1" si="7"/>
        <v>2020.85</v>
      </c>
      <c r="H31" s="87">
        <f t="shared" ca="1" si="8"/>
        <v>1897.4499999999998</v>
      </c>
      <c r="I31" s="87">
        <f t="shared" ca="1" si="9"/>
        <v>1979</v>
      </c>
      <c r="J31" s="87">
        <f t="shared" ca="1" si="10"/>
        <v>1967.85</v>
      </c>
      <c r="K31" s="87">
        <f t="shared" ca="1" si="11"/>
        <v>1883.1999999999998</v>
      </c>
      <c r="L31" s="87">
        <f t="shared" ca="1" si="12"/>
        <v>1927.4999999999998</v>
      </c>
      <c r="M31" s="87">
        <f t="shared" ca="1" si="13"/>
        <v>1898.1</v>
      </c>
      <c r="N31" s="327"/>
    </row>
    <row r="32" spans="1:14" ht="15.5">
      <c r="A32">
        <v>11</v>
      </c>
      <c r="B32" s="87">
        <f t="shared" ca="1" si="2"/>
        <v>1995.65</v>
      </c>
      <c r="C32" s="87">
        <f t="shared" ca="1" si="3"/>
        <v>2001.8999999999999</v>
      </c>
      <c r="D32" s="87">
        <f t="shared" ca="1" si="4"/>
        <v>1971.3300000000004</v>
      </c>
      <c r="E32" s="87">
        <f t="shared" ca="1" si="5"/>
        <v>1994.8500000000001</v>
      </c>
      <c r="F32" s="87">
        <f t="shared" ca="1" si="6"/>
        <v>1980.1899999999998</v>
      </c>
      <c r="G32" s="87">
        <f t="shared" ca="1" si="7"/>
        <v>2020.85</v>
      </c>
      <c r="H32" s="87">
        <f t="shared" ca="1" si="8"/>
        <v>1897.4499999999998</v>
      </c>
      <c r="I32" s="87">
        <f t="shared" ca="1" si="9"/>
        <v>1979</v>
      </c>
      <c r="J32" s="87">
        <f t="shared" ca="1" si="10"/>
        <v>1967.85</v>
      </c>
      <c r="K32" s="87">
        <f t="shared" ca="1" si="11"/>
        <v>1883.1999999999998</v>
      </c>
      <c r="L32" s="87">
        <f t="shared" ca="1" si="12"/>
        <v>1927.4999999999998</v>
      </c>
      <c r="M32" s="87">
        <f t="shared" ca="1" si="13"/>
        <v>1898.1</v>
      </c>
      <c r="N32" s="327"/>
    </row>
    <row r="33" spans="1:20" ht="15.5">
      <c r="A33">
        <v>12</v>
      </c>
      <c r="B33" s="87">
        <f t="shared" ca="1" si="2"/>
        <v>1995.65</v>
      </c>
      <c r="C33" s="87">
        <f t="shared" ca="1" si="3"/>
        <v>2001.8999999999999</v>
      </c>
      <c r="D33" s="87">
        <f t="shared" ca="1" si="4"/>
        <v>1971.3300000000004</v>
      </c>
      <c r="E33" s="87">
        <f t="shared" ca="1" si="5"/>
        <v>1994.8500000000001</v>
      </c>
      <c r="F33" s="87">
        <f t="shared" ca="1" si="6"/>
        <v>1980.1899999999998</v>
      </c>
      <c r="G33" s="87">
        <f t="shared" ca="1" si="7"/>
        <v>2020.85</v>
      </c>
      <c r="H33" s="87">
        <f t="shared" ca="1" si="8"/>
        <v>1897.4499999999998</v>
      </c>
      <c r="I33" s="87">
        <f t="shared" ca="1" si="9"/>
        <v>1979</v>
      </c>
      <c r="J33" s="87">
        <f t="shared" ca="1" si="10"/>
        <v>1967.85</v>
      </c>
      <c r="K33" s="87">
        <f t="shared" ca="1" si="11"/>
        <v>1883.1999999999998</v>
      </c>
      <c r="L33" s="87">
        <f t="shared" ca="1" si="12"/>
        <v>1927.4999999999998</v>
      </c>
      <c r="M33" s="87">
        <f t="shared" ca="1" si="13"/>
        <v>1898.1</v>
      </c>
      <c r="N33" s="327"/>
    </row>
    <row r="34" spans="1:20" ht="15.5">
      <c r="A34">
        <v>13</v>
      </c>
      <c r="B34" s="87">
        <f t="shared" ca="1" si="2"/>
        <v>1995.65</v>
      </c>
      <c r="C34" s="87">
        <f t="shared" ca="1" si="3"/>
        <v>2001.8999999999999</v>
      </c>
      <c r="D34" s="87">
        <f t="shared" ca="1" si="4"/>
        <v>1971.3300000000004</v>
      </c>
      <c r="E34" s="87">
        <f t="shared" ca="1" si="5"/>
        <v>1994.8500000000001</v>
      </c>
      <c r="F34" s="87">
        <f t="shared" ca="1" si="6"/>
        <v>1980.1899999999998</v>
      </c>
      <c r="G34" s="87">
        <f t="shared" ca="1" si="7"/>
        <v>2020.85</v>
      </c>
      <c r="H34" s="87">
        <f t="shared" ca="1" si="8"/>
        <v>1897.4499999999998</v>
      </c>
      <c r="I34" s="87">
        <f t="shared" ca="1" si="9"/>
        <v>1979</v>
      </c>
      <c r="J34" s="87">
        <f t="shared" ca="1" si="10"/>
        <v>1967.85</v>
      </c>
      <c r="K34" s="87">
        <f t="shared" ca="1" si="11"/>
        <v>1883.1999999999998</v>
      </c>
      <c r="L34" s="87">
        <f t="shared" ca="1" si="12"/>
        <v>1927.4999999999998</v>
      </c>
      <c r="M34" s="87">
        <f t="shared" ca="1" si="13"/>
        <v>1898.1</v>
      </c>
      <c r="N34" s="327"/>
    </row>
    <row r="35" spans="1:20" ht="15.5">
      <c r="A35">
        <v>14</v>
      </c>
      <c r="B35" s="87">
        <f t="shared" ca="1" si="2"/>
        <v>1995.65</v>
      </c>
      <c r="C35" s="87">
        <f t="shared" ca="1" si="3"/>
        <v>2001.8999999999999</v>
      </c>
      <c r="D35" s="87">
        <f t="shared" ca="1" si="4"/>
        <v>1971.3300000000004</v>
      </c>
      <c r="E35" s="87">
        <f t="shared" ca="1" si="5"/>
        <v>1994.8500000000001</v>
      </c>
      <c r="F35" s="87">
        <f t="shared" ca="1" si="6"/>
        <v>1980.1899999999998</v>
      </c>
      <c r="G35" s="87">
        <f t="shared" ca="1" si="7"/>
        <v>2020.85</v>
      </c>
      <c r="H35" s="87">
        <f t="shared" ca="1" si="8"/>
        <v>1897.4499999999998</v>
      </c>
      <c r="I35" s="87">
        <f t="shared" ca="1" si="9"/>
        <v>1979</v>
      </c>
      <c r="J35" s="87">
        <f t="shared" ca="1" si="10"/>
        <v>1967.85</v>
      </c>
      <c r="K35" s="87">
        <f t="shared" ca="1" si="11"/>
        <v>1883.1999999999998</v>
      </c>
      <c r="L35" s="87">
        <f t="shared" ca="1" si="12"/>
        <v>1927.4999999999998</v>
      </c>
      <c r="M35" s="87">
        <f t="shared" ca="1" si="13"/>
        <v>1898.1</v>
      </c>
      <c r="N35" s="327"/>
    </row>
    <row r="36" spans="1:20" ht="15.5">
      <c r="A36">
        <v>15</v>
      </c>
      <c r="B36" s="87">
        <f t="shared" ca="1" si="2"/>
        <v>1995.65</v>
      </c>
      <c r="C36" s="87">
        <f t="shared" ca="1" si="3"/>
        <v>2001.8999999999999</v>
      </c>
      <c r="D36" s="87">
        <f t="shared" ca="1" si="4"/>
        <v>1971.3300000000004</v>
      </c>
      <c r="E36" s="87">
        <f t="shared" ca="1" si="5"/>
        <v>1994.8500000000001</v>
      </c>
      <c r="F36" s="87">
        <f t="shared" ca="1" si="6"/>
        <v>1980.1899999999998</v>
      </c>
      <c r="G36" s="87">
        <f t="shared" ca="1" si="7"/>
        <v>2020.85</v>
      </c>
      <c r="H36" s="87">
        <f t="shared" ca="1" si="8"/>
        <v>1897.4499999999998</v>
      </c>
      <c r="I36" s="87">
        <f t="shared" ca="1" si="9"/>
        <v>1979</v>
      </c>
      <c r="J36" s="87">
        <f t="shared" ca="1" si="10"/>
        <v>1967.85</v>
      </c>
      <c r="K36" s="87">
        <f t="shared" ca="1" si="11"/>
        <v>1883.1999999999998</v>
      </c>
      <c r="L36" s="87">
        <f t="shared" ca="1" si="12"/>
        <v>1927.4999999999998</v>
      </c>
      <c r="M36" s="87">
        <f t="shared" ca="1" si="13"/>
        <v>1898.1</v>
      </c>
      <c r="N36" s="327"/>
    </row>
    <row r="37" spans="1:20" ht="15.5">
      <c r="A37" s="68"/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</row>
    <row r="38" spans="1:20">
      <c r="A38" s="9" t="s">
        <v>559</v>
      </c>
      <c r="Q38" s="337" t="s">
        <v>560</v>
      </c>
      <c r="R38" s="337"/>
      <c r="S38" s="338" t="s">
        <v>561</v>
      </c>
      <c r="T38" s="338"/>
    </row>
    <row r="39" spans="1:20" ht="15" thickBot="1">
      <c r="B39" t="s">
        <v>255</v>
      </c>
      <c r="C39" t="s">
        <v>256</v>
      </c>
      <c r="D39" t="s">
        <v>257</v>
      </c>
      <c r="E39" t="s">
        <v>258</v>
      </c>
      <c r="F39" t="s">
        <v>259</v>
      </c>
      <c r="G39" t="s">
        <v>260</v>
      </c>
      <c r="H39" t="s">
        <v>261</v>
      </c>
      <c r="I39" t="s">
        <v>262</v>
      </c>
      <c r="J39" t="s">
        <v>263</v>
      </c>
      <c r="K39" t="s">
        <v>264</v>
      </c>
      <c r="L39" t="s">
        <v>265</v>
      </c>
      <c r="M39" t="s">
        <v>266</v>
      </c>
      <c r="Q39" t="s">
        <v>562</v>
      </c>
      <c r="R39" t="s">
        <v>563</v>
      </c>
      <c r="S39" t="s">
        <v>562</v>
      </c>
      <c r="T39" t="s">
        <v>563</v>
      </c>
    </row>
    <row r="40" spans="1:20">
      <c r="A40">
        <v>1</v>
      </c>
      <c r="B40" s="87" t="s">
        <v>564</v>
      </c>
      <c r="C40" s="87" t="s">
        <v>564</v>
      </c>
      <c r="D40" s="87" t="s">
        <v>564</v>
      </c>
      <c r="E40" s="87" t="s">
        <v>564</v>
      </c>
      <c r="F40" s="87" t="s">
        <v>564</v>
      </c>
      <c r="G40" s="87" t="s">
        <v>564</v>
      </c>
      <c r="H40" s="87" t="s">
        <v>564</v>
      </c>
      <c r="I40" s="87" t="s">
        <v>564</v>
      </c>
      <c r="J40" s="87" t="s">
        <v>564</v>
      </c>
      <c r="K40" s="87" t="s">
        <v>564</v>
      </c>
      <c r="L40" s="87" t="s">
        <v>564</v>
      </c>
      <c r="M40" s="87" t="s">
        <v>564</v>
      </c>
      <c r="S40" s="318">
        <f t="shared" ref="S40:T42" ca="1" si="14">S41/Q41</f>
        <v>0.30492108075180091</v>
      </c>
      <c r="T40" s="319">
        <f t="shared" ca="1" si="14"/>
        <v>0.30884687277782635</v>
      </c>
    </row>
    <row r="41" spans="1:20">
      <c r="A41">
        <v>2</v>
      </c>
      <c r="B41" s="328">
        <f t="shared" ref="B41:M41" ca="1" si="15">B23/B22</f>
        <v>2.3659531090723749</v>
      </c>
      <c r="C41" s="328">
        <f t="shared" ca="1" si="15"/>
        <v>2.2533333333333334</v>
      </c>
      <c r="D41" s="328">
        <f t="shared" ca="1" si="15"/>
        <v>2.2996108949416341</v>
      </c>
      <c r="E41" s="328">
        <f t="shared" ca="1" si="15"/>
        <v>2.2911068458093409</v>
      </c>
      <c r="F41" s="328">
        <f t="shared" ca="1" si="15"/>
        <v>2.4337517433751743</v>
      </c>
      <c r="G41" s="328">
        <f t="shared" ca="1" si="15"/>
        <v>2.3958125623130608</v>
      </c>
      <c r="H41" s="328">
        <f t="shared" ca="1" si="15"/>
        <v>2.3708724365658669</v>
      </c>
      <c r="I41" s="328">
        <f t="shared" ca="1" si="15"/>
        <v>2.2862595419847325</v>
      </c>
      <c r="J41" s="328">
        <f t="shared" ca="1" si="15"/>
        <v>2.2771392081736912</v>
      </c>
      <c r="K41" s="328">
        <f t="shared" ca="1" si="15"/>
        <v>2.3514265831593599</v>
      </c>
      <c r="L41" s="328">
        <f t="shared" ca="1" si="15"/>
        <v>2.3013333333333335</v>
      </c>
      <c r="M41" s="328">
        <f t="shared" ca="1" si="15"/>
        <v>2.3966942148760331</v>
      </c>
      <c r="Q41" s="329">
        <f ca="1">AVERAGE(K41:M41)</f>
        <v>2.3498180437895755</v>
      </c>
      <c r="R41" s="329">
        <f ca="1">(SUM(H41:M41)-MAX(H41:M41)-MIN(H41:M41))/4</f>
        <v>2.3274729737608233</v>
      </c>
      <c r="S41" s="320">
        <f t="shared" ca="1" si="14"/>
        <v>0.71650905748240001</v>
      </c>
      <c r="T41" s="321">
        <f t="shared" ca="1" si="14"/>
        <v>0.71883274942093811</v>
      </c>
    </row>
    <row r="42" spans="1:20">
      <c r="A42">
        <v>3</v>
      </c>
      <c r="B42" s="328">
        <f t="shared" ref="B42:M42" ca="1" si="16">B24/B23</f>
        <v>1.2143472641102973</v>
      </c>
      <c r="C42" s="328">
        <f t="shared" ca="1" si="16"/>
        <v>1.220414201183432</v>
      </c>
      <c r="D42" s="328">
        <f t="shared" ca="1" si="16"/>
        <v>1.2038917089678511</v>
      </c>
      <c r="E42" s="328">
        <f t="shared" ca="1" si="16"/>
        <v>1.2188634459648142</v>
      </c>
      <c r="F42" s="328">
        <f t="shared" ca="1" si="16"/>
        <v>1.2196275071633238</v>
      </c>
      <c r="G42" s="328">
        <f t="shared" ca="1" si="16"/>
        <v>1.2166042446941323</v>
      </c>
      <c r="H42" s="328">
        <f t="shared" ca="1" si="16"/>
        <v>1.2119923764843865</v>
      </c>
      <c r="I42" s="328">
        <f t="shared" ca="1" si="16"/>
        <v>1.208889816360601</v>
      </c>
      <c r="J42" s="328">
        <f t="shared" ca="1" si="16"/>
        <v>1.2044307347167693</v>
      </c>
      <c r="K42" s="328">
        <f t="shared" ca="1" si="16"/>
        <v>1.213302752293578</v>
      </c>
      <c r="L42" s="328">
        <f t="shared" ca="1" si="16"/>
        <v>1.2142236384704519</v>
      </c>
      <c r="M42" s="328">
        <f t="shared" ca="1" si="16"/>
        <v>1.2213362068965516</v>
      </c>
      <c r="Q42" s="329">
        <f ca="1">AVERAGE(K42:M42)</f>
        <v>1.2162875325535272</v>
      </c>
      <c r="R42" s="329">
        <f ca="1">(SUM(H42:M42)-MAX(H42:M42)-MIN(H42:M42))/4</f>
        <v>1.2121021459022545</v>
      </c>
      <c r="S42" s="320">
        <f t="shared" ca="1" si="14"/>
        <v>0.87148103357752171</v>
      </c>
      <c r="T42" s="321">
        <f t="shared" ca="1" si="14"/>
        <v>0.87129871811793669</v>
      </c>
    </row>
    <row r="43" spans="1:20">
      <c r="A43">
        <v>4</v>
      </c>
      <c r="B43" s="328">
        <f t="shared" ref="B43:M43" ca="1" si="17">B25/B24</f>
        <v>1.1214594051209272</v>
      </c>
      <c r="C43" s="328">
        <f t="shared" ca="1" si="17"/>
        <v>1.1131313131313132</v>
      </c>
      <c r="D43" s="328">
        <f t="shared" ca="1" si="17"/>
        <v>1.1178261888029983</v>
      </c>
      <c r="E43" s="328">
        <f t="shared" ca="1" si="17"/>
        <v>1.1142104358783436</v>
      </c>
      <c r="F43" s="328">
        <f t="shared" ca="1" si="17"/>
        <v>1.1214612944907787</v>
      </c>
      <c r="G43" s="328">
        <f t="shared" ca="1" si="17"/>
        <v>1.1190354027706515</v>
      </c>
      <c r="H43" s="328">
        <f t="shared" ca="1" si="17"/>
        <v>1.1184226442482157</v>
      </c>
      <c r="I43" s="328">
        <f t="shared" ca="1" si="17"/>
        <v>1.1111686518211634</v>
      </c>
      <c r="J43" s="328">
        <f t="shared" ca="1" si="17"/>
        <v>1.1174621653084982</v>
      </c>
      <c r="K43" s="328">
        <f t="shared" ca="1" si="17"/>
        <v>1.1189096896152204</v>
      </c>
      <c r="L43" s="328">
        <f t="shared" ca="1" si="17"/>
        <v>1.1203626386735059</v>
      </c>
      <c r="M43" s="328">
        <f t="shared" ca="1" si="17"/>
        <v>1.1164637374272102</v>
      </c>
      <c r="Q43" s="329">
        <f ca="1">AVERAGE(K43:M43)</f>
        <v>1.1185786885719791</v>
      </c>
      <c r="R43" s="329">
        <f ca="1">(SUM(H43:M43)-MAX(H43:M43)-MIN(H43:M43))/4</f>
        <v>1.1178145591497861</v>
      </c>
      <c r="S43" s="320">
        <f ca="1">1/Q44</f>
        <v>0.97482011165449711</v>
      </c>
      <c r="T43" s="321">
        <f ca="1">T44/R44</f>
        <v>0.9739503924807752</v>
      </c>
    </row>
    <row r="44" spans="1:20">
      <c r="A44">
        <v>5</v>
      </c>
      <c r="B44" s="328">
        <f t="shared" ref="B44:M44" ca="1" si="18">B26/B25</f>
        <v>1.0267070920116004</v>
      </c>
      <c r="C44" s="328">
        <f t="shared" ca="1" si="18"/>
        <v>1.0250453720508166</v>
      </c>
      <c r="D44" s="328">
        <f t="shared" ca="1" si="18"/>
        <v>1.0273208298407377</v>
      </c>
      <c r="E44" s="328">
        <f t="shared" ca="1" si="18"/>
        <v>1.0254716496170255</v>
      </c>
      <c r="F44" s="328">
        <f t="shared" ca="1" si="18"/>
        <v>1.0268408924269403</v>
      </c>
      <c r="G44" s="328">
        <f t="shared" ca="1" si="18"/>
        <v>1.0246064496408376</v>
      </c>
      <c r="H44" s="328">
        <f t="shared" ca="1" si="18"/>
        <v>1.0260923642656283</v>
      </c>
      <c r="I44" s="328">
        <f t="shared" ca="1" si="18"/>
        <v>1.0248045155610792</v>
      </c>
      <c r="J44" s="328">
        <f t="shared" ca="1" si="18"/>
        <v>1.025028648817585</v>
      </c>
      <c r="K44" s="328">
        <f t="shared" ca="1" si="18"/>
        <v>1.0263229603793123</v>
      </c>
      <c r="L44" s="328">
        <f t="shared" ca="1" si="18"/>
        <v>1.0261392674616694</v>
      </c>
      <c r="M44" s="328">
        <f t="shared" ca="1" si="18"/>
        <v>1</v>
      </c>
      <c r="Q44" s="329">
        <f ca="1">AVERAGE(J44:L44)</f>
        <v>1.0258302922195222</v>
      </c>
      <c r="R44" s="329">
        <f ca="1">(SUM(G44:L44)-MAX(G44:L44)-MIN(G44:L44))/4</f>
        <v>1.0255161990264905</v>
      </c>
      <c r="S44" s="320">
        <v>1</v>
      </c>
      <c r="T44" s="321">
        <f ca="1">T45/R45</f>
        <v>0.99880190453724316</v>
      </c>
    </row>
    <row r="45" spans="1:20">
      <c r="A45">
        <v>6</v>
      </c>
      <c r="B45" s="328">
        <f t="shared" ref="B45:M45" ca="1" si="19">B27/B26</f>
        <v>1.024908199162879</v>
      </c>
      <c r="C45" s="328">
        <f t="shared" ca="1" si="19"/>
        <v>1.0126972885471468</v>
      </c>
      <c r="D45" s="328">
        <f t="shared" ca="1" si="19"/>
        <v>1.0052933527116958</v>
      </c>
      <c r="E45" s="328">
        <f t="shared" ca="1" si="19"/>
        <v>1</v>
      </c>
      <c r="F45" s="329">
        <f t="shared" ca="1" si="19"/>
        <v>1.0099660826766634</v>
      </c>
      <c r="G45" s="329">
        <f t="shared" ca="1" si="19"/>
        <v>1.0047981304693716</v>
      </c>
      <c r="H45" s="329">
        <f t="shared" ca="1" si="19"/>
        <v>1</v>
      </c>
      <c r="I45" s="329">
        <f t="shared" ca="1" si="19"/>
        <v>1</v>
      </c>
      <c r="J45" s="329">
        <f t="shared" ca="1" si="19"/>
        <v>1</v>
      </c>
      <c r="K45" s="329">
        <f t="shared" ca="1" si="19"/>
        <v>1</v>
      </c>
      <c r="L45" s="270">
        <f t="shared" ca="1" si="19"/>
        <v>1</v>
      </c>
      <c r="M45" s="270">
        <f t="shared" ca="1" si="19"/>
        <v>1</v>
      </c>
      <c r="Q45" s="270">
        <f ca="1">AVERAGE(I45:K45)</f>
        <v>1</v>
      </c>
      <c r="R45" s="329">
        <f ca="1">(SUM(F45:K45)-MAX(F45:K45)-MIN(F45:K45))/4</f>
        <v>1.0011995326173431</v>
      </c>
      <c r="S45" s="320">
        <v>1</v>
      </c>
      <c r="T45" s="321">
        <v>1</v>
      </c>
    </row>
    <row r="46" spans="1:20">
      <c r="A46">
        <v>7</v>
      </c>
      <c r="B46" s="270">
        <f t="shared" ref="B46:M46" ca="1" si="20">B28/B27</f>
        <v>1</v>
      </c>
      <c r="C46" s="270">
        <f t="shared" ca="1" si="20"/>
        <v>1</v>
      </c>
      <c r="D46" s="270">
        <f t="shared" ca="1" si="20"/>
        <v>1</v>
      </c>
      <c r="E46" s="270">
        <f t="shared" ca="1" si="20"/>
        <v>1</v>
      </c>
      <c r="F46" s="270">
        <f t="shared" ca="1" si="20"/>
        <v>1</v>
      </c>
      <c r="G46" s="270">
        <f t="shared" ca="1" si="20"/>
        <v>1</v>
      </c>
      <c r="H46" s="270">
        <f t="shared" ca="1" si="20"/>
        <v>1</v>
      </c>
      <c r="I46" s="270">
        <f t="shared" ca="1" si="20"/>
        <v>1</v>
      </c>
      <c r="J46" s="270">
        <f t="shared" ca="1" si="20"/>
        <v>1</v>
      </c>
      <c r="K46" s="270">
        <f t="shared" ca="1" si="20"/>
        <v>1</v>
      </c>
      <c r="L46" s="270">
        <f t="shared" ca="1" si="20"/>
        <v>1</v>
      </c>
      <c r="M46" s="270">
        <f t="shared" ca="1" si="20"/>
        <v>1</v>
      </c>
      <c r="Q46" s="270">
        <f ca="1">AVERAGE(H46:J46)</f>
        <v>1</v>
      </c>
      <c r="R46" s="270">
        <f ca="1">(SUM(E46:J46)-MAX(E46:J46)-MIN(E46:J46))/4</f>
        <v>1</v>
      </c>
      <c r="S46" s="320">
        <v>1</v>
      </c>
      <c r="T46" s="321">
        <v>1</v>
      </c>
    </row>
    <row r="47" spans="1:20">
      <c r="A47">
        <v>8</v>
      </c>
      <c r="B47" s="270">
        <f t="shared" ref="B47:M47" ca="1" si="21">B29/B28</f>
        <v>1</v>
      </c>
      <c r="C47" s="270">
        <f t="shared" ca="1" si="21"/>
        <v>1</v>
      </c>
      <c r="D47" s="270">
        <f t="shared" ca="1" si="21"/>
        <v>1</v>
      </c>
      <c r="E47" s="270">
        <f t="shared" ca="1" si="21"/>
        <v>1</v>
      </c>
      <c r="F47" s="270">
        <f t="shared" ca="1" si="21"/>
        <v>1</v>
      </c>
      <c r="G47" s="270">
        <f t="shared" ca="1" si="21"/>
        <v>1</v>
      </c>
      <c r="H47" s="270">
        <f t="shared" ca="1" si="21"/>
        <v>1</v>
      </c>
      <c r="I47" s="270">
        <f t="shared" ca="1" si="21"/>
        <v>1</v>
      </c>
      <c r="J47" s="270">
        <f t="shared" ca="1" si="21"/>
        <v>1</v>
      </c>
      <c r="K47" s="270">
        <f t="shared" ca="1" si="21"/>
        <v>1</v>
      </c>
      <c r="L47" s="270">
        <f t="shared" ca="1" si="21"/>
        <v>1</v>
      </c>
      <c r="M47" s="270">
        <f t="shared" ca="1" si="21"/>
        <v>1</v>
      </c>
      <c r="Q47" s="270">
        <f ca="1">AVERAGE(G47:I47)</f>
        <v>1</v>
      </c>
      <c r="R47" s="270">
        <v>1</v>
      </c>
      <c r="S47" s="320">
        <v>1</v>
      </c>
      <c r="T47" s="321">
        <v>1</v>
      </c>
    </row>
    <row r="48" spans="1:20">
      <c r="A48">
        <v>9</v>
      </c>
      <c r="B48" s="270">
        <f t="shared" ref="B48:M48" ca="1" si="22">B30/B29</f>
        <v>1</v>
      </c>
      <c r="C48" s="270">
        <f t="shared" ca="1" si="22"/>
        <v>1</v>
      </c>
      <c r="D48" s="270">
        <f t="shared" ca="1" si="22"/>
        <v>1</v>
      </c>
      <c r="E48" s="270">
        <f t="shared" ca="1" si="22"/>
        <v>1</v>
      </c>
      <c r="F48" s="270">
        <f t="shared" ca="1" si="22"/>
        <v>1</v>
      </c>
      <c r="G48" s="270">
        <f t="shared" ca="1" si="22"/>
        <v>1</v>
      </c>
      <c r="H48" s="270">
        <f t="shared" ca="1" si="22"/>
        <v>1</v>
      </c>
      <c r="I48" s="270">
        <f t="shared" ca="1" si="22"/>
        <v>1</v>
      </c>
      <c r="J48" s="270">
        <f t="shared" ca="1" si="22"/>
        <v>1</v>
      </c>
      <c r="K48" s="270">
        <f t="shared" ca="1" si="22"/>
        <v>1</v>
      </c>
      <c r="L48" s="270">
        <f t="shared" ca="1" si="22"/>
        <v>1</v>
      </c>
      <c r="M48" s="270">
        <f t="shared" ca="1" si="22"/>
        <v>1</v>
      </c>
      <c r="Q48" s="270">
        <f ca="1">AVERAGE(F48:H48)</f>
        <v>1</v>
      </c>
      <c r="R48" s="270">
        <v>1</v>
      </c>
      <c r="S48" s="320">
        <v>1</v>
      </c>
      <c r="T48" s="321">
        <v>1</v>
      </c>
    </row>
    <row r="49" spans="1:20">
      <c r="A49">
        <v>10</v>
      </c>
      <c r="B49" s="270">
        <f t="shared" ref="B49:M49" ca="1" si="23">B31/B30</f>
        <v>1</v>
      </c>
      <c r="C49" s="270">
        <f t="shared" ca="1" si="23"/>
        <v>1</v>
      </c>
      <c r="D49" s="270">
        <f t="shared" ca="1" si="23"/>
        <v>1</v>
      </c>
      <c r="E49" s="270">
        <f t="shared" ca="1" si="23"/>
        <v>1</v>
      </c>
      <c r="F49" s="270">
        <f t="shared" ca="1" si="23"/>
        <v>1</v>
      </c>
      <c r="G49" s="270">
        <f t="shared" ca="1" si="23"/>
        <v>1</v>
      </c>
      <c r="H49" s="270">
        <f t="shared" ca="1" si="23"/>
        <v>1</v>
      </c>
      <c r="I49" s="270">
        <f t="shared" ca="1" si="23"/>
        <v>1</v>
      </c>
      <c r="J49" s="270">
        <f t="shared" ca="1" si="23"/>
        <v>1</v>
      </c>
      <c r="K49" s="270">
        <f t="shared" ca="1" si="23"/>
        <v>1</v>
      </c>
      <c r="L49" s="270">
        <f t="shared" ca="1" si="23"/>
        <v>1</v>
      </c>
      <c r="M49" s="270">
        <f t="shared" ca="1" si="23"/>
        <v>1</v>
      </c>
      <c r="Q49" s="270">
        <f ca="1">AVERAGE(E49:G49)</f>
        <v>1</v>
      </c>
      <c r="R49" s="270">
        <v>1</v>
      </c>
      <c r="S49" s="320">
        <v>1</v>
      </c>
      <c r="T49" s="321">
        <v>1</v>
      </c>
    </row>
    <row r="50" spans="1:20">
      <c r="A50">
        <v>11</v>
      </c>
      <c r="B50" s="270">
        <f t="shared" ref="B50:M50" ca="1" si="24">B32/B31</f>
        <v>1</v>
      </c>
      <c r="C50" s="270">
        <f t="shared" ca="1" si="24"/>
        <v>1</v>
      </c>
      <c r="D50" s="270">
        <f t="shared" ca="1" si="24"/>
        <v>1</v>
      </c>
      <c r="E50" s="270">
        <f t="shared" ca="1" si="24"/>
        <v>1</v>
      </c>
      <c r="F50" s="270">
        <f t="shared" ca="1" si="24"/>
        <v>1</v>
      </c>
      <c r="G50" s="270">
        <f t="shared" ca="1" si="24"/>
        <v>1</v>
      </c>
      <c r="H50" s="270">
        <f t="shared" ca="1" si="24"/>
        <v>1</v>
      </c>
      <c r="I50" s="270">
        <f t="shared" ca="1" si="24"/>
        <v>1</v>
      </c>
      <c r="J50" s="270">
        <f t="shared" ca="1" si="24"/>
        <v>1</v>
      </c>
      <c r="K50" s="270">
        <f t="shared" ca="1" si="24"/>
        <v>1</v>
      </c>
      <c r="L50" s="270">
        <f t="shared" ca="1" si="24"/>
        <v>1</v>
      </c>
      <c r="M50" s="270">
        <f t="shared" ca="1" si="24"/>
        <v>1</v>
      </c>
      <c r="Q50" s="270">
        <f ca="1">AVERAGE(D50:F50)</f>
        <v>1</v>
      </c>
      <c r="R50" s="270">
        <v>1</v>
      </c>
      <c r="S50" s="320">
        <v>1</v>
      </c>
      <c r="T50" s="321">
        <v>1</v>
      </c>
    </row>
    <row r="51" spans="1:20">
      <c r="A51">
        <v>12</v>
      </c>
      <c r="B51" s="270">
        <f t="shared" ref="B51:M51" ca="1" si="25">B33/B32</f>
        <v>1</v>
      </c>
      <c r="C51" s="270">
        <f t="shared" ca="1" si="25"/>
        <v>1</v>
      </c>
      <c r="D51" s="270">
        <f t="shared" ca="1" si="25"/>
        <v>1</v>
      </c>
      <c r="E51" s="270">
        <f t="shared" ca="1" si="25"/>
        <v>1</v>
      </c>
      <c r="F51" s="270">
        <f t="shared" ca="1" si="25"/>
        <v>1</v>
      </c>
      <c r="G51" s="270">
        <f t="shared" ca="1" si="25"/>
        <v>1</v>
      </c>
      <c r="H51" s="270">
        <f t="shared" ca="1" si="25"/>
        <v>1</v>
      </c>
      <c r="I51" s="270">
        <f t="shared" ca="1" si="25"/>
        <v>1</v>
      </c>
      <c r="J51" s="270">
        <f t="shared" ca="1" si="25"/>
        <v>1</v>
      </c>
      <c r="K51" s="270">
        <f t="shared" ca="1" si="25"/>
        <v>1</v>
      </c>
      <c r="L51" s="270">
        <f t="shared" ca="1" si="25"/>
        <v>1</v>
      </c>
      <c r="M51" s="270">
        <f t="shared" ca="1" si="25"/>
        <v>1</v>
      </c>
      <c r="Q51" s="270">
        <f ca="1">AVERAGE(C51:E51)</f>
        <v>1</v>
      </c>
      <c r="R51" s="270">
        <v>1</v>
      </c>
      <c r="S51" s="320">
        <v>1</v>
      </c>
      <c r="T51" s="321">
        <v>1</v>
      </c>
    </row>
    <row r="52" spans="1:20">
      <c r="A52">
        <v>13</v>
      </c>
      <c r="B52" s="270">
        <f t="shared" ref="B52:M52" ca="1" si="26">B34/B33</f>
        <v>1</v>
      </c>
      <c r="C52" s="270">
        <f t="shared" ca="1" si="26"/>
        <v>1</v>
      </c>
      <c r="D52" s="270">
        <f t="shared" ca="1" si="26"/>
        <v>1</v>
      </c>
      <c r="E52" s="270">
        <f t="shared" ca="1" si="26"/>
        <v>1</v>
      </c>
      <c r="F52" s="270">
        <f t="shared" ca="1" si="26"/>
        <v>1</v>
      </c>
      <c r="G52" s="270">
        <f t="shared" ca="1" si="26"/>
        <v>1</v>
      </c>
      <c r="H52" s="270">
        <f t="shared" ca="1" si="26"/>
        <v>1</v>
      </c>
      <c r="I52" s="270">
        <f t="shared" ca="1" si="26"/>
        <v>1</v>
      </c>
      <c r="J52" s="270">
        <f t="shared" ca="1" si="26"/>
        <v>1</v>
      </c>
      <c r="K52" s="270">
        <f t="shared" ca="1" si="26"/>
        <v>1</v>
      </c>
      <c r="L52" s="270">
        <f t="shared" ca="1" si="26"/>
        <v>1</v>
      </c>
      <c r="M52" s="270">
        <f t="shared" ca="1" si="26"/>
        <v>1</v>
      </c>
      <c r="Q52" s="270">
        <f ca="1">AVERAGE(B52:D52)</f>
        <v>1</v>
      </c>
      <c r="R52" s="270">
        <v>1</v>
      </c>
      <c r="S52" s="320">
        <v>1</v>
      </c>
      <c r="T52" s="321">
        <v>1</v>
      </c>
    </row>
    <row r="53" spans="1:20">
      <c r="A53">
        <v>14</v>
      </c>
      <c r="B53" s="270">
        <f t="shared" ref="B53:M53" ca="1" si="27">B35/B34</f>
        <v>1</v>
      </c>
      <c r="C53" s="270">
        <f t="shared" ca="1" si="27"/>
        <v>1</v>
      </c>
      <c r="D53" s="270">
        <f t="shared" ca="1" si="27"/>
        <v>1</v>
      </c>
      <c r="E53" s="270">
        <f t="shared" ca="1" si="27"/>
        <v>1</v>
      </c>
      <c r="F53" s="270">
        <f t="shared" ca="1" si="27"/>
        <v>1</v>
      </c>
      <c r="G53" s="270">
        <f t="shared" ca="1" si="27"/>
        <v>1</v>
      </c>
      <c r="H53" s="270">
        <f t="shared" ca="1" si="27"/>
        <v>1</v>
      </c>
      <c r="I53" s="270">
        <f t="shared" ca="1" si="27"/>
        <v>1</v>
      </c>
      <c r="J53" s="270">
        <f t="shared" ca="1" si="27"/>
        <v>1</v>
      </c>
      <c r="K53" s="270">
        <f t="shared" ca="1" si="27"/>
        <v>1</v>
      </c>
      <c r="L53" s="270">
        <f t="shared" ca="1" si="27"/>
        <v>1</v>
      </c>
      <c r="M53" s="270">
        <f t="shared" ca="1" si="27"/>
        <v>1</v>
      </c>
      <c r="Q53" s="270">
        <f ca="1">AVERAGE(B53:D53)</f>
        <v>1</v>
      </c>
      <c r="R53" s="270">
        <v>1</v>
      </c>
      <c r="S53" s="320">
        <v>1</v>
      </c>
      <c r="T53" s="321">
        <v>1</v>
      </c>
    </row>
    <row r="54" spans="1:20" ht="15" thickBot="1">
      <c r="A54">
        <v>15</v>
      </c>
      <c r="B54" s="270">
        <f t="shared" ref="B54:M54" ca="1" si="28">B36/B35</f>
        <v>1</v>
      </c>
      <c r="C54" s="270">
        <f t="shared" ca="1" si="28"/>
        <v>1</v>
      </c>
      <c r="D54" s="270">
        <f t="shared" ca="1" si="28"/>
        <v>1</v>
      </c>
      <c r="E54" s="270">
        <f t="shared" ca="1" si="28"/>
        <v>1</v>
      </c>
      <c r="F54" s="270">
        <f t="shared" ca="1" si="28"/>
        <v>1</v>
      </c>
      <c r="G54" s="270">
        <f t="shared" ca="1" si="28"/>
        <v>1</v>
      </c>
      <c r="H54" s="270">
        <f t="shared" ca="1" si="28"/>
        <v>1</v>
      </c>
      <c r="I54" s="270">
        <f t="shared" ca="1" si="28"/>
        <v>1</v>
      </c>
      <c r="J54" s="270">
        <f t="shared" ca="1" si="28"/>
        <v>1</v>
      </c>
      <c r="K54" s="270">
        <f t="shared" ca="1" si="28"/>
        <v>1</v>
      </c>
      <c r="L54" s="270">
        <f t="shared" ca="1" si="28"/>
        <v>1</v>
      </c>
      <c r="M54" s="270">
        <f t="shared" ca="1" si="28"/>
        <v>1</v>
      </c>
      <c r="Q54" s="270">
        <f ca="1">AVERAGE(B54:D54)</f>
        <v>1</v>
      </c>
      <c r="R54" s="270">
        <v>1</v>
      </c>
      <c r="S54" s="322">
        <v>1</v>
      </c>
      <c r="T54" s="323">
        <v>1</v>
      </c>
    </row>
    <row r="55" spans="1:20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</row>
    <row r="56" spans="1:20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</row>
    <row r="57" spans="1:20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</row>
    <row r="58" spans="1:20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</row>
    <row r="59" spans="1:20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</row>
    <row r="60" spans="1:20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</row>
    <row r="61" spans="1:20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</row>
    <row r="62" spans="1:20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</row>
    <row r="63" spans="1:20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</row>
    <row r="64" spans="1:20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</row>
  </sheetData>
  <mergeCells count="2">
    <mergeCell ref="Q38:R38"/>
    <mergeCell ref="S38:T38"/>
  </mergeCell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4D2AD-7769-48F9-8C6B-829BA7805EFF}">
  <dimension ref="B1:H27"/>
  <sheetViews>
    <sheetView zoomScale="85" zoomScaleNormal="85" workbookViewId="0">
      <selection activeCell="D14" sqref="D14"/>
    </sheetView>
  </sheetViews>
  <sheetFormatPr baseColWidth="10" defaultColWidth="8.7265625" defaultRowHeight="14.5"/>
  <cols>
    <col min="2" max="7" width="19.1796875" customWidth="1"/>
  </cols>
  <sheetData>
    <row r="1" spans="2:8" ht="15.5" thickBot="1">
      <c r="B1" s="9" t="s">
        <v>502</v>
      </c>
      <c r="F1" s="257">
        <f>'Solution for Q7 (a)'!$F$9</f>
        <v>2037265.3846153845</v>
      </c>
    </row>
    <row r="3" spans="2:8" ht="15" thickBot="1">
      <c r="B3" s="9" t="s">
        <v>501</v>
      </c>
    </row>
    <row r="4" spans="2:8" ht="15" thickBot="1">
      <c r="E4" s="348" t="s">
        <v>500</v>
      </c>
      <c r="F4" s="351"/>
      <c r="G4" s="6"/>
      <c r="H4" s="6"/>
    </row>
    <row r="5" spans="2:8" ht="15.5" thickBot="1">
      <c r="B5" s="263" t="s">
        <v>4</v>
      </c>
      <c r="C5" s="262" t="s">
        <v>7</v>
      </c>
      <c r="D5" s="262" t="s">
        <v>486</v>
      </c>
      <c r="E5" s="263" t="s">
        <v>485</v>
      </c>
      <c r="F5" s="262" t="s">
        <v>484</v>
      </c>
      <c r="G5" s="267"/>
      <c r="H5" s="267"/>
    </row>
    <row r="6" spans="2:8" ht="16" thickBot="1">
      <c r="B6" s="261">
        <v>30</v>
      </c>
      <c r="C6" s="260">
        <f>'Solution for Q7 (a)'!C4</f>
        <v>50</v>
      </c>
      <c r="D6" s="259">
        <f>'Solution for Q7 (a)'!D4</f>
        <v>50000</v>
      </c>
      <c r="E6" s="264">
        <f>-(4*(C6*D6/260*(1-0.7)*1.08)+5*(C6*D6/260*1.08))</f>
        <v>-64384.61538461539</v>
      </c>
      <c r="F6" s="259">
        <f>9*C6*D6/260*3</f>
        <v>259615.3846153846</v>
      </c>
      <c r="G6" s="266"/>
      <c r="H6" s="266"/>
    </row>
    <row r="7" spans="2:8" ht="16" thickBot="1">
      <c r="B7" s="261">
        <v>40</v>
      </c>
      <c r="C7" s="260">
        <f>'Solution for Q7 (a)'!C5</f>
        <v>150</v>
      </c>
      <c r="D7" s="259">
        <f>'Solution for Q7 (a)'!D5</f>
        <v>75000</v>
      </c>
      <c r="E7" s="264">
        <f>-(4*(C7*D7/260*(1-0.7)*1.08)+5*(C7*D7/260*1.08))</f>
        <v>-289730.76923076919</v>
      </c>
      <c r="F7" s="259">
        <f>9*C7*D7/260*3</f>
        <v>1168269.2307692308</v>
      </c>
      <c r="G7" s="266"/>
      <c r="H7" s="266"/>
    </row>
    <row r="8" spans="2:8" ht="16" thickBot="1">
      <c r="B8" s="261">
        <v>50</v>
      </c>
      <c r="C8" s="260">
        <f>'Solution for Q7 (a)'!C6</f>
        <v>65</v>
      </c>
      <c r="D8" s="259">
        <f>'Solution for Q7 (a)'!D6</f>
        <v>90000</v>
      </c>
      <c r="E8" s="264">
        <f>-(4*(C8*D8/260*(1-0.7)*1.08)+5*(C8*D8/260*1.08))</f>
        <v>-150660</v>
      </c>
      <c r="F8" s="259">
        <f>9*C8*D8/260*3</f>
        <v>607500</v>
      </c>
      <c r="G8" s="266"/>
      <c r="H8" s="266"/>
    </row>
    <row r="9" spans="2:8" ht="16" thickBot="1">
      <c r="B9" s="261">
        <v>60</v>
      </c>
      <c r="C9" s="260">
        <f>'Solution for Q7 (a)'!C7</f>
        <v>30</v>
      </c>
      <c r="D9" s="259">
        <f>'Solution for Q7 (a)'!D7</f>
        <v>115000</v>
      </c>
      <c r="E9" s="264">
        <f>-(4*(C9*D9/260*(1-0.7)*1.08)+5*(C9*D9/260*1.08))</f>
        <v>-88850.769230769234</v>
      </c>
      <c r="F9" s="259">
        <f>9*C9*D9/260*3</f>
        <v>358269.23076923075</v>
      </c>
      <c r="G9" s="266"/>
      <c r="H9" s="266"/>
    </row>
    <row r="10" spans="2:8" ht="15.5" thickBot="1">
      <c r="E10" s="258">
        <f>SUM(E6:E9)</f>
        <v>-593626.15384615376</v>
      </c>
      <c r="F10" s="258">
        <f>SUM(F6:F9)</f>
        <v>2393653.846153846</v>
      </c>
      <c r="G10" s="265"/>
      <c r="H10" s="265"/>
    </row>
    <row r="11" spans="2:8" ht="15.5" thickBot="1">
      <c r="F11" s="257">
        <f>SUM(E10:G10)</f>
        <v>1800027.6923076923</v>
      </c>
      <c r="G11" s="256"/>
    </row>
    <row r="12" spans="2:8" ht="15" thickBot="1">
      <c r="E12" s="9" t="s">
        <v>479</v>
      </c>
      <c r="F12" s="9"/>
      <c r="G12" s="9"/>
    </row>
    <row r="13" spans="2:8" ht="15.5" thickBot="1">
      <c r="B13" s="9" t="s">
        <v>498</v>
      </c>
      <c r="E13" s="9"/>
      <c r="F13" s="257">
        <f>F1-F11</f>
        <v>237237.69230769225</v>
      </c>
    </row>
    <row r="15" spans="2:8" ht="15" thickBot="1">
      <c r="B15" s="9" t="s">
        <v>497</v>
      </c>
    </row>
    <row r="16" spans="2:8" ht="15.5" thickBot="1">
      <c r="B16" s="263" t="s">
        <v>4</v>
      </c>
      <c r="C16" s="262" t="s">
        <v>7</v>
      </c>
      <c r="F16" s="263" t="s">
        <v>496</v>
      </c>
    </row>
    <row r="17" spans="2:7" ht="16" thickBot="1">
      <c r="B17" s="261">
        <v>30</v>
      </c>
      <c r="C17" s="260">
        <f>'Solution for Q7 (a)'!C4</f>
        <v>50</v>
      </c>
      <c r="F17" s="264">
        <f>1250*C17*1.02^(30-40)/0.9</f>
        <v>56968.631935774676</v>
      </c>
    </row>
    <row r="18" spans="2:7" ht="16" thickBot="1">
      <c r="B18" s="261">
        <v>40</v>
      </c>
      <c r="C18" s="260">
        <f>'Solution for Q7 (a)'!C5</f>
        <v>150</v>
      </c>
      <c r="F18" s="264">
        <f>1250*C18*1.02^(40-40)/0.9</f>
        <v>208333.33333333331</v>
      </c>
    </row>
    <row r="19" spans="2:7" ht="16" thickBot="1">
      <c r="B19" s="261">
        <v>50</v>
      </c>
      <c r="C19" s="260">
        <f>'Solution for Q7 (a)'!C6</f>
        <v>65</v>
      </c>
      <c r="F19" s="264">
        <f>1250*C19*1.02^(50-40)/0.9</f>
        <v>110048.10736063779</v>
      </c>
    </row>
    <row r="20" spans="2:7" ht="16" thickBot="1">
      <c r="B20" s="261">
        <v>60</v>
      </c>
      <c r="C20" s="260">
        <f>'Solution for Q7 (a)'!C7</f>
        <v>30</v>
      </c>
      <c r="F20" s="264">
        <f>1250*C20*1.02^(60-40)/0.9</f>
        <v>61914.474832431428</v>
      </c>
    </row>
    <row r="21" spans="2:7" ht="15.5" thickBot="1">
      <c r="F21" s="257">
        <f>SUM(F17:F20)</f>
        <v>437264.54746217723</v>
      </c>
      <c r="G21" s="256" t="s">
        <v>495</v>
      </c>
    </row>
    <row r="22" spans="2:7" ht="15.5" thickBot="1">
      <c r="F22" s="257">
        <f>F21/2</f>
        <v>218632.27373108862</v>
      </c>
      <c r="G22" s="256" t="s">
        <v>494</v>
      </c>
    </row>
    <row r="24" spans="2:7">
      <c r="B24" s="9" t="s">
        <v>493</v>
      </c>
    </row>
    <row r="25" spans="2:7">
      <c r="B25" t="s">
        <v>504</v>
      </c>
    </row>
    <row r="27" spans="2:7">
      <c r="B27" t="s">
        <v>503</v>
      </c>
    </row>
  </sheetData>
  <mergeCells count="1">
    <mergeCell ref="E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L13"/>
  <sheetViews>
    <sheetView zoomScale="85" zoomScaleNormal="85" workbookViewId="0">
      <selection activeCell="D16" sqref="D16"/>
    </sheetView>
  </sheetViews>
  <sheetFormatPr baseColWidth="10" defaultColWidth="8.81640625" defaultRowHeight="14.5"/>
  <cols>
    <col min="2" max="2" width="20.1796875" customWidth="1"/>
    <col min="3" max="3" width="25.81640625" customWidth="1"/>
    <col min="4" max="4" width="26.54296875" customWidth="1"/>
    <col min="5" max="5" width="28" customWidth="1"/>
    <col min="6" max="6" width="16.1796875" customWidth="1"/>
  </cols>
  <sheetData>
    <row r="1" spans="1:12" ht="22.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 t="s">
        <v>215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4" t="s">
        <v>10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4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7" t="s">
        <v>220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7" t="s">
        <v>221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5">
      <c r="A10" s="7" t="s">
        <v>222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5">
      <c r="A11" s="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5">
      <c r="A12" s="3" t="s">
        <v>312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5">
      <c r="A13" s="3" t="s">
        <v>3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B193-F249-49C7-8920-9906C17A5249}">
  <dimension ref="B1:E8"/>
  <sheetViews>
    <sheetView zoomScale="85" zoomScaleNormal="85" workbookViewId="0">
      <selection activeCell="D15" sqref="D15"/>
    </sheetView>
  </sheetViews>
  <sheetFormatPr baseColWidth="10" defaultColWidth="11.54296875" defaultRowHeight="14.5"/>
  <cols>
    <col min="1" max="1" width="11.54296875" style="6"/>
    <col min="2" max="2" width="14" style="6" customWidth="1"/>
    <col min="3" max="3" width="18.54296875" style="6" customWidth="1"/>
    <col min="4" max="4" width="29.26953125" style="6" customWidth="1"/>
    <col min="5" max="5" width="30.81640625" style="6" customWidth="1"/>
    <col min="6" max="16384" width="11.54296875" style="6"/>
  </cols>
  <sheetData>
    <row r="1" spans="2:5" ht="15" customHeight="1"/>
    <row r="2" spans="2:5" ht="15" customHeight="1">
      <c r="B2" s="16" t="s">
        <v>8</v>
      </c>
      <c r="C2" s="16" t="s">
        <v>26</v>
      </c>
      <c r="D2" s="16" t="s">
        <v>17</v>
      </c>
      <c r="E2" s="16" t="s">
        <v>18</v>
      </c>
    </row>
    <row r="3" spans="2:5" ht="35.5" customHeight="1">
      <c r="B3" s="17" t="s">
        <v>19</v>
      </c>
      <c r="C3" s="17" t="s">
        <v>20</v>
      </c>
      <c r="D3" s="17" t="s">
        <v>21</v>
      </c>
      <c r="E3" s="17" t="s">
        <v>22</v>
      </c>
    </row>
    <row r="4" spans="2:5" ht="42" customHeight="1">
      <c r="B4" s="17" t="s">
        <v>9</v>
      </c>
      <c r="C4" s="17" t="s">
        <v>20</v>
      </c>
      <c r="D4" s="17" t="s">
        <v>23</v>
      </c>
      <c r="E4" s="17" t="s">
        <v>24</v>
      </c>
    </row>
    <row r="5" spans="2:5" ht="46.5">
      <c r="B5" s="17" t="s">
        <v>25</v>
      </c>
      <c r="C5" s="17" t="s">
        <v>216</v>
      </c>
      <c r="D5" s="339" t="s">
        <v>217</v>
      </c>
      <c r="E5" s="340"/>
    </row>
    <row r="7" spans="2:5" ht="15.5">
      <c r="B7" s="80" t="s">
        <v>218</v>
      </c>
      <c r="C7"/>
      <c r="E7" s="79">
        <v>65000</v>
      </c>
    </row>
    <row r="8" spans="2:5" ht="15.5">
      <c r="B8" s="80" t="s">
        <v>219</v>
      </c>
      <c r="C8"/>
      <c r="E8" s="79">
        <v>1200</v>
      </c>
    </row>
  </sheetData>
  <mergeCells count="1">
    <mergeCell ref="D5:E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11A9-EF48-44BE-8A9D-06A23D1CC747}">
  <dimension ref="A1:F34"/>
  <sheetViews>
    <sheetView zoomScale="85" zoomScaleNormal="85" workbookViewId="0">
      <selection activeCell="D16" sqref="D16"/>
    </sheetView>
  </sheetViews>
  <sheetFormatPr baseColWidth="10" defaultColWidth="26.26953125" defaultRowHeight="14.5"/>
  <cols>
    <col min="1" max="1" width="18.1796875" customWidth="1"/>
    <col min="3" max="3" width="28.54296875" bestFit="1" customWidth="1"/>
  </cols>
  <sheetData>
    <row r="1" spans="1:6">
      <c r="A1" s="9"/>
    </row>
    <row r="2" spans="1:6">
      <c r="B2" s="10" t="s">
        <v>339</v>
      </c>
    </row>
    <row r="3" spans="1:6">
      <c r="A3" t="s">
        <v>340</v>
      </c>
      <c r="B3" s="150">
        <f>'Data for Q2'!E7*2*0.463/1000*12</f>
        <v>722.28</v>
      </c>
      <c r="C3" t="s">
        <v>341</v>
      </c>
    </row>
    <row r="4" spans="1:6">
      <c r="A4" t="s">
        <v>342</v>
      </c>
      <c r="B4" s="151">
        <f>MIN(5000,'Data for Q2'!E7/12*0.6667)*2.55/100*12</f>
        <v>1105.0552499999999</v>
      </c>
      <c r="C4" t="s">
        <v>341</v>
      </c>
    </row>
    <row r="5" spans="1:6">
      <c r="A5" t="s">
        <v>343</v>
      </c>
      <c r="B5" s="150">
        <f>'Data for Q2'!E8</f>
        <v>1200</v>
      </c>
    </row>
    <row r="6" spans="1:6" ht="31" customHeight="1">
      <c r="A6" t="s">
        <v>344</v>
      </c>
      <c r="B6" s="150">
        <f>5*12+'Data for Q2'!E8*0.15</f>
        <v>240</v>
      </c>
    </row>
    <row r="7" spans="1:6" ht="16.5" customHeight="1">
      <c r="B7" s="141"/>
    </row>
    <row r="8" spans="1:6">
      <c r="A8" s="9" t="s">
        <v>345</v>
      </c>
      <c r="F8" s="338"/>
    </row>
    <row r="9" spans="1:6">
      <c r="A9" s="342" t="s">
        <v>346</v>
      </c>
      <c r="B9" s="342"/>
      <c r="C9" s="343" t="s">
        <v>347</v>
      </c>
      <c r="D9" s="342" t="s">
        <v>348</v>
      </c>
      <c r="E9" s="342"/>
      <c r="F9" s="338"/>
    </row>
    <row r="10" spans="1:6">
      <c r="A10" s="143" t="s">
        <v>349</v>
      </c>
      <c r="B10" s="143"/>
      <c r="C10" s="344"/>
      <c r="D10" s="109" t="s">
        <v>350</v>
      </c>
      <c r="E10" s="109" t="s">
        <v>351</v>
      </c>
      <c r="F10" s="338"/>
    </row>
    <row r="11" spans="1:6">
      <c r="A11" s="143"/>
      <c r="B11" s="143" t="s">
        <v>352</v>
      </c>
      <c r="C11" s="330">
        <v>0.02</v>
      </c>
      <c r="D11" s="331" t="s">
        <v>353</v>
      </c>
      <c r="E11" s="331" t="s">
        <v>353</v>
      </c>
      <c r="F11" s="338"/>
    </row>
    <row r="12" spans="1:6">
      <c r="A12" s="143"/>
      <c r="B12" s="143" t="s">
        <v>354</v>
      </c>
      <c r="C12" s="330">
        <v>3.4799999999999998E-2</v>
      </c>
      <c r="D12" s="330">
        <v>3.4799999999999998E-2</v>
      </c>
      <c r="E12" s="330">
        <v>3.4799999999999998E-2</v>
      </c>
    </row>
    <row r="13" spans="1:6">
      <c r="A13" s="143" t="s">
        <v>355</v>
      </c>
      <c r="B13" s="143"/>
      <c r="C13" s="331"/>
      <c r="D13" s="331"/>
      <c r="E13" s="331"/>
    </row>
    <row r="14" spans="1:6">
      <c r="A14" s="143"/>
      <c r="B14" s="143" t="s">
        <v>352</v>
      </c>
      <c r="C14" s="332">
        <v>7.0000000000000007E-2</v>
      </c>
      <c r="D14" s="331" t="s">
        <v>353</v>
      </c>
      <c r="E14" s="331" t="s">
        <v>353</v>
      </c>
    </row>
    <row r="15" spans="1:6">
      <c r="A15" s="143"/>
      <c r="B15" s="143" t="s">
        <v>354</v>
      </c>
      <c r="C15" s="332">
        <v>0.09</v>
      </c>
      <c r="D15" s="332">
        <v>0.09</v>
      </c>
      <c r="E15" s="332">
        <v>0.09</v>
      </c>
      <c r="F15" s="144"/>
    </row>
    <row r="16" spans="1:6">
      <c r="C16" s="145"/>
      <c r="D16" s="145"/>
      <c r="E16" s="145"/>
    </row>
    <row r="18" spans="1:5">
      <c r="A18" t="s">
        <v>356</v>
      </c>
    </row>
    <row r="19" spans="1:5">
      <c r="A19" s="342" t="s">
        <v>346</v>
      </c>
      <c r="B19" s="342"/>
      <c r="C19" s="343" t="s">
        <v>347</v>
      </c>
      <c r="D19" s="342" t="s">
        <v>348</v>
      </c>
      <c r="E19" s="342"/>
    </row>
    <row r="20" spans="1:5">
      <c r="A20" s="143" t="s">
        <v>349</v>
      </c>
      <c r="B20" s="143"/>
      <c r="C20" s="344"/>
      <c r="D20" s="109" t="s">
        <v>350</v>
      </c>
      <c r="E20" s="109" t="s">
        <v>351</v>
      </c>
    </row>
    <row r="21" spans="1:5">
      <c r="A21" s="143"/>
      <c r="B21" s="143" t="s">
        <v>352</v>
      </c>
      <c r="C21" s="333">
        <f>($B$3+$B$4)/(1+$C$11)*C11</f>
        <v>35.83010294117647</v>
      </c>
      <c r="D21" s="331">
        <v>0</v>
      </c>
      <c r="E21" s="331">
        <v>0</v>
      </c>
    </row>
    <row r="22" spans="1:5">
      <c r="A22" s="143"/>
      <c r="B22" s="143" t="s">
        <v>354</v>
      </c>
      <c r="C22" s="333">
        <f>($B$3+$B$4)/(1+$C$11)*C12</f>
        <v>62.344379117647051</v>
      </c>
      <c r="D22" s="334">
        <f>D12*B5</f>
        <v>41.76</v>
      </c>
      <c r="E22" s="334">
        <f>E12*B6</f>
        <v>8.3520000000000003</v>
      </c>
    </row>
    <row r="23" spans="1:5">
      <c r="A23" s="143" t="s">
        <v>355</v>
      </c>
      <c r="B23" s="143"/>
      <c r="C23" s="331"/>
      <c r="D23" s="331"/>
      <c r="E23" s="331"/>
    </row>
    <row r="24" spans="1:5">
      <c r="A24" s="143"/>
      <c r="B24" s="143" t="s">
        <v>352</v>
      </c>
      <c r="C24" s="333">
        <f>($B$3+$B$4)*C14</f>
        <v>127.9134675</v>
      </c>
      <c r="D24" s="331">
        <v>0</v>
      </c>
      <c r="E24" s="331">
        <v>0</v>
      </c>
    </row>
    <row r="25" spans="1:5">
      <c r="A25" s="143"/>
      <c r="B25" s="143" t="s">
        <v>354</v>
      </c>
      <c r="C25" s="333">
        <f>($B$3+$B$4)/(1+$C$11)*(1+C12)*C15</f>
        <v>166.84645735588234</v>
      </c>
      <c r="D25" s="335">
        <f>B5*D15</f>
        <v>108</v>
      </c>
      <c r="E25" s="335">
        <f>E15*B6</f>
        <v>21.599999999999998</v>
      </c>
    </row>
    <row r="27" spans="1:5">
      <c r="A27" t="s">
        <v>357</v>
      </c>
      <c r="C27" s="87"/>
    </row>
    <row r="28" spans="1:5">
      <c r="B28" t="s">
        <v>352</v>
      </c>
      <c r="C28" s="87">
        <f>SUM(B3:B6)+SUM(C24:E24)</f>
        <v>3395.2487175000001</v>
      </c>
    </row>
    <row r="29" spans="1:5">
      <c r="A29" s="146"/>
      <c r="B29" s="146" t="s">
        <v>354</v>
      </c>
      <c r="C29" s="147">
        <f>SUM(B3:B6)-SUM(C21:E21)+SUM(C22:E22,C25:E25)</f>
        <v>3640.4079835323532</v>
      </c>
    </row>
    <row r="30" spans="1:5">
      <c r="A30" s="341" t="s">
        <v>358</v>
      </c>
      <c r="B30" s="341"/>
      <c r="C30" s="148">
        <f>C29-C28</f>
        <v>245.15926603235312</v>
      </c>
    </row>
    <row r="32" spans="1:5">
      <c r="A32" t="s">
        <v>359</v>
      </c>
      <c r="B32" t="s">
        <v>358</v>
      </c>
      <c r="C32" s="87">
        <f>SUM(C22:E22,C25:E25)-SUM(C21:E21,C24:E24)</f>
        <v>245.15926603235295</v>
      </c>
    </row>
    <row r="34" spans="1:1">
      <c r="A34" s="149"/>
    </row>
  </sheetData>
  <mergeCells count="8">
    <mergeCell ref="A30:B30"/>
    <mergeCell ref="F8:F11"/>
    <mergeCell ref="A9:B9"/>
    <mergeCell ref="C9:C10"/>
    <mergeCell ref="D9:E9"/>
    <mergeCell ref="A19:B19"/>
    <mergeCell ref="C19:C20"/>
    <mergeCell ref="D19:E19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592F-42F8-45C1-B4D4-5484BEFA05FD}">
  <dimension ref="A1:L60"/>
  <sheetViews>
    <sheetView zoomScale="85" zoomScaleNormal="85" workbookViewId="0">
      <selection activeCell="E21" sqref="E21"/>
    </sheetView>
  </sheetViews>
  <sheetFormatPr baseColWidth="10" defaultColWidth="8.81640625" defaultRowHeight="14.5"/>
  <cols>
    <col min="2" max="2" width="51" bestFit="1" customWidth="1"/>
    <col min="3" max="3" width="16.1796875" customWidth="1"/>
    <col min="4" max="5" width="14.1796875" customWidth="1"/>
    <col min="6" max="6" width="16.179687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5">
      <c r="A3" s="4" t="s">
        <v>10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5">
      <c r="A5" s="7" t="s">
        <v>223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5">
      <c r="A6" s="7" t="s">
        <v>27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5">
      <c r="A7" s="7" t="s">
        <v>28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5">
      <c r="A9" s="3" t="s">
        <v>228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5">
      <c r="A10" s="3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5">
      <c r="A11" s="5" t="s">
        <v>11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5">
      <c r="A12" s="3" t="s">
        <v>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23" spans="1:12" ht="15.5">
      <c r="A23" s="5" t="s">
        <v>29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5">
      <c r="A24" s="3" t="s">
        <v>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35" spans="1:12" ht="15.5">
      <c r="A35" s="4" t="s">
        <v>224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5">
      <c r="A36" s="4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5">
      <c r="A37" s="7" t="s">
        <v>30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5">
      <c r="A38" s="7" t="s">
        <v>313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5">
      <c r="A39" s="7" t="s">
        <v>336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.5">
      <c r="A40" s="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.5">
      <c r="A41" s="4" t="s">
        <v>113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ht="15.5">
      <c r="A43" s="7" t="s">
        <v>314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15.5">
      <c r="A44" s="7" t="s">
        <v>315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5">
      <c r="A45" s="7" t="s">
        <v>169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15.5">
      <c r="A46" s="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15.5">
      <c r="A47" s="3" t="s">
        <v>316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16" thickBot="1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16" thickBot="1">
      <c r="A49" s="5"/>
      <c r="B49" s="18" t="s">
        <v>31</v>
      </c>
      <c r="C49" s="81" t="s">
        <v>32</v>
      </c>
      <c r="D49" s="2"/>
      <c r="E49" s="2"/>
      <c r="F49" s="2"/>
      <c r="G49" s="2"/>
      <c r="H49" s="2"/>
      <c r="I49" s="2"/>
      <c r="J49" s="2"/>
      <c r="K49" s="2"/>
      <c r="L49" s="2"/>
    </row>
    <row r="50" spans="1:12" ht="16" thickBot="1">
      <c r="A50" s="3"/>
      <c r="B50" s="19" t="s">
        <v>33</v>
      </c>
      <c r="C50" s="20"/>
      <c r="D50" s="2"/>
      <c r="E50" s="2"/>
      <c r="F50" s="2"/>
      <c r="G50" s="2"/>
      <c r="H50" s="2"/>
      <c r="I50" s="2"/>
      <c r="J50" s="2"/>
      <c r="K50" s="2"/>
      <c r="L50" s="2"/>
    </row>
    <row r="51" spans="1:12" ht="16" thickBot="1">
      <c r="A51" s="2"/>
      <c r="B51" s="19" t="s">
        <v>34</v>
      </c>
      <c r="C51" s="20"/>
      <c r="D51" s="2"/>
      <c r="E51" s="2"/>
      <c r="F51" s="2"/>
      <c r="G51" s="2"/>
      <c r="H51" s="2"/>
      <c r="I51" s="2"/>
      <c r="J51" s="2"/>
      <c r="K51" s="2"/>
      <c r="L51" s="2"/>
    </row>
    <row r="52" spans="1:12" ht="16" thickBot="1">
      <c r="A52" s="2"/>
      <c r="B52" s="19" t="s">
        <v>35</v>
      </c>
      <c r="C52" s="20"/>
      <c r="D52" s="2"/>
      <c r="E52" s="2"/>
      <c r="F52" s="2"/>
      <c r="G52" s="2"/>
      <c r="H52" s="2"/>
      <c r="I52" s="2"/>
      <c r="J52" s="2"/>
      <c r="K52" s="2"/>
      <c r="L52" s="2"/>
    </row>
    <row r="53" spans="1:12" ht="16" thickBot="1">
      <c r="A53" s="2"/>
      <c r="B53" s="19" t="s">
        <v>36</v>
      </c>
      <c r="C53" s="20"/>
      <c r="D53" s="2"/>
      <c r="E53" s="2"/>
      <c r="F53" s="2"/>
      <c r="G53" s="2"/>
      <c r="H53" s="2"/>
      <c r="I53" s="2"/>
      <c r="J53" s="2"/>
      <c r="K53" s="2"/>
      <c r="L53" s="2"/>
    </row>
    <row r="54" spans="1:12" ht="16" thickBot="1">
      <c r="A54" s="2"/>
      <c r="B54" s="19" t="s">
        <v>37</v>
      </c>
      <c r="C54" s="20"/>
      <c r="D54" s="2"/>
      <c r="E54" s="2"/>
      <c r="F54" s="2"/>
      <c r="G54" s="2"/>
      <c r="H54" s="2"/>
      <c r="I54" s="2"/>
      <c r="J54" s="2"/>
      <c r="K54" s="2"/>
      <c r="L54" s="2"/>
    </row>
    <row r="55" spans="1:12" ht="16" thickBot="1">
      <c r="A55" s="2"/>
      <c r="B55" s="82" t="s">
        <v>225</v>
      </c>
      <c r="C55" s="20"/>
      <c r="D55" s="2"/>
      <c r="E55" s="2"/>
      <c r="F55" s="2"/>
      <c r="G55" s="2"/>
      <c r="H55" s="2"/>
      <c r="I55" s="2"/>
      <c r="J55" s="2"/>
      <c r="K55" s="2"/>
      <c r="L55" s="2"/>
    </row>
    <row r="56" spans="1:12" ht="16" thickBot="1">
      <c r="A56" s="2"/>
      <c r="B56" s="82" t="s">
        <v>226</v>
      </c>
      <c r="C56" s="20"/>
      <c r="D56" s="2"/>
      <c r="E56" s="2"/>
      <c r="F56" s="2"/>
      <c r="G56" s="2"/>
      <c r="H56" s="2"/>
      <c r="I56" s="2"/>
      <c r="J56" s="2"/>
      <c r="K56" s="2"/>
      <c r="L56" s="2"/>
    </row>
    <row r="57" spans="1:12" ht="16" thickBot="1">
      <c r="A57" s="2"/>
      <c r="B57" s="82" t="s">
        <v>227</v>
      </c>
      <c r="C57" s="21"/>
      <c r="D57" s="2"/>
      <c r="E57" s="2"/>
      <c r="F57" s="2"/>
      <c r="G57" s="2"/>
      <c r="H57" s="2"/>
      <c r="I57" s="2"/>
      <c r="J57" s="2"/>
      <c r="K57" s="2"/>
      <c r="L57" s="2"/>
    </row>
    <row r="58" spans="1:12" ht="16" thickBot="1">
      <c r="A58" s="2"/>
      <c r="B58" s="19" t="s">
        <v>38</v>
      </c>
      <c r="C58" s="22"/>
      <c r="D58" s="2"/>
      <c r="E58" s="2"/>
      <c r="F58" s="2"/>
      <c r="G58" s="2"/>
      <c r="H58" s="2"/>
      <c r="I58" s="2"/>
      <c r="J58" s="2"/>
      <c r="K58" s="2"/>
      <c r="L58" s="2"/>
    </row>
    <row r="59" spans="1:1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5">
      <c r="A60" s="3" t="s">
        <v>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830BC-649E-4C1B-8448-0766539E2C2C}">
  <dimension ref="B2:H92"/>
  <sheetViews>
    <sheetView showGridLines="0" zoomScale="85" zoomScaleNormal="85" workbookViewId="0">
      <selection activeCell="C16" sqref="C16"/>
    </sheetView>
  </sheetViews>
  <sheetFormatPr baseColWidth="10" defaultColWidth="11.453125" defaultRowHeight="14.5"/>
  <cols>
    <col min="1" max="1" width="2.7265625" customWidth="1"/>
    <col min="2" max="2" width="21.81640625" bestFit="1" customWidth="1"/>
    <col min="3" max="3" width="30.26953125" bestFit="1" customWidth="1"/>
    <col min="4" max="6" width="25.453125" customWidth="1"/>
    <col min="7" max="7" width="14.7265625" customWidth="1"/>
    <col min="8" max="8" width="15" customWidth="1"/>
  </cols>
  <sheetData>
    <row r="2" spans="2:8">
      <c r="B2" s="9" t="s">
        <v>274</v>
      </c>
    </row>
    <row r="3" spans="2:8">
      <c r="B3" s="62" t="s">
        <v>275</v>
      </c>
      <c r="C3" s="62" t="s">
        <v>276</v>
      </c>
      <c r="D3" s="63"/>
    </row>
    <row r="4" spans="2:8">
      <c r="B4" s="64" t="s">
        <v>277</v>
      </c>
      <c r="C4" s="64" t="s">
        <v>39</v>
      </c>
      <c r="D4" s="63"/>
    </row>
    <row r="5" spans="2:8">
      <c r="B5" s="64" t="s">
        <v>278</v>
      </c>
      <c r="C5" s="64" t="s">
        <v>279</v>
      </c>
      <c r="D5" s="63"/>
    </row>
    <row r="6" spans="2:8">
      <c r="B6" s="65" t="s">
        <v>280</v>
      </c>
      <c r="C6" s="65" t="s">
        <v>281</v>
      </c>
      <c r="D6" s="63"/>
      <c r="E6" s="63"/>
      <c r="F6" s="63"/>
      <c r="G6" s="63"/>
      <c r="H6" s="63"/>
    </row>
    <row r="8" spans="2:8">
      <c r="B8" s="9" t="s">
        <v>170</v>
      </c>
    </row>
    <row r="9" spans="2:8">
      <c r="B9" s="75" t="s">
        <v>40</v>
      </c>
      <c r="C9" s="90" t="s">
        <v>282</v>
      </c>
      <c r="D9" s="90" t="s">
        <v>4</v>
      </c>
      <c r="E9" s="90" t="s">
        <v>41</v>
      </c>
      <c r="F9" s="90" t="s">
        <v>42</v>
      </c>
    </row>
    <row r="10" spans="2:8">
      <c r="B10" s="91" t="s">
        <v>43</v>
      </c>
      <c r="C10" s="92" t="s">
        <v>283</v>
      </c>
      <c r="D10" s="92">
        <v>45</v>
      </c>
      <c r="E10" s="92">
        <v>5</v>
      </c>
      <c r="F10" s="92" t="s">
        <v>44</v>
      </c>
    </row>
    <row r="11" spans="2:8">
      <c r="B11" s="93" t="s">
        <v>45</v>
      </c>
      <c r="C11" s="94" t="s">
        <v>284</v>
      </c>
      <c r="D11" s="94">
        <v>67</v>
      </c>
      <c r="E11" s="94">
        <v>30</v>
      </c>
      <c r="F11" s="94" t="s">
        <v>46</v>
      </c>
    </row>
    <row r="13" spans="2:8">
      <c r="B13" s="77" t="s">
        <v>285</v>
      </c>
      <c r="F13" s="8"/>
    </row>
    <row r="14" spans="2:8">
      <c r="B14" s="95"/>
      <c r="C14" s="96" t="s">
        <v>286</v>
      </c>
      <c r="D14" s="97" t="s">
        <v>287</v>
      </c>
      <c r="E14" s="66"/>
      <c r="F14" s="8"/>
    </row>
    <row r="15" spans="2:8">
      <c r="B15" s="98" t="s">
        <v>288</v>
      </c>
      <c r="C15" s="99">
        <v>7.0000000000000007E-2</v>
      </c>
      <c r="D15" s="100" t="s">
        <v>289</v>
      </c>
      <c r="E15" s="66"/>
      <c r="F15" s="8"/>
    </row>
    <row r="16" spans="2:8" ht="29">
      <c r="B16" s="98" t="s">
        <v>290</v>
      </c>
      <c r="C16" s="101">
        <v>1000</v>
      </c>
      <c r="D16" s="100" t="s">
        <v>291</v>
      </c>
      <c r="E16" s="66"/>
      <c r="F16" s="8"/>
    </row>
    <row r="17" spans="2:7">
      <c r="B17" s="98" t="s">
        <v>292</v>
      </c>
      <c r="C17" s="102">
        <v>0.1</v>
      </c>
      <c r="D17" s="100" t="s">
        <v>293</v>
      </c>
      <c r="E17" s="66"/>
      <c r="F17" s="8"/>
    </row>
    <row r="18" spans="2:7" ht="29">
      <c r="B18" s="98" t="s">
        <v>294</v>
      </c>
      <c r="C18" s="103" t="s">
        <v>276</v>
      </c>
      <c r="D18" s="100" t="s">
        <v>295</v>
      </c>
      <c r="E18" s="67"/>
      <c r="F18" s="104"/>
      <c r="G18" s="68"/>
    </row>
    <row r="19" spans="2:7">
      <c r="B19" s="98" t="s">
        <v>296</v>
      </c>
      <c r="C19" s="103" t="s">
        <v>297</v>
      </c>
      <c r="D19" s="100" t="s">
        <v>298</v>
      </c>
      <c r="E19" s="67"/>
      <c r="F19" s="104"/>
      <c r="G19" s="68"/>
    </row>
    <row r="20" spans="2:7" ht="58">
      <c r="B20" s="76" t="s">
        <v>299</v>
      </c>
      <c r="C20" s="103" t="s">
        <v>297</v>
      </c>
      <c r="D20" s="100" t="s">
        <v>298</v>
      </c>
    </row>
    <row r="21" spans="2:7">
      <c r="B21" s="98" t="s">
        <v>300</v>
      </c>
      <c r="C21" s="103" t="s">
        <v>297</v>
      </c>
      <c r="D21" s="100" t="s">
        <v>298</v>
      </c>
      <c r="E21" s="70"/>
    </row>
    <row r="22" spans="2:7">
      <c r="B22" s="78" t="s">
        <v>301</v>
      </c>
      <c r="D22" s="105"/>
    </row>
    <row r="23" spans="2:7">
      <c r="B23" s="106" t="s">
        <v>302</v>
      </c>
      <c r="D23" s="105"/>
    </row>
    <row r="24" spans="2:7">
      <c r="B24" s="107" t="s">
        <v>303</v>
      </c>
      <c r="C24" s="69"/>
      <c r="D24" s="108"/>
    </row>
    <row r="26" spans="2:7">
      <c r="B26" s="77" t="s">
        <v>304</v>
      </c>
    </row>
    <row r="27" spans="2:7">
      <c r="B27" s="109" t="s">
        <v>47</v>
      </c>
      <c r="C27" s="110" t="s">
        <v>48</v>
      </c>
    </row>
    <row r="28" spans="2:7">
      <c r="B28" s="111">
        <v>1</v>
      </c>
      <c r="C28" s="112">
        <v>0.08</v>
      </c>
    </row>
    <row r="29" spans="2:7">
      <c r="B29" s="111">
        <v>2</v>
      </c>
      <c r="C29" s="112">
        <v>7.0000000000000007E-2</v>
      </c>
    </row>
    <row r="30" spans="2:7">
      <c r="B30" s="111">
        <v>3</v>
      </c>
      <c r="C30" s="112">
        <v>0.06</v>
      </c>
    </row>
    <row r="31" spans="2:7">
      <c r="B31" s="111">
        <v>4</v>
      </c>
      <c r="C31" s="112">
        <v>0.05</v>
      </c>
    </row>
    <row r="32" spans="2:7">
      <c r="B32" s="113" t="s">
        <v>305</v>
      </c>
      <c r="C32" s="114">
        <v>0.04</v>
      </c>
    </row>
    <row r="33" spans="2:4">
      <c r="B33" s="10"/>
      <c r="C33" s="23"/>
    </row>
    <row r="34" spans="2:4">
      <c r="B34" s="89" t="s">
        <v>306</v>
      </c>
    </row>
    <row r="35" spans="2:4">
      <c r="B35" s="115" t="s">
        <v>4</v>
      </c>
      <c r="C35" s="110" t="s">
        <v>307</v>
      </c>
    </row>
    <row r="36" spans="2:4">
      <c r="B36" s="24" t="s">
        <v>49</v>
      </c>
      <c r="C36" s="25">
        <v>0.05</v>
      </c>
    </row>
    <row r="37" spans="2:4">
      <c r="B37" s="24" t="s">
        <v>50</v>
      </c>
      <c r="C37" s="25">
        <v>2.5000000000000001E-2</v>
      </c>
    </row>
    <row r="38" spans="2:4">
      <c r="B38" s="26" t="s">
        <v>51</v>
      </c>
      <c r="C38" s="116">
        <v>0</v>
      </c>
    </row>
    <row r="39" spans="2:4">
      <c r="B39" s="10"/>
      <c r="C39" s="23"/>
    </row>
    <row r="40" spans="2:4">
      <c r="B40" s="89" t="s">
        <v>308</v>
      </c>
    </row>
    <row r="41" spans="2:4">
      <c r="B41" s="109" t="s">
        <v>4</v>
      </c>
      <c r="C41" s="117" t="s">
        <v>46</v>
      </c>
      <c r="D41" s="110" t="s">
        <v>44</v>
      </c>
    </row>
    <row r="42" spans="2:4">
      <c r="B42" s="111">
        <v>40</v>
      </c>
      <c r="C42" s="11">
        <v>1.3600000000000001E-3</v>
      </c>
      <c r="D42" s="118">
        <v>6.0999999999999997E-4</v>
      </c>
    </row>
    <row r="43" spans="2:4">
      <c r="B43" s="111">
        <v>41</v>
      </c>
      <c r="C43" s="11">
        <v>1.4400000000000001E-3</v>
      </c>
      <c r="D43" s="118">
        <v>6.4999999999999997E-4</v>
      </c>
    </row>
    <row r="44" spans="2:4">
      <c r="B44" s="111">
        <v>42</v>
      </c>
      <c r="C44" s="11">
        <v>1.5399999999999999E-3</v>
      </c>
      <c r="D44" s="118">
        <v>6.8999999999999997E-4</v>
      </c>
    </row>
    <row r="45" spans="2:4">
      <c r="B45" s="111">
        <v>43</v>
      </c>
      <c r="C45" s="11">
        <v>1.65E-3</v>
      </c>
      <c r="D45" s="118">
        <v>7.5000000000000002E-4</v>
      </c>
    </row>
    <row r="46" spans="2:4">
      <c r="B46" s="111">
        <v>44</v>
      </c>
      <c r="C46" s="11">
        <v>1.7799999999999999E-3</v>
      </c>
      <c r="D46" s="118">
        <v>8.0000000000000004E-4</v>
      </c>
    </row>
    <row r="47" spans="2:4">
      <c r="B47" s="111">
        <v>45</v>
      </c>
      <c r="C47" s="11">
        <v>1.9E-3</v>
      </c>
      <c r="D47" s="118">
        <v>8.5999999999999998E-4</v>
      </c>
    </row>
    <row r="48" spans="2:4">
      <c r="B48" s="111">
        <v>46</v>
      </c>
      <c r="C48" s="11">
        <v>2.0500000000000002E-3</v>
      </c>
      <c r="D48" s="118">
        <v>9.2000000000000003E-4</v>
      </c>
    </row>
    <row r="49" spans="2:4">
      <c r="B49" s="111">
        <v>47</v>
      </c>
      <c r="C49" s="11">
        <v>2.1900000000000001E-3</v>
      </c>
      <c r="D49" s="118">
        <v>1.01E-3</v>
      </c>
    </row>
    <row r="50" spans="2:4">
      <c r="B50" s="111">
        <v>48</v>
      </c>
      <c r="C50" s="11">
        <v>2.3400000000000001E-3</v>
      </c>
      <c r="D50" s="118">
        <v>1.09E-3</v>
      </c>
    </row>
    <row r="51" spans="2:4">
      <c r="B51" s="111">
        <v>49</v>
      </c>
      <c r="C51" s="11">
        <v>2.5000000000000001E-3</v>
      </c>
      <c r="D51" s="118">
        <v>1.1900000000000001E-3</v>
      </c>
    </row>
    <row r="52" spans="2:4">
      <c r="B52" s="111">
        <v>50</v>
      </c>
      <c r="C52" s="11">
        <v>2.66E-3</v>
      </c>
      <c r="D52" s="118">
        <v>1.2899999999999999E-3</v>
      </c>
    </row>
    <row r="53" spans="2:4">
      <c r="B53" s="111">
        <v>51</v>
      </c>
      <c r="C53" s="11">
        <v>2.8500000000000001E-3</v>
      </c>
      <c r="D53" s="118">
        <v>1.41E-3</v>
      </c>
    </row>
    <row r="54" spans="2:4">
      <c r="B54" s="111">
        <v>52</v>
      </c>
      <c r="C54" s="11">
        <v>3.0699999999999998E-3</v>
      </c>
      <c r="D54" s="118">
        <v>1.5299999999999999E-3</v>
      </c>
    </row>
    <row r="55" spans="2:4">
      <c r="B55" s="111">
        <v>53</v>
      </c>
      <c r="C55" s="11">
        <v>3.3300000000000001E-3</v>
      </c>
      <c r="D55" s="118">
        <v>1.6800000000000001E-3</v>
      </c>
    </row>
    <row r="56" spans="2:4">
      <c r="B56" s="111">
        <v>54</v>
      </c>
      <c r="C56" s="11">
        <v>3.65E-3</v>
      </c>
      <c r="D56" s="118">
        <v>1.8600000000000001E-3</v>
      </c>
    </row>
    <row r="57" spans="2:4">
      <c r="B57" s="111">
        <v>55</v>
      </c>
      <c r="C57" s="11">
        <v>4.0299999999999997E-3</v>
      </c>
      <c r="D57" s="118">
        <v>2.0699999999999998E-3</v>
      </c>
    </row>
    <row r="58" spans="2:4">
      <c r="B58" s="111">
        <v>56</v>
      </c>
      <c r="C58" s="11">
        <v>4.4799999999999996E-3</v>
      </c>
      <c r="D58" s="118">
        <v>2.31E-3</v>
      </c>
    </row>
    <row r="59" spans="2:4">
      <c r="B59" s="111">
        <v>57</v>
      </c>
      <c r="C59" s="11">
        <v>4.9500000000000004E-3</v>
      </c>
      <c r="D59" s="118">
        <v>2.5799999999999998E-3</v>
      </c>
    </row>
    <row r="60" spans="2:4">
      <c r="B60" s="111">
        <v>58</v>
      </c>
      <c r="C60" s="11">
        <v>5.4200000000000003E-3</v>
      </c>
      <c r="D60" s="118">
        <v>2.8700000000000002E-3</v>
      </c>
    </row>
    <row r="61" spans="2:4">
      <c r="B61" s="111">
        <v>59</v>
      </c>
      <c r="C61" s="11">
        <v>5.8700000000000002E-3</v>
      </c>
      <c r="D61" s="118">
        <v>3.1800000000000001E-3</v>
      </c>
    </row>
    <row r="62" spans="2:4">
      <c r="B62" s="111">
        <v>60</v>
      </c>
      <c r="C62" s="11">
        <v>6.28E-3</v>
      </c>
      <c r="D62" s="118">
        <v>3.5000000000000001E-3</v>
      </c>
    </row>
    <row r="63" spans="2:4">
      <c r="B63" s="111">
        <v>61</v>
      </c>
      <c r="C63" s="11">
        <v>6.6600000000000001E-3</v>
      </c>
      <c r="D63" s="118">
        <v>3.8400000000000001E-3</v>
      </c>
    </row>
    <row r="64" spans="2:4">
      <c r="B64" s="111">
        <v>62</v>
      </c>
      <c r="C64" s="11">
        <v>7.0200000000000002E-3</v>
      </c>
      <c r="D64" s="118">
        <v>4.2100000000000002E-3</v>
      </c>
    </row>
    <row r="65" spans="2:4">
      <c r="B65" s="111">
        <v>63</v>
      </c>
      <c r="C65" s="11">
        <v>7.43E-3</v>
      </c>
      <c r="D65" s="118">
        <v>4.64E-3</v>
      </c>
    </row>
    <row r="66" spans="2:4">
      <c r="B66" s="111">
        <v>64</v>
      </c>
      <c r="C66" s="11">
        <v>7.9000000000000008E-3</v>
      </c>
      <c r="D66" s="118">
        <v>5.11E-3</v>
      </c>
    </row>
    <row r="67" spans="2:4">
      <c r="B67" s="111">
        <v>65</v>
      </c>
      <c r="C67" s="11">
        <v>8.4399999999999996E-3</v>
      </c>
      <c r="D67" s="118">
        <v>5.62E-3</v>
      </c>
    </row>
    <row r="68" spans="2:4">
      <c r="B68" s="111">
        <v>66</v>
      </c>
      <c r="C68" s="11">
        <v>9.0799999999999995E-3</v>
      </c>
      <c r="D68" s="118">
        <v>6.1999999999999998E-3</v>
      </c>
    </row>
    <row r="69" spans="2:4">
      <c r="B69" s="111">
        <v>67</v>
      </c>
      <c r="C69" s="11">
        <v>9.8300000000000002E-3</v>
      </c>
      <c r="D69" s="118">
        <v>6.8599999999999998E-3</v>
      </c>
    </row>
    <row r="70" spans="2:4">
      <c r="B70" s="111">
        <v>68</v>
      </c>
      <c r="C70" s="11">
        <v>1.0710000000000001E-2</v>
      </c>
      <c r="D70" s="118">
        <v>7.6099999999999996E-3</v>
      </c>
    </row>
    <row r="71" spans="2:4">
      <c r="B71" s="111">
        <v>69</v>
      </c>
      <c r="C71" s="11">
        <v>1.175E-2</v>
      </c>
      <c r="D71" s="118">
        <v>8.4399999999999996E-3</v>
      </c>
    </row>
    <row r="72" spans="2:4">
      <c r="B72" s="111">
        <v>70</v>
      </c>
      <c r="C72" s="11">
        <v>1.2959999999999999E-2</v>
      </c>
      <c r="D72" s="118">
        <v>9.3399999999999993E-3</v>
      </c>
    </row>
    <row r="73" spans="2:4">
      <c r="B73" s="111">
        <v>71</v>
      </c>
      <c r="C73" s="11">
        <v>1.4330000000000001E-2</v>
      </c>
      <c r="D73" s="118">
        <v>1.031E-2</v>
      </c>
    </row>
    <row r="74" spans="2:4">
      <c r="B74" s="111">
        <v>72</v>
      </c>
      <c r="C74" s="11">
        <v>1.5900000000000001E-2</v>
      </c>
      <c r="D74" s="118">
        <v>1.1339999999999999E-2</v>
      </c>
    </row>
    <row r="75" spans="2:4">
      <c r="B75" s="111">
        <v>73</v>
      </c>
      <c r="C75" s="11">
        <v>1.7670000000000002E-2</v>
      </c>
      <c r="D75" s="118">
        <v>1.244E-2</v>
      </c>
    </row>
    <row r="76" spans="2:4">
      <c r="B76" s="111">
        <v>74</v>
      </c>
      <c r="C76" s="11">
        <v>1.9640000000000001E-2</v>
      </c>
      <c r="D76" s="118">
        <v>1.366E-2</v>
      </c>
    </row>
    <row r="77" spans="2:4">
      <c r="B77" s="111">
        <v>75</v>
      </c>
      <c r="C77" s="11">
        <v>2.1819999999999999E-2</v>
      </c>
      <c r="D77" s="118">
        <v>1.502E-2</v>
      </c>
    </row>
    <row r="78" spans="2:4">
      <c r="B78" s="111">
        <v>76</v>
      </c>
      <c r="C78" s="11">
        <v>2.4299999999999999E-2</v>
      </c>
      <c r="D78" s="118">
        <v>1.6559999999999998E-2</v>
      </c>
    </row>
    <row r="79" spans="2:4">
      <c r="B79" s="111">
        <v>77</v>
      </c>
      <c r="C79" s="11">
        <v>2.7150000000000001E-2</v>
      </c>
      <c r="D79" s="118">
        <v>1.8339999999999999E-2</v>
      </c>
    </row>
    <row r="80" spans="2:4">
      <c r="B80" s="111">
        <v>78</v>
      </c>
      <c r="C80" s="11">
        <v>3.0470000000000001E-2</v>
      </c>
      <c r="D80" s="118">
        <v>2.0410000000000001E-2</v>
      </c>
    </row>
    <row r="81" spans="2:4">
      <c r="B81" s="111">
        <v>79</v>
      </c>
      <c r="C81" s="11">
        <v>3.4349999999999999E-2</v>
      </c>
      <c r="D81" s="118">
        <v>2.2839999999999999E-2</v>
      </c>
    </row>
    <row r="82" spans="2:4">
      <c r="B82" s="111">
        <v>80</v>
      </c>
      <c r="C82" s="11">
        <v>3.8899999999999997E-2</v>
      </c>
      <c r="D82" s="118">
        <v>2.571E-2</v>
      </c>
    </row>
    <row r="83" spans="2:4">
      <c r="B83" s="111">
        <v>81</v>
      </c>
      <c r="C83" s="11">
        <v>4.4220000000000002E-2</v>
      </c>
      <c r="D83" s="118">
        <v>2.913E-2</v>
      </c>
    </row>
    <row r="84" spans="2:4">
      <c r="B84" s="111">
        <v>82</v>
      </c>
      <c r="C84" s="11">
        <v>5.0389999999999997E-2</v>
      </c>
      <c r="D84" s="118">
        <v>3.32E-2</v>
      </c>
    </row>
    <row r="85" spans="2:4">
      <c r="B85" s="111">
        <v>83</v>
      </c>
      <c r="C85" s="11">
        <v>5.7489999999999999E-2</v>
      </c>
      <c r="D85" s="118">
        <v>3.805E-2</v>
      </c>
    </row>
    <row r="86" spans="2:4">
      <c r="B86" s="111">
        <v>84</v>
      </c>
      <c r="C86" s="11">
        <v>6.5570000000000003E-2</v>
      </c>
      <c r="D86" s="118">
        <v>4.3770000000000003E-2</v>
      </c>
    </row>
    <row r="87" spans="2:4">
      <c r="B87" s="111">
        <v>85</v>
      </c>
      <c r="C87" s="11">
        <v>7.4700000000000003E-2</v>
      </c>
      <c r="D87" s="118">
        <v>5.0500000000000003E-2</v>
      </c>
    </row>
    <row r="88" spans="2:4">
      <c r="B88" s="111">
        <v>86</v>
      </c>
      <c r="C88" s="11">
        <v>8.4949999999999998E-2</v>
      </c>
      <c r="D88" s="118">
        <v>5.8319999999999997E-2</v>
      </c>
    </row>
    <row r="89" spans="2:4">
      <c r="B89" s="111">
        <v>87</v>
      </c>
      <c r="C89" s="11">
        <v>9.6379999999999993E-2</v>
      </c>
      <c r="D89" s="118">
        <v>6.7339999999999997E-2</v>
      </c>
    </row>
    <row r="90" spans="2:4">
      <c r="B90" s="111">
        <v>88</v>
      </c>
      <c r="C90" s="11">
        <v>0.1091</v>
      </c>
      <c r="D90" s="118">
        <v>7.7649999999999997E-2</v>
      </c>
    </row>
    <row r="91" spans="2:4">
      <c r="B91" s="111">
        <v>89</v>
      </c>
      <c r="C91" s="11">
        <v>0.12317</v>
      </c>
      <c r="D91" s="118">
        <v>8.9319999999999997E-2</v>
      </c>
    </row>
    <row r="92" spans="2:4">
      <c r="B92" s="113">
        <v>90</v>
      </c>
      <c r="C92" s="119">
        <v>0.13864000000000001</v>
      </c>
      <c r="D92" s="120">
        <v>0.10238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32C5-B903-4E4B-AC50-A947A7767FB1}">
  <dimension ref="A1:Q75"/>
  <sheetViews>
    <sheetView showGridLines="0" topLeftCell="C1" zoomScale="85" zoomScaleNormal="85" workbookViewId="0">
      <selection activeCell="I13" sqref="I13"/>
    </sheetView>
  </sheetViews>
  <sheetFormatPr baseColWidth="10" defaultColWidth="11.453125" defaultRowHeight="14.5"/>
  <cols>
    <col min="1" max="1" width="17.453125" customWidth="1"/>
    <col min="5" max="5" width="12.453125" customWidth="1"/>
    <col min="6" max="6" width="13.81640625" customWidth="1"/>
    <col min="8" max="9" width="12.54296875" customWidth="1"/>
    <col min="10" max="10" width="13.54296875" customWidth="1"/>
    <col min="15" max="16" width="12.453125" customWidth="1"/>
    <col min="22" max="22" width="12" customWidth="1"/>
    <col min="23" max="23" width="12.54296875" customWidth="1"/>
  </cols>
  <sheetData>
    <row r="1" spans="1:8">
      <c r="A1" s="9" t="s">
        <v>526</v>
      </c>
    </row>
    <row r="3" spans="1:8">
      <c r="A3" t="s">
        <v>525</v>
      </c>
      <c r="B3" s="301">
        <f>'Data for Q3'!C16</f>
        <v>1000</v>
      </c>
    </row>
    <row r="4" spans="1:8">
      <c r="A4" t="s">
        <v>240</v>
      </c>
      <c r="B4" s="302">
        <f>'Data for Q3'!C17</f>
        <v>0.1</v>
      </c>
    </row>
    <row r="5" spans="1:8">
      <c r="A5" t="s">
        <v>524</v>
      </c>
      <c r="B5" s="301">
        <f>B3*(1+B4)</f>
        <v>1100</v>
      </c>
    </row>
    <row r="6" spans="1:8">
      <c r="A6" t="s">
        <v>523</v>
      </c>
      <c r="B6">
        <v>65</v>
      </c>
    </row>
    <row r="7" spans="1:8">
      <c r="A7" t="s">
        <v>522</v>
      </c>
      <c r="B7">
        <v>90</v>
      </c>
    </row>
    <row r="8" spans="1:8">
      <c r="A8" t="s">
        <v>521</v>
      </c>
      <c r="B8" s="145">
        <f>'Data for Q3'!C15</f>
        <v>7.0000000000000007E-2</v>
      </c>
    </row>
    <row r="9" spans="1:8">
      <c r="A9" t="s">
        <v>520</v>
      </c>
      <c r="B9" s="145" t="s">
        <v>517</v>
      </c>
    </row>
    <row r="10" spans="1:8">
      <c r="A10" t="s">
        <v>519</v>
      </c>
      <c r="B10" s="145" t="s">
        <v>517</v>
      </c>
    </row>
    <row r="11" spans="1:8">
      <c r="A11" t="s">
        <v>518</v>
      </c>
      <c r="B11" s="145" t="s">
        <v>517</v>
      </c>
    </row>
    <row r="13" spans="1:8" ht="87">
      <c r="A13" s="300" t="s">
        <v>40</v>
      </c>
      <c r="B13" s="299" t="s">
        <v>4</v>
      </c>
      <c r="C13" s="299" t="s">
        <v>516</v>
      </c>
      <c r="D13" s="299" t="s">
        <v>515</v>
      </c>
      <c r="E13" s="299" t="s">
        <v>514</v>
      </c>
      <c r="F13" s="298" t="s">
        <v>513</v>
      </c>
      <c r="G13" s="298" t="s">
        <v>512</v>
      </c>
      <c r="H13" s="297" t="s">
        <v>511</v>
      </c>
    </row>
    <row r="14" spans="1:8">
      <c r="A14" s="70" t="s">
        <v>43</v>
      </c>
      <c r="B14" s="10">
        <v>45</v>
      </c>
      <c r="C14" s="10">
        <v>5</v>
      </c>
      <c r="D14" s="10">
        <f>MAX($B$6-B14,0)</f>
        <v>20</v>
      </c>
      <c r="E14" s="10">
        <f>C14+D14</f>
        <v>25</v>
      </c>
      <c r="F14" s="296">
        <f>SUMPRODUCT(B41:B66,C41:C66,G41:G66,J41:J66)</f>
        <v>6168.570390539614</v>
      </c>
      <c r="G14" s="296">
        <f>F14*C14/E14</f>
        <v>1233.7140781079229</v>
      </c>
      <c r="H14" s="295">
        <f>F14/E14</f>
        <v>246.74281562158455</v>
      </c>
    </row>
    <row r="15" spans="1:8">
      <c r="A15" s="241" t="s">
        <v>45</v>
      </c>
      <c r="B15" s="294">
        <v>67</v>
      </c>
      <c r="C15" s="294">
        <v>30</v>
      </c>
      <c r="D15" s="294">
        <f>MAX($B$6-B15,0)</f>
        <v>0</v>
      </c>
      <c r="E15" s="294">
        <f>C15+D15</f>
        <v>30</v>
      </c>
      <c r="F15" s="293">
        <f>SUMPRODUCT(B22:B44,C22:C44,N22:N44,Q22:Q44)</f>
        <v>14975.324193421784</v>
      </c>
      <c r="G15" s="293">
        <f>F15*C15/E15</f>
        <v>14975.324193421784</v>
      </c>
      <c r="H15" s="292">
        <v>0</v>
      </c>
    </row>
    <row r="17" spans="1:17">
      <c r="E17" s="212" t="s">
        <v>379</v>
      </c>
      <c r="F17" s="291">
        <f>SUM(F14:F16)</f>
        <v>21143.894583961399</v>
      </c>
      <c r="G17" s="291">
        <f>SUM(G14:G16)</f>
        <v>16209.038271529707</v>
      </c>
      <c r="H17" s="291">
        <f>SUM(H14:H16)</f>
        <v>246.74281562158455</v>
      </c>
    </row>
    <row r="18" spans="1:17">
      <c r="K18" s="268"/>
      <c r="L18" s="268"/>
      <c r="M18" s="268"/>
      <c r="N18" s="268"/>
    </row>
    <row r="19" spans="1:17">
      <c r="A19" s="290"/>
      <c r="B19" s="289"/>
      <c r="C19" s="289"/>
      <c r="D19" s="345" t="s">
        <v>43</v>
      </c>
      <c r="E19" s="345"/>
      <c r="F19" s="345"/>
      <c r="G19" s="345"/>
      <c r="H19" s="345"/>
      <c r="I19" s="345"/>
      <c r="J19" s="345"/>
      <c r="K19" s="346" t="s">
        <v>45</v>
      </c>
      <c r="L19" s="346"/>
      <c r="M19" s="346"/>
      <c r="N19" s="346"/>
      <c r="O19" s="346"/>
      <c r="P19" s="346"/>
      <c r="Q19" s="347"/>
    </row>
    <row r="20" spans="1:17" ht="29">
      <c r="A20" s="288" t="s">
        <v>47</v>
      </c>
      <c r="B20" s="287" t="s">
        <v>510</v>
      </c>
      <c r="C20" s="287" t="s">
        <v>509</v>
      </c>
      <c r="D20" s="286" t="s">
        <v>4</v>
      </c>
      <c r="E20" s="286" t="s">
        <v>508</v>
      </c>
      <c r="F20" s="286" t="s">
        <v>507</v>
      </c>
      <c r="G20" s="286" t="s">
        <v>505</v>
      </c>
      <c r="H20" s="286" t="s">
        <v>420</v>
      </c>
      <c r="I20" s="286" t="s">
        <v>506</v>
      </c>
      <c r="J20" s="286" t="s">
        <v>505</v>
      </c>
      <c r="K20" s="285" t="s">
        <v>4</v>
      </c>
      <c r="L20" s="285" t="s">
        <v>508</v>
      </c>
      <c r="M20" s="285" t="s">
        <v>507</v>
      </c>
      <c r="N20" s="285" t="s">
        <v>505</v>
      </c>
      <c r="O20" s="285" t="s">
        <v>420</v>
      </c>
      <c r="P20" s="285" t="s">
        <v>506</v>
      </c>
      <c r="Q20" s="284" t="s">
        <v>505</v>
      </c>
    </row>
    <row r="21" spans="1:17">
      <c r="A21" s="283">
        <v>1</v>
      </c>
      <c r="B21" s="282">
        <f>B5</f>
        <v>1100</v>
      </c>
      <c r="C21" s="278">
        <f t="shared" ref="C21:C66" si="0">1/(1+$B$8)^(A21-$A$21+0.5)</f>
        <v>0.96673648904566356</v>
      </c>
      <c r="D21" s="277">
        <f>B14</f>
        <v>45</v>
      </c>
      <c r="E21" s="275">
        <f>'Data for Q3'!D47</f>
        <v>8.5999999999999998E-4</v>
      </c>
      <c r="F21" s="275">
        <f>(1-E21)</f>
        <v>0.99914000000000003</v>
      </c>
      <c r="G21" s="275">
        <f>(1-E21/2)</f>
        <v>0.99956999999999996</v>
      </c>
      <c r="H21" s="276">
        <f>'Data for Q3'!C36</f>
        <v>0.05</v>
      </c>
      <c r="I21" s="275">
        <f>(1-H21)</f>
        <v>0.95</v>
      </c>
      <c r="J21" s="275">
        <f>(1-H21/2)</f>
        <v>0.97499999999999998</v>
      </c>
      <c r="K21" s="274">
        <f>B15</f>
        <v>67</v>
      </c>
      <c r="L21" s="272">
        <f>'Data for Q3'!C69</f>
        <v>9.8300000000000002E-3</v>
      </c>
      <c r="M21" s="272">
        <f>(1-L21)</f>
        <v>0.99016999999999999</v>
      </c>
      <c r="N21" s="272">
        <f>(1-L21/2)</f>
        <v>0.995085</v>
      </c>
      <c r="O21" s="281">
        <v>0</v>
      </c>
      <c r="P21" s="272">
        <f>(1-O21)</f>
        <v>1</v>
      </c>
      <c r="Q21" s="280">
        <f>(1-O21/2)</f>
        <v>1</v>
      </c>
    </row>
    <row r="22" spans="1:17">
      <c r="A22" s="66">
        <f t="shared" ref="A22:A66" si="1">A21+1</f>
        <v>2</v>
      </c>
      <c r="B22" s="279">
        <f>B21*(1+'Data for Q3'!C28)</f>
        <v>1188</v>
      </c>
      <c r="C22" s="278">
        <f t="shared" si="0"/>
        <v>0.90349204583706866</v>
      </c>
      <c r="D22" s="277">
        <f t="shared" ref="D22:D66" si="2">D21+1</f>
        <v>46</v>
      </c>
      <c r="E22" s="275">
        <f>'Data for Q3'!D48</f>
        <v>9.2000000000000003E-4</v>
      </c>
      <c r="F22" s="275">
        <f t="shared" ref="F22:F66" si="3">(1-E22)*F21</f>
        <v>0.99822079119999996</v>
      </c>
      <c r="G22" s="275">
        <f t="shared" ref="G22:G66" si="4">(1-E22/2)*F21</f>
        <v>0.99868039559999999</v>
      </c>
      <c r="H22" s="276">
        <f>H21</f>
        <v>0.05</v>
      </c>
      <c r="I22" s="275">
        <f t="shared" ref="I22:I66" si="5">(1-H22)*I21</f>
        <v>0.90249999999999997</v>
      </c>
      <c r="J22" s="275">
        <f t="shared" ref="J22:J66" si="6">(1-H22/2)*I21</f>
        <v>0.92624999999999991</v>
      </c>
      <c r="K22" s="274">
        <f t="shared" ref="K22:K44" si="7">K21+1</f>
        <v>68</v>
      </c>
      <c r="L22" s="272">
        <f>'Data for Q3'!C70</f>
        <v>1.0710000000000001E-2</v>
      </c>
      <c r="M22" s="272">
        <f t="shared" ref="M22:M44" si="8">(1-L22)*M21</f>
        <v>0.97956527930000004</v>
      </c>
      <c r="N22" s="272">
        <f t="shared" ref="N22:N44" si="9">(1-L22/2)*M21</f>
        <v>0.98486763965000002</v>
      </c>
      <c r="O22" s="281">
        <v>0</v>
      </c>
      <c r="P22" s="272">
        <f t="shared" ref="P22:P44" si="10">(1-O22)*P21</f>
        <v>1</v>
      </c>
      <c r="Q22" s="280">
        <f t="shared" ref="Q22:Q44" si="11">(1-O22/2)*P21</f>
        <v>1</v>
      </c>
    </row>
    <row r="23" spans="1:17">
      <c r="A23" s="66">
        <f t="shared" si="1"/>
        <v>3</v>
      </c>
      <c r="B23" s="279">
        <f>B22*(1+'Data for Q3'!C29)</f>
        <v>1271.1600000000001</v>
      </c>
      <c r="C23" s="278">
        <f t="shared" si="0"/>
        <v>0.84438508956735392</v>
      </c>
      <c r="D23" s="277">
        <f t="shared" si="2"/>
        <v>47</v>
      </c>
      <c r="E23" s="275">
        <f>'Data for Q3'!D49</f>
        <v>1.01E-3</v>
      </c>
      <c r="F23" s="275">
        <f t="shared" si="3"/>
        <v>0.99721258820088798</v>
      </c>
      <c r="G23" s="275">
        <f t="shared" si="4"/>
        <v>0.99771668970044403</v>
      </c>
      <c r="H23" s="276">
        <f>H22</f>
        <v>0.05</v>
      </c>
      <c r="I23" s="275">
        <f t="shared" si="5"/>
        <v>0.85737499999999989</v>
      </c>
      <c r="J23" s="275">
        <f t="shared" si="6"/>
        <v>0.87993749999999993</v>
      </c>
      <c r="K23" s="274">
        <f t="shared" si="7"/>
        <v>69</v>
      </c>
      <c r="L23" s="272">
        <f>'Data for Q3'!C71</f>
        <v>1.175E-2</v>
      </c>
      <c r="M23" s="272">
        <f t="shared" si="8"/>
        <v>0.96805538726822504</v>
      </c>
      <c r="N23" s="272">
        <f t="shared" si="9"/>
        <v>0.97381033328411259</v>
      </c>
      <c r="O23" s="281">
        <v>0</v>
      </c>
      <c r="P23" s="272">
        <f t="shared" si="10"/>
        <v>1</v>
      </c>
      <c r="Q23" s="280">
        <f t="shared" si="11"/>
        <v>1</v>
      </c>
    </row>
    <row r="24" spans="1:17">
      <c r="A24" s="66">
        <f t="shared" si="1"/>
        <v>4</v>
      </c>
      <c r="B24" s="279">
        <f>B23*(1+'Data for Q3'!C30)</f>
        <v>1347.4296000000002</v>
      </c>
      <c r="C24" s="278">
        <f t="shared" si="0"/>
        <v>0.78914494352089137</v>
      </c>
      <c r="D24" s="277">
        <f t="shared" si="2"/>
        <v>48</v>
      </c>
      <c r="E24" s="275">
        <f>'Data for Q3'!D50</f>
        <v>1.09E-3</v>
      </c>
      <c r="F24" s="275">
        <f t="shared" si="3"/>
        <v>0.996125626479749</v>
      </c>
      <c r="G24" s="275">
        <f t="shared" si="4"/>
        <v>0.99666910734031844</v>
      </c>
      <c r="H24" s="276">
        <f>H23</f>
        <v>0.05</v>
      </c>
      <c r="I24" s="275">
        <f t="shared" si="5"/>
        <v>0.81450624999999988</v>
      </c>
      <c r="J24" s="275">
        <f t="shared" si="6"/>
        <v>0.83594062499999988</v>
      </c>
      <c r="K24" s="274">
        <f t="shared" si="7"/>
        <v>70</v>
      </c>
      <c r="L24" s="272">
        <f>'Data for Q3'!C72</f>
        <v>1.2959999999999999E-2</v>
      </c>
      <c r="M24" s="272">
        <f t="shared" si="8"/>
        <v>0.95550938944922892</v>
      </c>
      <c r="N24" s="272">
        <f t="shared" si="9"/>
        <v>0.96178238835872687</v>
      </c>
      <c r="O24" s="281">
        <v>0</v>
      </c>
      <c r="P24" s="272">
        <f t="shared" si="10"/>
        <v>1</v>
      </c>
      <c r="Q24" s="280">
        <f t="shared" si="11"/>
        <v>1</v>
      </c>
    </row>
    <row r="25" spans="1:17">
      <c r="A25" s="66">
        <f t="shared" si="1"/>
        <v>5</v>
      </c>
      <c r="B25" s="279">
        <f>B24*(1+'Data for Q3'!C31)</f>
        <v>1414.8010800000002</v>
      </c>
      <c r="C25" s="278">
        <f t="shared" si="0"/>
        <v>0.73751863880457136</v>
      </c>
      <c r="D25" s="277">
        <f t="shared" si="2"/>
        <v>49</v>
      </c>
      <c r="E25" s="275">
        <f>'Data for Q3'!D51</f>
        <v>1.1900000000000001E-3</v>
      </c>
      <c r="F25" s="275">
        <f t="shared" si="3"/>
        <v>0.99494023698423806</v>
      </c>
      <c r="G25" s="275">
        <f t="shared" si="4"/>
        <v>0.99553293173199353</v>
      </c>
      <c r="H25" s="276">
        <f>'Data for Q3'!C37</f>
        <v>2.5000000000000001E-2</v>
      </c>
      <c r="I25" s="275">
        <f t="shared" si="5"/>
        <v>0.79414359374999988</v>
      </c>
      <c r="J25" s="275">
        <f t="shared" si="6"/>
        <v>0.80432492187499993</v>
      </c>
      <c r="K25" s="274">
        <f t="shared" si="7"/>
        <v>71</v>
      </c>
      <c r="L25" s="272">
        <f>'Data for Q3'!C73</f>
        <v>1.4330000000000001E-2</v>
      </c>
      <c r="M25" s="272">
        <f t="shared" si="8"/>
        <v>0.94181693989842152</v>
      </c>
      <c r="N25" s="272">
        <f t="shared" si="9"/>
        <v>0.94866316467382517</v>
      </c>
      <c r="O25" s="281">
        <v>0</v>
      </c>
      <c r="P25" s="272">
        <f t="shared" si="10"/>
        <v>1</v>
      </c>
      <c r="Q25" s="280">
        <f t="shared" si="11"/>
        <v>1</v>
      </c>
    </row>
    <row r="26" spans="1:17">
      <c r="A26" s="66">
        <f t="shared" si="1"/>
        <v>6</v>
      </c>
      <c r="B26" s="279">
        <f>B25*(1+'Data for Q3'!$C$32)</f>
        <v>1471.3931232000002</v>
      </c>
      <c r="C26" s="278">
        <f t="shared" si="0"/>
        <v>0.68926975589212269</v>
      </c>
      <c r="D26" s="277">
        <f t="shared" si="2"/>
        <v>50</v>
      </c>
      <c r="E26" s="275">
        <f>'Data for Q3'!D52</f>
        <v>1.2899999999999999E-3</v>
      </c>
      <c r="F26" s="275">
        <f t="shared" si="3"/>
        <v>0.99365676407852843</v>
      </c>
      <c r="G26" s="275">
        <f t="shared" si="4"/>
        <v>0.99429850053138324</v>
      </c>
      <c r="H26" s="276">
        <f t="shared" ref="H26:H35" si="12">H25</f>
        <v>2.5000000000000001E-2</v>
      </c>
      <c r="I26" s="275">
        <f t="shared" si="5"/>
        <v>0.77429000390624991</v>
      </c>
      <c r="J26" s="275">
        <f t="shared" si="6"/>
        <v>0.78421679882812489</v>
      </c>
      <c r="K26" s="274">
        <f t="shared" si="7"/>
        <v>72</v>
      </c>
      <c r="L26" s="272">
        <f>'Data for Q3'!C74</f>
        <v>1.5900000000000001E-2</v>
      </c>
      <c r="M26" s="272">
        <f t="shared" si="8"/>
        <v>0.92684205055403657</v>
      </c>
      <c r="N26" s="272">
        <f t="shared" si="9"/>
        <v>0.9343294952262291</v>
      </c>
      <c r="O26" s="281">
        <v>0</v>
      </c>
      <c r="P26" s="272">
        <f t="shared" si="10"/>
        <v>1</v>
      </c>
      <c r="Q26" s="280">
        <f t="shared" si="11"/>
        <v>1</v>
      </c>
    </row>
    <row r="27" spans="1:17">
      <c r="A27" s="66">
        <f t="shared" si="1"/>
        <v>7</v>
      </c>
      <c r="B27" s="279">
        <f>B26*(1+'Data for Q3'!$C$32)</f>
        <v>1530.2488481280002</v>
      </c>
      <c r="C27" s="278">
        <f t="shared" si="0"/>
        <v>0.64417734195525478</v>
      </c>
      <c r="D27" s="277">
        <f t="shared" si="2"/>
        <v>51</v>
      </c>
      <c r="E27" s="275">
        <f>'Data for Q3'!D53</f>
        <v>1.41E-3</v>
      </c>
      <c r="F27" s="275">
        <f t="shared" si="3"/>
        <v>0.99225570804117769</v>
      </c>
      <c r="G27" s="275">
        <f t="shared" si="4"/>
        <v>0.99295623605985306</v>
      </c>
      <c r="H27" s="276">
        <f t="shared" si="12"/>
        <v>2.5000000000000001E-2</v>
      </c>
      <c r="I27" s="275">
        <f t="shared" si="5"/>
        <v>0.75493275380859359</v>
      </c>
      <c r="J27" s="275">
        <f t="shared" si="6"/>
        <v>0.76461137885742181</v>
      </c>
      <c r="K27" s="274">
        <f t="shared" si="7"/>
        <v>73</v>
      </c>
      <c r="L27" s="272">
        <f>'Data for Q3'!C75</f>
        <v>1.7670000000000002E-2</v>
      </c>
      <c r="M27" s="272">
        <f t="shared" si="8"/>
        <v>0.9104647515207468</v>
      </c>
      <c r="N27" s="272">
        <f t="shared" si="9"/>
        <v>0.91865340103739157</v>
      </c>
      <c r="O27" s="281">
        <v>0</v>
      </c>
      <c r="P27" s="272">
        <f t="shared" si="10"/>
        <v>1</v>
      </c>
      <c r="Q27" s="280">
        <f t="shared" si="11"/>
        <v>1</v>
      </c>
    </row>
    <row r="28" spans="1:17">
      <c r="A28" s="66">
        <f t="shared" si="1"/>
        <v>8</v>
      </c>
      <c r="B28" s="279">
        <f>B27*(1+'Data for Q3'!$C$32)</f>
        <v>1591.4588020531203</v>
      </c>
      <c r="C28" s="278">
        <f t="shared" si="0"/>
        <v>0.60203489902360263</v>
      </c>
      <c r="D28" s="277">
        <f t="shared" si="2"/>
        <v>52</v>
      </c>
      <c r="E28" s="275">
        <f>'Data for Q3'!D54</f>
        <v>1.5299999999999999E-3</v>
      </c>
      <c r="F28" s="275">
        <f t="shared" si="3"/>
        <v>0.99073755680787468</v>
      </c>
      <c r="G28" s="275">
        <f t="shared" si="4"/>
        <v>0.99149663242452613</v>
      </c>
      <c r="H28" s="276">
        <f t="shared" si="12"/>
        <v>2.5000000000000001E-2</v>
      </c>
      <c r="I28" s="275">
        <f t="shared" si="5"/>
        <v>0.73605943496337878</v>
      </c>
      <c r="J28" s="275">
        <f t="shared" si="6"/>
        <v>0.74549609438598619</v>
      </c>
      <c r="K28" s="274">
        <f t="shared" si="7"/>
        <v>74</v>
      </c>
      <c r="L28" s="272">
        <f>'Data for Q3'!C76</f>
        <v>1.9640000000000001E-2</v>
      </c>
      <c r="M28" s="272">
        <f t="shared" si="8"/>
        <v>0.89258322380087929</v>
      </c>
      <c r="N28" s="272">
        <f t="shared" si="9"/>
        <v>0.90152398766081299</v>
      </c>
      <c r="O28" s="281">
        <v>0</v>
      </c>
      <c r="P28" s="272">
        <f t="shared" si="10"/>
        <v>1</v>
      </c>
      <c r="Q28" s="280">
        <f t="shared" si="11"/>
        <v>1</v>
      </c>
    </row>
    <row r="29" spans="1:17">
      <c r="A29" s="66">
        <f t="shared" si="1"/>
        <v>9</v>
      </c>
      <c r="B29" s="279">
        <f>B28*(1+'Data for Q3'!$C$32)</f>
        <v>1655.1171541352451</v>
      </c>
      <c r="C29" s="278">
        <f t="shared" si="0"/>
        <v>0.56264943833981551</v>
      </c>
      <c r="D29" s="277">
        <f t="shared" si="2"/>
        <v>53</v>
      </c>
      <c r="E29" s="275">
        <f>'Data for Q3'!D55</f>
        <v>1.6800000000000001E-3</v>
      </c>
      <c r="F29" s="275">
        <f t="shared" si="3"/>
        <v>0.98907311771243744</v>
      </c>
      <c r="G29" s="275">
        <f t="shared" si="4"/>
        <v>0.98990533726015606</v>
      </c>
      <c r="H29" s="276">
        <f t="shared" si="12"/>
        <v>2.5000000000000001E-2</v>
      </c>
      <c r="I29" s="275">
        <f t="shared" si="5"/>
        <v>0.71765794908929426</v>
      </c>
      <c r="J29" s="275">
        <f t="shared" si="6"/>
        <v>0.72685869202633657</v>
      </c>
      <c r="K29" s="274">
        <f t="shared" si="7"/>
        <v>75</v>
      </c>
      <c r="L29" s="272">
        <f>'Data for Q3'!C77</f>
        <v>2.1819999999999999E-2</v>
      </c>
      <c r="M29" s="272">
        <f t="shared" si="8"/>
        <v>0.87310705785754417</v>
      </c>
      <c r="N29" s="272">
        <f t="shared" si="9"/>
        <v>0.88284514082921173</v>
      </c>
      <c r="O29" s="281">
        <v>0</v>
      </c>
      <c r="P29" s="272">
        <f t="shared" si="10"/>
        <v>1</v>
      </c>
      <c r="Q29" s="280">
        <f t="shared" si="11"/>
        <v>1</v>
      </c>
    </row>
    <row r="30" spans="1:17">
      <c r="A30" s="66">
        <f t="shared" si="1"/>
        <v>10</v>
      </c>
      <c r="B30" s="279">
        <f>B29*(1+'Data for Q3'!$C$32)</f>
        <v>1721.3218403006549</v>
      </c>
      <c r="C30" s="278">
        <f t="shared" si="0"/>
        <v>0.52584059657926685</v>
      </c>
      <c r="D30" s="277">
        <f t="shared" si="2"/>
        <v>54</v>
      </c>
      <c r="E30" s="275">
        <f>'Data for Q3'!D56</f>
        <v>1.8600000000000001E-3</v>
      </c>
      <c r="F30" s="275">
        <f t="shared" si="3"/>
        <v>0.98723344171349237</v>
      </c>
      <c r="G30" s="275">
        <f t="shared" si="4"/>
        <v>0.98815327971296485</v>
      </c>
      <c r="H30" s="276">
        <f t="shared" si="12"/>
        <v>2.5000000000000001E-2</v>
      </c>
      <c r="I30" s="275">
        <f t="shared" si="5"/>
        <v>0.6997165003620619</v>
      </c>
      <c r="J30" s="275">
        <f t="shared" si="6"/>
        <v>0.70868722472567813</v>
      </c>
      <c r="K30" s="274">
        <f t="shared" si="7"/>
        <v>76</v>
      </c>
      <c r="L30" s="272">
        <f>'Data for Q3'!C78</f>
        <v>2.4299999999999999E-2</v>
      </c>
      <c r="M30" s="272">
        <f t="shared" si="8"/>
        <v>0.85189055635160582</v>
      </c>
      <c r="N30" s="272">
        <f t="shared" si="9"/>
        <v>0.86249880710457505</v>
      </c>
      <c r="O30" s="281">
        <v>0</v>
      </c>
      <c r="P30" s="272">
        <f t="shared" si="10"/>
        <v>1</v>
      </c>
      <c r="Q30" s="280">
        <f t="shared" si="11"/>
        <v>1</v>
      </c>
    </row>
    <row r="31" spans="1:17">
      <c r="A31" s="66">
        <f t="shared" si="1"/>
        <v>11</v>
      </c>
      <c r="B31" s="279">
        <f>B30*(1+'Data for Q3'!$C$32)</f>
        <v>1790.1747139126812</v>
      </c>
      <c r="C31" s="278">
        <f t="shared" si="0"/>
        <v>0.49143980988716524</v>
      </c>
      <c r="D31" s="277">
        <f t="shared" si="2"/>
        <v>55</v>
      </c>
      <c r="E31" s="275">
        <f>'Data for Q3'!D57</f>
        <v>2.0699999999999998E-3</v>
      </c>
      <c r="F31" s="275">
        <f t="shared" si="3"/>
        <v>0.98518986848914547</v>
      </c>
      <c r="G31" s="275">
        <f t="shared" si="4"/>
        <v>0.98621165510131892</v>
      </c>
      <c r="H31" s="276">
        <f t="shared" si="12"/>
        <v>2.5000000000000001E-2</v>
      </c>
      <c r="I31" s="275">
        <f t="shared" si="5"/>
        <v>0.68222358785301029</v>
      </c>
      <c r="J31" s="275">
        <f t="shared" si="6"/>
        <v>0.69097004410753615</v>
      </c>
      <c r="K31" s="274">
        <f t="shared" si="7"/>
        <v>77</v>
      </c>
      <c r="L31" s="272">
        <f>'Data for Q3'!C79</f>
        <v>2.7150000000000001E-2</v>
      </c>
      <c r="M31" s="272">
        <f t="shared" si="8"/>
        <v>0.82876172774665968</v>
      </c>
      <c r="N31" s="272">
        <f t="shared" si="9"/>
        <v>0.84032614204913281</v>
      </c>
      <c r="O31" s="281">
        <v>0</v>
      </c>
      <c r="P31" s="272">
        <f t="shared" si="10"/>
        <v>1</v>
      </c>
      <c r="Q31" s="280">
        <f t="shared" si="11"/>
        <v>1</v>
      </c>
    </row>
    <row r="32" spans="1:17">
      <c r="A32" s="66">
        <f t="shared" si="1"/>
        <v>12</v>
      </c>
      <c r="B32" s="279">
        <f>B31*(1+'Data for Q3'!$C$32)</f>
        <v>1861.7817024691885</v>
      </c>
      <c r="C32" s="278">
        <f t="shared" si="0"/>
        <v>0.45928954195062172</v>
      </c>
      <c r="D32" s="277">
        <f t="shared" si="2"/>
        <v>56</v>
      </c>
      <c r="E32" s="275">
        <f>'Data for Q3'!D58</f>
        <v>2.31E-3</v>
      </c>
      <c r="F32" s="275">
        <f t="shared" si="3"/>
        <v>0.98291407989293555</v>
      </c>
      <c r="G32" s="275">
        <f t="shared" si="4"/>
        <v>0.98405197419104051</v>
      </c>
      <c r="H32" s="276">
        <f t="shared" si="12"/>
        <v>2.5000000000000001E-2</v>
      </c>
      <c r="I32" s="275">
        <f t="shared" si="5"/>
        <v>0.66516799815668504</v>
      </c>
      <c r="J32" s="275">
        <f t="shared" si="6"/>
        <v>0.67369579300484772</v>
      </c>
      <c r="K32" s="274">
        <f t="shared" si="7"/>
        <v>78</v>
      </c>
      <c r="L32" s="272">
        <f>'Data for Q3'!C80</f>
        <v>3.0470000000000001E-2</v>
      </c>
      <c r="M32" s="272">
        <f t="shared" si="8"/>
        <v>0.803509357902219</v>
      </c>
      <c r="N32" s="272">
        <f t="shared" si="9"/>
        <v>0.81613554282443934</v>
      </c>
      <c r="O32" s="281">
        <v>0</v>
      </c>
      <c r="P32" s="272">
        <f t="shared" si="10"/>
        <v>1</v>
      </c>
      <c r="Q32" s="280">
        <f t="shared" si="11"/>
        <v>1</v>
      </c>
    </row>
    <row r="33" spans="1:17">
      <c r="A33" s="66">
        <f t="shared" si="1"/>
        <v>13</v>
      </c>
      <c r="B33" s="279">
        <f>B32*(1+'Data for Q3'!$C$32)</f>
        <v>1936.252970567956</v>
      </c>
      <c r="C33" s="278">
        <f t="shared" si="0"/>
        <v>0.42924256257067445</v>
      </c>
      <c r="D33" s="277">
        <f t="shared" si="2"/>
        <v>57</v>
      </c>
      <c r="E33" s="275">
        <f>'Data for Q3'!D59</f>
        <v>2.5799999999999998E-3</v>
      </c>
      <c r="F33" s="275">
        <f t="shared" si="3"/>
        <v>0.98037816156681179</v>
      </c>
      <c r="G33" s="275">
        <f t="shared" si="4"/>
        <v>0.98164612072987367</v>
      </c>
      <c r="H33" s="276">
        <f t="shared" si="12"/>
        <v>2.5000000000000001E-2</v>
      </c>
      <c r="I33" s="275">
        <f t="shared" si="5"/>
        <v>0.64853879820276794</v>
      </c>
      <c r="J33" s="275">
        <f t="shared" si="6"/>
        <v>0.65685339817972654</v>
      </c>
      <c r="K33" s="274">
        <f t="shared" si="7"/>
        <v>79</v>
      </c>
      <c r="L33" s="272">
        <f>'Data for Q3'!C81</f>
        <v>3.4349999999999999E-2</v>
      </c>
      <c r="M33" s="272">
        <f t="shared" si="8"/>
        <v>0.77590881145827784</v>
      </c>
      <c r="N33" s="272">
        <f t="shared" si="9"/>
        <v>0.78970908468024836</v>
      </c>
      <c r="O33" s="281">
        <v>0</v>
      </c>
      <c r="P33" s="272">
        <f t="shared" si="10"/>
        <v>1</v>
      </c>
      <c r="Q33" s="280">
        <f t="shared" si="11"/>
        <v>1</v>
      </c>
    </row>
    <row r="34" spans="1:17">
      <c r="A34" s="66">
        <f t="shared" si="1"/>
        <v>14</v>
      </c>
      <c r="B34" s="279">
        <f>B33*(1+'Data for Q3'!$C$32)</f>
        <v>2013.7030893906744</v>
      </c>
      <c r="C34" s="278">
        <f t="shared" si="0"/>
        <v>0.40116127343053681</v>
      </c>
      <c r="D34" s="277">
        <f t="shared" si="2"/>
        <v>58</v>
      </c>
      <c r="E34" s="275">
        <f>'Data for Q3'!D60</f>
        <v>2.8700000000000002E-3</v>
      </c>
      <c r="F34" s="275">
        <f t="shared" si="3"/>
        <v>0.97756447624311504</v>
      </c>
      <c r="G34" s="275">
        <f t="shared" si="4"/>
        <v>0.97897131890496347</v>
      </c>
      <c r="H34" s="276">
        <f t="shared" si="12"/>
        <v>2.5000000000000001E-2</v>
      </c>
      <c r="I34" s="275">
        <f t="shared" si="5"/>
        <v>0.63232532824769871</v>
      </c>
      <c r="J34" s="275">
        <f t="shared" si="6"/>
        <v>0.64043206322523338</v>
      </c>
      <c r="K34" s="274">
        <f t="shared" si="7"/>
        <v>80</v>
      </c>
      <c r="L34" s="272">
        <f>'Data for Q3'!C82</f>
        <v>3.8899999999999997E-2</v>
      </c>
      <c r="M34" s="272">
        <f t="shared" si="8"/>
        <v>0.74572595869255076</v>
      </c>
      <c r="N34" s="272">
        <f t="shared" si="9"/>
        <v>0.76081738507541441</v>
      </c>
      <c r="O34" s="281">
        <v>0</v>
      </c>
      <c r="P34" s="272">
        <f t="shared" si="10"/>
        <v>1</v>
      </c>
      <c r="Q34" s="280">
        <f t="shared" si="11"/>
        <v>1</v>
      </c>
    </row>
    <row r="35" spans="1:17">
      <c r="A35" s="66">
        <f t="shared" si="1"/>
        <v>15</v>
      </c>
      <c r="B35" s="279">
        <f>B34*(1+'Data for Q3'!$C$32)</f>
        <v>2094.2512129663014</v>
      </c>
      <c r="C35" s="278">
        <f t="shared" si="0"/>
        <v>0.37491707797246426</v>
      </c>
      <c r="D35" s="277">
        <f t="shared" si="2"/>
        <v>59</v>
      </c>
      <c r="E35" s="275">
        <f>'Data for Q3'!D61</f>
        <v>3.1800000000000001E-3</v>
      </c>
      <c r="F35" s="275">
        <f t="shared" si="3"/>
        <v>0.97445582120866192</v>
      </c>
      <c r="G35" s="275">
        <f t="shared" si="4"/>
        <v>0.97601014872588854</v>
      </c>
      <c r="H35" s="276">
        <f t="shared" si="12"/>
        <v>2.5000000000000001E-2</v>
      </c>
      <c r="I35" s="275">
        <f t="shared" si="5"/>
        <v>0.61651719504150626</v>
      </c>
      <c r="J35" s="275">
        <f t="shared" si="6"/>
        <v>0.62442126164460254</v>
      </c>
      <c r="K35" s="274">
        <f t="shared" si="7"/>
        <v>81</v>
      </c>
      <c r="L35" s="272">
        <f>'Data for Q3'!C83</f>
        <v>4.4220000000000002E-2</v>
      </c>
      <c r="M35" s="272">
        <f t="shared" si="8"/>
        <v>0.71274995679916608</v>
      </c>
      <c r="N35" s="272">
        <f t="shared" si="9"/>
        <v>0.72923795774585853</v>
      </c>
      <c r="O35" s="281">
        <v>0</v>
      </c>
      <c r="P35" s="272">
        <f t="shared" si="10"/>
        <v>1</v>
      </c>
      <c r="Q35" s="280">
        <f t="shared" si="11"/>
        <v>1</v>
      </c>
    </row>
    <row r="36" spans="1:17">
      <c r="A36" s="66">
        <f t="shared" si="1"/>
        <v>16</v>
      </c>
      <c r="B36" s="279">
        <f>B35*(1+'Data for Q3'!$C$32)</f>
        <v>2178.0212614849534</v>
      </c>
      <c r="C36" s="278">
        <f t="shared" si="0"/>
        <v>0.35038979249763014</v>
      </c>
      <c r="D36" s="277">
        <f t="shared" si="2"/>
        <v>60</v>
      </c>
      <c r="E36" s="275">
        <f>'Data for Q3'!D62</f>
        <v>3.5000000000000001E-3</v>
      </c>
      <c r="F36" s="275">
        <f t="shared" si="3"/>
        <v>0.97104522583443165</v>
      </c>
      <c r="G36" s="275">
        <f t="shared" si="4"/>
        <v>0.97275052352154678</v>
      </c>
      <c r="H36" s="276">
        <f>'Data for Q3'!C38</f>
        <v>0</v>
      </c>
      <c r="I36" s="275">
        <f t="shared" si="5"/>
        <v>0.61651719504150626</v>
      </c>
      <c r="J36" s="275">
        <f t="shared" si="6"/>
        <v>0.61651719504150626</v>
      </c>
      <c r="K36" s="274">
        <f t="shared" si="7"/>
        <v>82</v>
      </c>
      <c r="L36" s="272">
        <f>'Data for Q3'!C84</f>
        <v>5.0389999999999997E-2</v>
      </c>
      <c r="M36" s="272">
        <f t="shared" si="8"/>
        <v>0.67683448647605604</v>
      </c>
      <c r="N36" s="272">
        <f t="shared" si="9"/>
        <v>0.69479222163761112</v>
      </c>
      <c r="O36" s="281">
        <v>0</v>
      </c>
      <c r="P36" s="272">
        <f t="shared" si="10"/>
        <v>1</v>
      </c>
      <c r="Q36" s="280">
        <f t="shared" si="11"/>
        <v>1</v>
      </c>
    </row>
    <row r="37" spans="1:17">
      <c r="A37" s="66">
        <f t="shared" si="1"/>
        <v>17</v>
      </c>
      <c r="B37" s="279">
        <f>B36*(1+'Data for Q3'!$C$32)</f>
        <v>2265.1421119443517</v>
      </c>
      <c r="C37" s="278">
        <f t="shared" si="0"/>
        <v>0.3274670957921777</v>
      </c>
      <c r="D37" s="277">
        <f t="shared" si="2"/>
        <v>61</v>
      </c>
      <c r="E37" s="275">
        <f>'Data for Q3'!D63</f>
        <v>3.8400000000000001E-3</v>
      </c>
      <c r="F37" s="275">
        <f t="shared" si="3"/>
        <v>0.96731641216722752</v>
      </c>
      <c r="G37" s="275">
        <f t="shared" si="4"/>
        <v>0.96918081900082953</v>
      </c>
      <c r="H37" s="276">
        <f t="shared" ref="H37:H45" si="13">H36</f>
        <v>0</v>
      </c>
      <c r="I37" s="275">
        <f t="shared" si="5"/>
        <v>0.61651719504150626</v>
      </c>
      <c r="J37" s="275">
        <f t="shared" si="6"/>
        <v>0.61651719504150626</v>
      </c>
      <c r="K37" s="274">
        <f t="shared" si="7"/>
        <v>83</v>
      </c>
      <c r="L37" s="272">
        <f>'Data for Q3'!C85</f>
        <v>5.7489999999999999E-2</v>
      </c>
      <c r="M37" s="272">
        <f t="shared" si="8"/>
        <v>0.63792327184854758</v>
      </c>
      <c r="N37" s="272">
        <f t="shared" si="9"/>
        <v>0.65737887916230175</v>
      </c>
      <c r="O37" s="281">
        <v>0</v>
      </c>
      <c r="P37" s="272">
        <f t="shared" si="10"/>
        <v>1</v>
      </c>
      <c r="Q37" s="280">
        <f t="shared" si="11"/>
        <v>1</v>
      </c>
    </row>
    <row r="38" spans="1:17">
      <c r="A38" s="66">
        <f t="shared" si="1"/>
        <v>18</v>
      </c>
      <c r="B38" s="279">
        <f>B37*(1+'Data for Q3'!$C$32)</f>
        <v>2355.7477964221257</v>
      </c>
      <c r="C38" s="278">
        <f t="shared" si="0"/>
        <v>0.30604401475904458</v>
      </c>
      <c r="D38" s="277">
        <f t="shared" si="2"/>
        <v>62</v>
      </c>
      <c r="E38" s="275">
        <f>'Data for Q3'!D64</f>
        <v>4.2100000000000002E-3</v>
      </c>
      <c r="F38" s="275">
        <f t="shared" si="3"/>
        <v>0.96324401007200344</v>
      </c>
      <c r="G38" s="275">
        <f t="shared" si="4"/>
        <v>0.96528021111961548</v>
      </c>
      <c r="H38" s="276">
        <f t="shared" si="13"/>
        <v>0</v>
      </c>
      <c r="I38" s="275">
        <f t="shared" si="5"/>
        <v>0.61651719504150626</v>
      </c>
      <c r="J38" s="275">
        <f t="shared" si="6"/>
        <v>0.61651719504150626</v>
      </c>
      <c r="K38" s="274">
        <f t="shared" si="7"/>
        <v>84</v>
      </c>
      <c r="L38" s="272">
        <f>'Data for Q3'!C86</f>
        <v>6.5570000000000003E-2</v>
      </c>
      <c r="M38" s="272">
        <f t="shared" si="8"/>
        <v>0.59609464291343828</v>
      </c>
      <c r="N38" s="272">
        <f t="shared" si="9"/>
        <v>0.61700895738099293</v>
      </c>
      <c r="O38" s="281">
        <v>0</v>
      </c>
      <c r="P38" s="272">
        <f t="shared" si="10"/>
        <v>1</v>
      </c>
      <c r="Q38" s="280">
        <f t="shared" si="11"/>
        <v>1</v>
      </c>
    </row>
    <row r="39" spans="1:17">
      <c r="A39" s="66">
        <f t="shared" si="1"/>
        <v>19</v>
      </c>
      <c r="B39" s="279">
        <f>B38*(1+'Data for Q3'!$C$32)</f>
        <v>2449.977708279011</v>
      </c>
      <c r="C39" s="278">
        <f t="shared" si="0"/>
        <v>0.28602244370004165</v>
      </c>
      <c r="D39" s="277">
        <f t="shared" si="2"/>
        <v>63</v>
      </c>
      <c r="E39" s="275">
        <f>'Data for Q3'!D65</f>
        <v>4.64E-3</v>
      </c>
      <c r="F39" s="275">
        <f t="shared" si="3"/>
        <v>0.95877455786526933</v>
      </c>
      <c r="G39" s="275">
        <f t="shared" si="4"/>
        <v>0.96100928396863639</v>
      </c>
      <c r="H39" s="276">
        <f t="shared" si="13"/>
        <v>0</v>
      </c>
      <c r="I39" s="275">
        <f t="shared" si="5"/>
        <v>0.61651719504150626</v>
      </c>
      <c r="J39" s="275">
        <f t="shared" si="6"/>
        <v>0.61651719504150626</v>
      </c>
      <c r="K39" s="274">
        <f t="shared" si="7"/>
        <v>85</v>
      </c>
      <c r="L39" s="272">
        <f>'Data for Q3'!C87</f>
        <v>7.4700000000000003E-2</v>
      </c>
      <c r="M39" s="272">
        <f t="shared" si="8"/>
        <v>0.55156637308780443</v>
      </c>
      <c r="N39" s="272">
        <f t="shared" si="9"/>
        <v>0.57383050800062141</v>
      </c>
      <c r="O39" s="281">
        <v>0</v>
      </c>
      <c r="P39" s="272">
        <f t="shared" si="10"/>
        <v>1</v>
      </c>
      <c r="Q39" s="280">
        <f t="shared" si="11"/>
        <v>1</v>
      </c>
    </row>
    <row r="40" spans="1:17">
      <c r="A40" s="66">
        <f t="shared" si="1"/>
        <v>20</v>
      </c>
      <c r="B40" s="279">
        <f>B39*(1+'Data for Q3'!$C$32)</f>
        <v>2547.9768166101717</v>
      </c>
      <c r="C40" s="278">
        <f t="shared" si="0"/>
        <v>0.26731069504676785</v>
      </c>
      <c r="D40" s="277">
        <f t="shared" si="2"/>
        <v>64</v>
      </c>
      <c r="E40" s="275">
        <f>'Data for Q3'!D66</f>
        <v>5.11E-3</v>
      </c>
      <c r="F40" s="275">
        <f t="shared" si="3"/>
        <v>0.95387521987457791</v>
      </c>
      <c r="G40" s="275">
        <f t="shared" si="4"/>
        <v>0.95632488886992362</v>
      </c>
      <c r="H40" s="276">
        <f t="shared" si="13"/>
        <v>0</v>
      </c>
      <c r="I40" s="275">
        <f t="shared" si="5"/>
        <v>0.61651719504150626</v>
      </c>
      <c r="J40" s="275">
        <f t="shared" si="6"/>
        <v>0.61651719504150626</v>
      </c>
      <c r="K40" s="274">
        <f t="shared" si="7"/>
        <v>86</v>
      </c>
      <c r="L40" s="272">
        <f>'Data for Q3'!C88</f>
        <v>8.4949999999999998E-2</v>
      </c>
      <c r="M40" s="272">
        <f t="shared" si="8"/>
        <v>0.50471080969399551</v>
      </c>
      <c r="N40" s="272">
        <f t="shared" si="9"/>
        <v>0.52813859139089991</v>
      </c>
      <c r="O40" s="281">
        <v>0</v>
      </c>
      <c r="P40" s="272">
        <f t="shared" si="10"/>
        <v>1</v>
      </c>
      <c r="Q40" s="280">
        <f t="shared" si="11"/>
        <v>1</v>
      </c>
    </row>
    <row r="41" spans="1:17">
      <c r="A41" s="66">
        <f t="shared" si="1"/>
        <v>21</v>
      </c>
      <c r="B41" s="279">
        <f>B40*(1+'Data for Q3'!$C$32)</f>
        <v>2649.8958892745786</v>
      </c>
      <c r="C41" s="278">
        <f t="shared" si="0"/>
        <v>0.24982307948296065</v>
      </c>
      <c r="D41" s="277">
        <f t="shared" si="2"/>
        <v>65</v>
      </c>
      <c r="E41" s="275">
        <f>'Data for Q3'!D67</f>
        <v>5.62E-3</v>
      </c>
      <c r="F41" s="275">
        <f t="shared" si="3"/>
        <v>0.94851444113888284</v>
      </c>
      <c r="G41" s="275">
        <f t="shared" si="4"/>
        <v>0.95119483050673037</v>
      </c>
      <c r="H41" s="276">
        <f t="shared" si="13"/>
        <v>0</v>
      </c>
      <c r="I41" s="275">
        <f t="shared" si="5"/>
        <v>0.61651719504150626</v>
      </c>
      <c r="J41" s="275">
        <f t="shared" si="6"/>
        <v>0.61651719504150626</v>
      </c>
      <c r="K41" s="274">
        <f t="shared" si="7"/>
        <v>87</v>
      </c>
      <c r="L41" s="272">
        <f>'Data for Q3'!C89</f>
        <v>9.6379999999999993E-2</v>
      </c>
      <c r="M41" s="272">
        <f t="shared" si="8"/>
        <v>0.45606678185568822</v>
      </c>
      <c r="N41" s="272">
        <f t="shared" si="9"/>
        <v>0.48038879577484189</v>
      </c>
      <c r="O41" s="281">
        <v>0</v>
      </c>
      <c r="P41" s="272">
        <f t="shared" si="10"/>
        <v>1</v>
      </c>
      <c r="Q41" s="280">
        <f t="shared" si="11"/>
        <v>1</v>
      </c>
    </row>
    <row r="42" spans="1:17">
      <c r="A42" s="66">
        <f t="shared" si="1"/>
        <v>22</v>
      </c>
      <c r="B42" s="279">
        <f>B41*(1+'Data for Q3'!$C$32)</f>
        <v>2755.8917248455618</v>
      </c>
      <c r="C42" s="278">
        <f t="shared" si="0"/>
        <v>0.23347951353547722</v>
      </c>
      <c r="D42" s="277">
        <f t="shared" si="2"/>
        <v>66</v>
      </c>
      <c r="E42" s="275">
        <f>'Data for Q3'!D68</f>
        <v>6.1999999999999998E-3</v>
      </c>
      <c r="F42" s="275">
        <f t="shared" si="3"/>
        <v>0.94263365160382173</v>
      </c>
      <c r="G42" s="275">
        <f t="shared" si="4"/>
        <v>0.94557404637135234</v>
      </c>
      <c r="H42" s="276">
        <f t="shared" si="13"/>
        <v>0</v>
      </c>
      <c r="I42" s="275">
        <f t="shared" si="5"/>
        <v>0.61651719504150626</v>
      </c>
      <c r="J42" s="275">
        <f t="shared" si="6"/>
        <v>0.61651719504150626</v>
      </c>
      <c r="K42" s="274">
        <f t="shared" si="7"/>
        <v>88</v>
      </c>
      <c r="L42" s="272">
        <f>'Data for Q3'!C90</f>
        <v>0.1091</v>
      </c>
      <c r="M42" s="272">
        <f t="shared" si="8"/>
        <v>0.40630989595523265</v>
      </c>
      <c r="N42" s="272">
        <f t="shared" si="9"/>
        <v>0.43118833890546043</v>
      </c>
      <c r="O42" s="281">
        <v>0</v>
      </c>
      <c r="P42" s="272">
        <f t="shared" si="10"/>
        <v>1</v>
      </c>
      <c r="Q42" s="280">
        <f t="shared" si="11"/>
        <v>1</v>
      </c>
    </row>
    <row r="43" spans="1:17">
      <c r="A43" s="66">
        <f t="shared" si="1"/>
        <v>23</v>
      </c>
      <c r="B43" s="279">
        <f>B42*(1+'Data for Q3'!$C$32)</f>
        <v>2866.1273938393842</v>
      </c>
      <c r="C43" s="278">
        <f t="shared" si="0"/>
        <v>0.21820515283689457</v>
      </c>
      <c r="D43" s="277">
        <f t="shared" si="2"/>
        <v>67</v>
      </c>
      <c r="E43" s="275">
        <f>'Data for Q3'!D69</f>
        <v>6.8599999999999998E-3</v>
      </c>
      <c r="F43" s="275">
        <f t="shared" si="3"/>
        <v>0.93616718475381955</v>
      </c>
      <c r="G43" s="275">
        <f t="shared" si="4"/>
        <v>0.93940041817882058</v>
      </c>
      <c r="H43" s="276">
        <f t="shared" si="13"/>
        <v>0</v>
      </c>
      <c r="I43" s="275">
        <f t="shared" si="5"/>
        <v>0.61651719504150626</v>
      </c>
      <c r="J43" s="275">
        <f t="shared" si="6"/>
        <v>0.61651719504150626</v>
      </c>
      <c r="K43" s="274">
        <f t="shared" si="7"/>
        <v>89</v>
      </c>
      <c r="L43" s="272">
        <f>'Data for Q3'!C91</f>
        <v>0.12317</v>
      </c>
      <c r="M43" s="272">
        <f t="shared" si="8"/>
        <v>0.35626470607042665</v>
      </c>
      <c r="N43" s="272">
        <f t="shared" si="9"/>
        <v>0.38128730101282965</v>
      </c>
      <c r="O43" s="281">
        <v>0</v>
      </c>
      <c r="P43" s="272">
        <f t="shared" si="10"/>
        <v>1</v>
      </c>
      <c r="Q43" s="280">
        <f t="shared" si="11"/>
        <v>1</v>
      </c>
    </row>
    <row r="44" spans="1:17">
      <c r="A44" s="66">
        <f t="shared" si="1"/>
        <v>24</v>
      </c>
      <c r="B44" s="279">
        <f>B43*(1+'Data for Q3'!$C$32)</f>
        <v>2980.7724895929596</v>
      </c>
      <c r="C44" s="278">
        <f t="shared" si="0"/>
        <v>0.20393004938027526</v>
      </c>
      <c r="D44" s="277">
        <f t="shared" si="2"/>
        <v>68</v>
      </c>
      <c r="E44" s="275">
        <f>'Data for Q3'!D70</f>
        <v>7.6099999999999996E-3</v>
      </c>
      <c r="F44" s="275">
        <f t="shared" si="3"/>
        <v>0.92904295247784296</v>
      </c>
      <c r="G44" s="275">
        <f t="shared" si="4"/>
        <v>0.93260506861583137</v>
      </c>
      <c r="H44" s="276">
        <f t="shared" si="13"/>
        <v>0</v>
      </c>
      <c r="I44" s="275">
        <f t="shared" si="5"/>
        <v>0.61651719504150626</v>
      </c>
      <c r="J44" s="275">
        <f t="shared" si="6"/>
        <v>0.61651719504150626</v>
      </c>
      <c r="K44" s="274">
        <f t="shared" si="7"/>
        <v>90</v>
      </c>
      <c r="L44" s="272">
        <f>'Data for Q3'!C92</f>
        <v>0.13864000000000001</v>
      </c>
      <c r="M44" s="272">
        <f t="shared" si="8"/>
        <v>0.30687216722082272</v>
      </c>
      <c r="N44" s="272">
        <f t="shared" si="9"/>
        <v>0.33156843664562463</v>
      </c>
      <c r="O44" s="281">
        <v>0</v>
      </c>
      <c r="P44" s="272">
        <f t="shared" si="10"/>
        <v>1</v>
      </c>
      <c r="Q44" s="280">
        <f t="shared" si="11"/>
        <v>1</v>
      </c>
    </row>
    <row r="45" spans="1:17">
      <c r="A45" s="66">
        <f t="shared" si="1"/>
        <v>25</v>
      </c>
      <c r="B45" s="279">
        <f>B44*(1+'Data for Q3'!$C$32)</f>
        <v>3100.003389176678</v>
      </c>
      <c r="C45" s="278">
        <f t="shared" si="0"/>
        <v>0.19058883119651895</v>
      </c>
      <c r="D45" s="277">
        <f t="shared" si="2"/>
        <v>69</v>
      </c>
      <c r="E45" s="275">
        <f>'Data for Q3'!D71</f>
        <v>8.4399999999999996E-3</v>
      </c>
      <c r="F45" s="275">
        <f t="shared" si="3"/>
        <v>0.92120182995892996</v>
      </c>
      <c r="G45" s="275">
        <f t="shared" si="4"/>
        <v>0.92512239121838646</v>
      </c>
      <c r="H45" s="276">
        <f t="shared" si="13"/>
        <v>0</v>
      </c>
      <c r="I45" s="275">
        <f t="shared" si="5"/>
        <v>0.61651719504150626</v>
      </c>
      <c r="J45" s="275">
        <f t="shared" si="6"/>
        <v>0.61651719504150626</v>
      </c>
      <c r="K45" s="274"/>
      <c r="L45" s="272"/>
      <c r="M45" s="272"/>
      <c r="N45" s="272"/>
      <c r="O45" s="273"/>
      <c r="P45" s="272"/>
      <c r="Q45" s="280"/>
    </row>
    <row r="46" spans="1:17">
      <c r="A46" s="8">
        <f t="shared" si="1"/>
        <v>26</v>
      </c>
      <c r="B46" s="279">
        <f>B45*(1+'Data for Q3'!$C$32)</f>
        <v>3224.0035247437454</v>
      </c>
      <c r="C46" s="278">
        <f t="shared" si="0"/>
        <v>0.17812040298740087</v>
      </c>
      <c r="D46" s="277">
        <f t="shared" si="2"/>
        <v>70</v>
      </c>
      <c r="E46" s="275">
        <f>'Data for Q3'!D72</f>
        <v>9.3399999999999993E-3</v>
      </c>
      <c r="F46" s="275">
        <f t="shared" si="3"/>
        <v>0.9125978048671135</v>
      </c>
      <c r="G46" s="275">
        <f t="shared" si="4"/>
        <v>0.91689981741302184</v>
      </c>
      <c r="H46" s="276">
        <v>0</v>
      </c>
      <c r="I46" s="275">
        <f t="shared" si="5"/>
        <v>0.61651719504150626</v>
      </c>
      <c r="J46" s="275">
        <f t="shared" si="6"/>
        <v>0.61651719504150626</v>
      </c>
      <c r="K46" s="274"/>
      <c r="L46" s="272"/>
      <c r="M46" s="272"/>
      <c r="N46" s="272"/>
      <c r="O46" s="273"/>
      <c r="P46" s="272"/>
      <c r="Q46" s="272"/>
    </row>
    <row r="47" spans="1:17">
      <c r="A47" s="8">
        <f t="shared" si="1"/>
        <v>27</v>
      </c>
      <c r="B47" s="279">
        <f>B46*(1+'Data for Q3'!$C$32)</f>
        <v>3352.9636657334954</v>
      </c>
      <c r="C47" s="278">
        <f t="shared" si="0"/>
        <v>0.16646766634336529</v>
      </c>
      <c r="D47" s="277">
        <f t="shared" si="2"/>
        <v>71</v>
      </c>
      <c r="E47" s="275">
        <f>'Data for Q3'!D73</f>
        <v>1.031E-2</v>
      </c>
      <c r="F47" s="275">
        <f t="shared" si="3"/>
        <v>0.90318892149893348</v>
      </c>
      <c r="G47" s="275">
        <f t="shared" si="4"/>
        <v>0.90789336318302349</v>
      </c>
      <c r="H47" s="276">
        <v>0</v>
      </c>
      <c r="I47" s="275">
        <f t="shared" si="5"/>
        <v>0.61651719504150626</v>
      </c>
      <c r="J47" s="275">
        <f t="shared" si="6"/>
        <v>0.61651719504150626</v>
      </c>
      <c r="K47" s="274"/>
      <c r="L47" s="272"/>
      <c r="M47" s="272"/>
      <c r="N47" s="272"/>
      <c r="O47" s="273"/>
      <c r="P47" s="272"/>
      <c r="Q47" s="272"/>
    </row>
    <row r="48" spans="1:17">
      <c r="A48" s="8">
        <f t="shared" si="1"/>
        <v>28</v>
      </c>
      <c r="B48" s="279">
        <f>B47*(1+'Data for Q3'!$C$32)</f>
        <v>3487.0822123628354</v>
      </c>
      <c r="C48" s="278">
        <f t="shared" si="0"/>
        <v>0.15557725826482735</v>
      </c>
      <c r="D48" s="277">
        <f t="shared" si="2"/>
        <v>72</v>
      </c>
      <c r="E48" s="275">
        <f>'Data for Q3'!D74</f>
        <v>1.1339999999999999E-2</v>
      </c>
      <c r="F48" s="275">
        <f t="shared" si="3"/>
        <v>0.89294675912913557</v>
      </c>
      <c r="G48" s="275">
        <f t="shared" si="4"/>
        <v>0.89806784031403453</v>
      </c>
      <c r="H48" s="276">
        <v>0</v>
      </c>
      <c r="I48" s="275">
        <f t="shared" si="5"/>
        <v>0.61651719504150626</v>
      </c>
      <c r="J48" s="275">
        <f t="shared" si="6"/>
        <v>0.61651719504150626</v>
      </c>
      <c r="K48" s="274"/>
      <c r="L48" s="272"/>
      <c r="M48" s="272"/>
      <c r="N48" s="272"/>
      <c r="O48" s="273"/>
      <c r="P48" s="272"/>
      <c r="Q48" s="272"/>
    </row>
    <row r="49" spans="1:17">
      <c r="A49" s="8">
        <f t="shared" si="1"/>
        <v>29</v>
      </c>
      <c r="B49" s="279">
        <f>B48*(1+'Data for Q3'!$C$32)</f>
        <v>3626.565500857349</v>
      </c>
      <c r="C49" s="278">
        <f t="shared" si="0"/>
        <v>0.14539930678955829</v>
      </c>
      <c r="D49" s="277">
        <f t="shared" si="2"/>
        <v>73</v>
      </c>
      <c r="E49" s="275">
        <f>'Data for Q3'!D75</f>
        <v>1.244E-2</v>
      </c>
      <c r="F49" s="275">
        <f t="shared" si="3"/>
        <v>0.88183850144556908</v>
      </c>
      <c r="G49" s="275">
        <f t="shared" si="4"/>
        <v>0.88739263028735238</v>
      </c>
      <c r="H49" s="276">
        <v>0</v>
      </c>
      <c r="I49" s="275">
        <f t="shared" si="5"/>
        <v>0.61651719504150626</v>
      </c>
      <c r="J49" s="275">
        <f t="shared" si="6"/>
        <v>0.61651719504150626</v>
      </c>
      <c r="K49" s="274"/>
      <c r="L49" s="272"/>
      <c r="M49" s="272"/>
      <c r="N49" s="272"/>
      <c r="O49" s="273"/>
      <c r="P49" s="272"/>
      <c r="Q49" s="272"/>
    </row>
    <row r="50" spans="1:17">
      <c r="A50" s="8">
        <f t="shared" si="1"/>
        <v>30</v>
      </c>
      <c r="B50" s="279">
        <f>B49*(1+'Data for Q3'!$C$32)</f>
        <v>3771.628120891643</v>
      </c>
      <c r="C50" s="278">
        <f t="shared" si="0"/>
        <v>0.1358872026070638</v>
      </c>
      <c r="D50" s="277">
        <f t="shared" si="2"/>
        <v>74</v>
      </c>
      <c r="E50" s="275">
        <f>'Data for Q3'!D76</f>
        <v>1.366E-2</v>
      </c>
      <c r="F50" s="275">
        <f t="shared" si="3"/>
        <v>0.86979258751582256</v>
      </c>
      <c r="G50" s="275">
        <f t="shared" si="4"/>
        <v>0.87581554448069587</v>
      </c>
      <c r="H50" s="276">
        <v>0</v>
      </c>
      <c r="I50" s="275">
        <f t="shared" si="5"/>
        <v>0.61651719504150626</v>
      </c>
      <c r="J50" s="275">
        <f t="shared" si="6"/>
        <v>0.61651719504150626</v>
      </c>
      <c r="K50" s="274"/>
      <c r="L50" s="272"/>
      <c r="M50" s="272"/>
      <c r="N50" s="272"/>
      <c r="O50" s="273"/>
      <c r="P50" s="272"/>
      <c r="Q50" s="272"/>
    </row>
    <row r="51" spans="1:17">
      <c r="A51" s="8">
        <f t="shared" si="1"/>
        <v>31</v>
      </c>
      <c r="B51" s="279">
        <f>B50*(1+'Data for Q3'!$C$32)</f>
        <v>3922.4932457273089</v>
      </c>
      <c r="C51" s="278">
        <f t="shared" si="0"/>
        <v>0.12699738561407831</v>
      </c>
      <c r="D51" s="277">
        <f t="shared" si="2"/>
        <v>75</v>
      </c>
      <c r="E51" s="275">
        <f>'Data for Q3'!D77</f>
        <v>1.502E-2</v>
      </c>
      <c r="F51" s="275">
        <f t="shared" si="3"/>
        <v>0.85672830285133483</v>
      </c>
      <c r="G51" s="275">
        <f t="shared" si="4"/>
        <v>0.8632604451835787</v>
      </c>
      <c r="H51" s="276">
        <v>0</v>
      </c>
      <c r="I51" s="275">
        <f t="shared" si="5"/>
        <v>0.61651719504150626</v>
      </c>
      <c r="J51" s="275">
        <f t="shared" si="6"/>
        <v>0.61651719504150626</v>
      </c>
      <c r="K51" s="274"/>
      <c r="L51" s="272"/>
      <c r="M51" s="272"/>
      <c r="N51" s="272"/>
      <c r="O51" s="273"/>
      <c r="P51" s="272"/>
      <c r="Q51" s="272"/>
    </row>
    <row r="52" spans="1:17">
      <c r="A52" s="8">
        <f t="shared" si="1"/>
        <v>32</v>
      </c>
      <c r="B52" s="279">
        <f>B51*(1+'Data for Q3'!$C$32)</f>
        <v>4079.3929755564013</v>
      </c>
      <c r="C52" s="278">
        <f t="shared" si="0"/>
        <v>0.11868914543371804</v>
      </c>
      <c r="D52" s="277">
        <f t="shared" si="2"/>
        <v>76</v>
      </c>
      <c r="E52" s="275">
        <f>'Data for Q3'!D78</f>
        <v>1.6559999999999998E-2</v>
      </c>
      <c r="F52" s="275">
        <f t="shared" si="3"/>
        <v>0.84254088215611667</v>
      </c>
      <c r="G52" s="275">
        <f t="shared" si="4"/>
        <v>0.84963459250372586</v>
      </c>
      <c r="H52" s="276">
        <v>0</v>
      </c>
      <c r="I52" s="275">
        <f t="shared" si="5"/>
        <v>0.61651719504150626</v>
      </c>
      <c r="J52" s="275">
        <f t="shared" si="6"/>
        <v>0.61651719504150626</v>
      </c>
      <c r="K52" s="274"/>
      <c r="L52" s="272"/>
      <c r="M52" s="272"/>
      <c r="N52" s="272"/>
      <c r="O52" s="273"/>
      <c r="P52" s="272"/>
      <c r="Q52" s="272"/>
    </row>
    <row r="53" spans="1:17">
      <c r="A53" s="8">
        <f t="shared" si="1"/>
        <v>33</v>
      </c>
      <c r="B53" s="279">
        <f>B52*(1+'Data for Q3'!$C$32)</f>
        <v>4242.5686945786574</v>
      </c>
      <c r="C53" s="278">
        <f t="shared" si="0"/>
        <v>0.1109244349847832</v>
      </c>
      <c r="D53" s="277">
        <f t="shared" si="2"/>
        <v>77</v>
      </c>
      <c r="E53" s="275">
        <f>'Data for Q3'!D79</f>
        <v>1.8339999999999999E-2</v>
      </c>
      <c r="F53" s="275">
        <f t="shared" si="3"/>
        <v>0.82708868237737343</v>
      </c>
      <c r="G53" s="275">
        <f t="shared" si="4"/>
        <v>0.8348147822667451</v>
      </c>
      <c r="H53" s="276">
        <v>0</v>
      </c>
      <c r="I53" s="275">
        <f t="shared" si="5"/>
        <v>0.61651719504150626</v>
      </c>
      <c r="J53" s="275">
        <f t="shared" si="6"/>
        <v>0.61651719504150626</v>
      </c>
      <c r="K53" s="274"/>
      <c r="L53" s="272"/>
      <c r="M53" s="272"/>
      <c r="N53" s="272"/>
      <c r="O53" s="273"/>
      <c r="P53" s="272"/>
      <c r="Q53" s="272"/>
    </row>
    <row r="54" spans="1:17">
      <c r="A54" s="8">
        <f t="shared" si="1"/>
        <v>34</v>
      </c>
      <c r="B54" s="279">
        <f>B53*(1+'Data for Q3'!$C$32)</f>
        <v>4412.2714423618036</v>
      </c>
      <c r="C54" s="278">
        <f t="shared" si="0"/>
        <v>0.10366769624746093</v>
      </c>
      <c r="D54" s="277">
        <f t="shared" si="2"/>
        <v>78</v>
      </c>
      <c r="E54" s="275">
        <f>'Data for Q3'!D80</f>
        <v>2.0410000000000001E-2</v>
      </c>
      <c r="F54" s="275">
        <f t="shared" si="3"/>
        <v>0.81020780237005119</v>
      </c>
      <c r="G54" s="275">
        <f t="shared" si="4"/>
        <v>0.81864824237371236</v>
      </c>
      <c r="H54" s="276">
        <v>0</v>
      </c>
      <c r="I54" s="275">
        <f t="shared" si="5"/>
        <v>0.61651719504150626</v>
      </c>
      <c r="J54" s="275">
        <f t="shared" si="6"/>
        <v>0.61651719504150626</v>
      </c>
      <c r="K54" s="274"/>
      <c r="L54" s="272"/>
      <c r="M54" s="272"/>
      <c r="N54" s="272"/>
      <c r="O54" s="273"/>
      <c r="P54" s="272"/>
      <c r="Q54" s="272"/>
    </row>
    <row r="55" spans="1:17">
      <c r="A55" s="8">
        <f t="shared" si="1"/>
        <v>35</v>
      </c>
      <c r="B55" s="279">
        <f>B54*(1+'Data for Q3'!$C$32)</f>
        <v>4588.7623000562762</v>
      </c>
      <c r="C55" s="278">
        <f t="shared" si="0"/>
        <v>9.6885697427533585E-2</v>
      </c>
      <c r="D55" s="277">
        <f t="shared" si="2"/>
        <v>79</v>
      </c>
      <c r="E55" s="275">
        <f>'Data for Q3'!D81</f>
        <v>2.2839999999999999E-2</v>
      </c>
      <c r="F55" s="275">
        <f t="shared" si="3"/>
        <v>0.79170265616391922</v>
      </c>
      <c r="G55" s="275">
        <f t="shared" si="4"/>
        <v>0.80095522926698526</v>
      </c>
      <c r="H55" s="276">
        <v>0</v>
      </c>
      <c r="I55" s="275">
        <f t="shared" si="5"/>
        <v>0.61651719504150626</v>
      </c>
      <c r="J55" s="275">
        <f t="shared" si="6"/>
        <v>0.61651719504150626</v>
      </c>
      <c r="K55" s="274"/>
      <c r="L55" s="272"/>
      <c r="M55" s="272"/>
      <c r="N55" s="272"/>
      <c r="O55" s="273"/>
      <c r="P55" s="272"/>
      <c r="Q55" s="272"/>
    </row>
    <row r="56" spans="1:17">
      <c r="A56" s="8">
        <f t="shared" si="1"/>
        <v>36</v>
      </c>
      <c r="B56" s="279">
        <f>B55*(1+'Data for Q3'!$C$32)</f>
        <v>4772.3127920585275</v>
      </c>
      <c r="C56" s="278">
        <f t="shared" si="0"/>
        <v>9.0547380773395858E-2</v>
      </c>
      <c r="D56" s="277">
        <f t="shared" si="2"/>
        <v>80</v>
      </c>
      <c r="E56" s="275">
        <f>'Data for Q3'!D82</f>
        <v>2.571E-2</v>
      </c>
      <c r="F56" s="275">
        <f t="shared" si="3"/>
        <v>0.77134798087394485</v>
      </c>
      <c r="G56" s="275">
        <f t="shared" si="4"/>
        <v>0.78152531851893203</v>
      </c>
      <c r="H56" s="276">
        <v>0</v>
      </c>
      <c r="I56" s="275">
        <f t="shared" si="5"/>
        <v>0.61651719504150626</v>
      </c>
      <c r="J56" s="275">
        <f t="shared" si="6"/>
        <v>0.61651719504150626</v>
      </c>
      <c r="K56" s="274"/>
      <c r="L56" s="272"/>
      <c r="M56" s="272"/>
      <c r="N56" s="272"/>
      <c r="O56" s="273"/>
      <c r="P56" s="272"/>
      <c r="Q56" s="272"/>
    </row>
    <row r="57" spans="1:17">
      <c r="A57" s="8">
        <f t="shared" si="1"/>
        <v>37</v>
      </c>
      <c r="B57" s="279">
        <f>B56*(1+'Data for Q3'!$C$32)</f>
        <v>4963.2053037408687</v>
      </c>
      <c r="C57" s="278">
        <f t="shared" si="0"/>
        <v>8.462372034896809E-2</v>
      </c>
      <c r="D57" s="277">
        <f t="shared" si="2"/>
        <v>81</v>
      </c>
      <c r="E57" s="275">
        <f>'Data for Q3'!D83</f>
        <v>2.913E-2</v>
      </c>
      <c r="F57" s="275">
        <f t="shared" si="3"/>
        <v>0.74887861419108681</v>
      </c>
      <c r="G57" s="275">
        <f t="shared" si="4"/>
        <v>0.76011329753251577</v>
      </c>
      <c r="H57" s="276">
        <v>0</v>
      </c>
      <c r="I57" s="275">
        <f t="shared" si="5"/>
        <v>0.61651719504150626</v>
      </c>
      <c r="J57" s="275">
        <f t="shared" si="6"/>
        <v>0.61651719504150626</v>
      </c>
      <c r="K57" s="274"/>
      <c r="L57" s="272"/>
      <c r="M57" s="272"/>
      <c r="N57" s="272"/>
      <c r="O57" s="273"/>
      <c r="P57" s="272"/>
      <c r="Q57" s="272"/>
    </row>
    <row r="58" spans="1:17">
      <c r="A58" s="8">
        <f t="shared" si="1"/>
        <v>38</v>
      </c>
      <c r="B58" s="279">
        <f>B57*(1+'Data for Q3'!$C$32)</f>
        <v>5161.7335158905034</v>
      </c>
      <c r="C58" s="278">
        <f t="shared" si="0"/>
        <v>7.9087589111185116E-2</v>
      </c>
      <c r="D58" s="277">
        <f t="shared" si="2"/>
        <v>82</v>
      </c>
      <c r="E58" s="275">
        <f>'Data for Q3'!D84</f>
        <v>3.32E-2</v>
      </c>
      <c r="F58" s="275">
        <f t="shared" si="3"/>
        <v>0.72401584419994269</v>
      </c>
      <c r="G58" s="275">
        <f t="shared" si="4"/>
        <v>0.73644722919551486</v>
      </c>
      <c r="H58" s="276">
        <v>0</v>
      </c>
      <c r="I58" s="275">
        <f t="shared" si="5"/>
        <v>0.61651719504150626</v>
      </c>
      <c r="J58" s="275">
        <f t="shared" si="6"/>
        <v>0.61651719504150626</v>
      </c>
      <c r="K58" s="274"/>
      <c r="L58" s="272"/>
      <c r="M58" s="272"/>
      <c r="N58" s="272"/>
      <c r="O58" s="273"/>
      <c r="P58" s="272"/>
      <c r="Q58" s="272"/>
    </row>
    <row r="59" spans="1:17">
      <c r="A59" s="8">
        <f t="shared" si="1"/>
        <v>39</v>
      </c>
      <c r="B59" s="279">
        <f>B58*(1+'Data for Q3'!$C$32)</f>
        <v>5368.2028565261235</v>
      </c>
      <c r="C59" s="278">
        <f t="shared" si="0"/>
        <v>7.3913634683350576E-2</v>
      </c>
      <c r="D59" s="277">
        <f t="shared" si="2"/>
        <v>83</v>
      </c>
      <c r="E59" s="275">
        <f>'Data for Q3'!D85</f>
        <v>3.805E-2</v>
      </c>
      <c r="F59" s="275">
        <f t="shared" si="3"/>
        <v>0.69646704132813486</v>
      </c>
      <c r="G59" s="275">
        <f t="shared" si="4"/>
        <v>0.71024144276403878</v>
      </c>
      <c r="H59" s="276">
        <v>0</v>
      </c>
      <c r="I59" s="275">
        <f t="shared" si="5"/>
        <v>0.61651719504150626</v>
      </c>
      <c r="J59" s="275">
        <f t="shared" si="6"/>
        <v>0.61651719504150626</v>
      </c>
      <c r="K59" s="274"/>
      <c r="L59" s="272"/>
      <c r="M59" s="272"/>
      <c r="N59" s="272"/>
      <c r="O59" s="273"/>
      <c r="P59" s="272"/>
      <c r="Q59" s="272"/>
    </row>
    <row r="60" spans="1:17">
      <c r="A60" s="8">
        <f t="shared" si="1"/>
        <v>40</v>
      </c>
      <c r="B60" s="279">
        <f>B59*(1+'Data for Q3'!$C$32)</f>
        <v>5582.9309707871689</v>
      </c>
      <c r="C60" s="278">
        <f t="shared" si="0"/>
        <v>6.9078163255467825E-2</v>
      </c>
      <c r="D60" s="277">
        <f t="shared" si="2"/>
        <v>84</v>
      </c>
      <c r="E60" s="275">
        <f>'Data for Q3'!D86</f>
        <v>4.3770000000000003E-2</v>
      </c>
      <c r="F60" s="275">
        <f t="shared" si="3"/>
        <v>0.66598267892920238</v>
      </c>
      <c r="G60" s="275">
        <f t="shared" si="4"/>
        <v>0.68122486012866856</v>
      </c>
      <c r="H60" s="276">
        <v>0</v>
      </c>
      <c r="I60" s="275">
        <f t="shared" si="5"/>
        <v>0.61651719504150626</v>
      </c>
      <c r="J60" s="275">
        <f t="shared" si="6"/>
        <v>0.61651719504150626</v>
      </c>
      <c r="K60" s="274"/>
      <c r="L60" s="272"/>
      <c r="M60" s="272"/>
      <c r="N60" s="272"/>
      <c r="O60" s="273"/>
      <c r="P60" s="272"/>
      <c r="Q60" s="272"/>
    </row>
    <row r="61" spans="1:17">
      <c r="A61" s="8">
        <f t="shared" si="1"/>
        <v>41</v>
      </c>
      <c r="B61" s="279">
        <f>B60*(1+'Data for Q3'!$C$32)</f>
        <v>5806.2482096186559</v>
      </c>
      <c r="C61" s="278">
        <f t="shared" si="0"/>
        <v>6.4559031079876469E-2</v>
      </c>
      <c r="D61" s="277">
        <f t="shared" si="2"/>
        <v>85</v>
      </c>
      <c r="E61" s="275">
        <f>'Data for Q3'!D87</f>
        <v>5.0500000000000003E-2</v>
      </c>
      <c r="F61" s="275">
        <f t="shared" si="3"/>
        <v>0.63235055364327764</v>
      </c>
      <c r="G61" s="275">
        <f t="shared" si="4"/>
        <v>0.64916661628624006</v>
      </c>
      <c r="H61" s="276">
        <v>0</v>
      </c>
      <c r="I61" s="275">
        <f t="shared" si="5"/>
        <v>0.61651719504150626</v>
      </c>
      <c r="J61" s="275">
        <f t="shared" si="6"/>
        <v>0.61651719504150626</v>
      </c>
      <c r="K61" s="274"/>
      <c r="L61" s="272"/>
      <c r="M61" s="272"/>
      <c r="N61" s="272"/>
      <c r="O61" s="273"/>
      <c r="P61" s="272"/>
      <c r="Q61" s="272"/>
    </row>
    <row r="62" spans="1:17">
      <c r="A62" s="8">
        <f t="shared" si="1"/>
        <v>42</v>
      </c>
      <c r="B62" s="279">
        <f>B61*(1+'Data for Q3'!$C$32)</f>
        <v>6038.4981380034023</v>
      </c>
      <c r="C62" s="278">
        <f t="shared" si="0"/>
        <v>6.0335543065305107E-2</v>
      </c>
      <c r="D62" s="277">
        <f t="shared" si="2"/>
        <v>86</v>
      </c>
      <c r="E62" s="275">
        <f>'Data for Q3'!D88</f>
        <v>5.8319999999999997E-2</v>
      </c>
      <c r="F62" s="275">
        <f t="shared" si="3"/>
        <v>0.59547186935480168</v>
      </c>
      <c r="G62" s="275">
        <f t="shared" si="4"/>
        <v>0.61391121149903971</v>
      </c>
      <c r="H62" s="276">
        <v>0</v>
      </c>
      <c r="I62" s="275">
        <f t="shared" si="5"/>
        <v>0.61651719504150626</v>
      </c>
      <c r="J62" s="275">
        <f t="shared" si="6"/>
        <v>0.61651719504150626</v>
      </c>
      <c r="K62" s="274"/>
      <c r="L62" s="272"/>
      <c r="M62" s="272"/>
      <c r="N62" s="272"/>
      <c r="O62" s="273"/>
      <c r="P62" s="272"/>
      <c r="Q62" s="272"/>
    </row>
    <row r="63" spans="1:17">
      <c r="A63" s="8">
        <f t="shared" si="1"/>
        <v>43</v>
      </c>
      <c r="B63" s="279">
        <f>B62*(1+'Data for Q3'!$C$32)</f>
        <v>6280.0380635235388</v>
      </c>
      <c r="C63" s="278">
        <f t="shared" si="0"/>
        <v>5.6388358004958047E-2</v>
      </c>
      <c r="D63" s="277">
        <f t="shared" si="2"/>
        <v>87</v>
      </c>
      <c r="E63" s="275">
        <f>'Data for Q3'!D89</f>
        <v>6.7339999999999997E-2</v>
      </c>
      <c r="F63" s="275">
        <f t="shared" si="3"/>
        <v>0.55537279367244941</v>
      </c>
      <c r="G63" s="275">
        <f t="shared" si="4"/>
        <v>0.57542233151362554</v>
      </c>
      <c r="H63" s="276">
        <v>0</v>
      </c>
      <c r="I63" s="275">
        <f t="shared" si="5"/>
        <v>0.61651719504150626</v>
      </c>
      <c r="J63" s="275">
        <f t="shared" si="6"/>
        <v>0.61651719504150626</v>
      </c>
      <c r="K63" s="274"/>
      <c r="L63" s="272"/>
      <c r="M63" s="272"/>
      <c r="N63" s="272"/>
      <c r="O63" s="273"/>
      <c r="P63" s="272"/>
      <c r="Q63" s="272"/>
    </row>
    <row r="64" spans="1:17">
      <c r="A64" s="8">
        <f t="shared" si="1"/>
        <v>44</v>
      </c>
      <c r="B64" s="279">
        <f>B63*(1+'Data for Q3'!$C$32)</f>
        <v>6531.2395860644801</v>
      </c>
      <c r="C64" s="278">
        <f t="shared" si="0"/>
        <v>5.2699400004633683E-2</v>
      </c>
      <c r="D64" s="277">
        <f t="shared" si="2"/>
        <v>88</v>
      </c>
      <c r="E64" s="275">
        <f>'Data for Q3'!D90</f>
        <v>7.7649999999999997E-2</v>
      </c>
      <c r="F64" s="275">
        <f t="shared" si="3"/>
        <v>0.51224809624378376</v>
      </c>
      <c r="G64" s="275">
        <f t="shared" si="4"/>
        <v>0.53381044495811658</v>
      </c>
      <c r="H64" s="276">
        <v>0</v>
      </c>
      <c r="I64" s="275">
        <f t="shared" si="5"/>
        <v>0.61651719504150626</v>
      </c>
      <c r="J64" s="275">
        <f t="shared" si="6"/>
        <v>0.61651719504150626</v>
      </c>
      <c r="K64" s="274"/>
      <c r="L64" s="272"/>
      <c r="M64" s="272"/>
      <c r="N64" s="272"/>
      <c r="O64" s="273"/>
      <c r="P64" s="272"/>
      <c r="Q64" s="272"/>
    </row>
    <row r="65" spans="1:17">
      <c r="A65" s="8">
        <f t="shared" si="1"/>
        <v>45</v>
      </c>
      <c r="B65" s="279">
        <f>B64*(1+'Data for Q3'!$C$32)</f>
        <v>6792.4891695070592</v>
      </c>
      <c r="C65" s="278">
        <f t="shared" si="0"/>
        <v>4.9251775705265122E-2</v>
      </c>
      <c r="D65" s="277">
        <f t="shared" si="2"/>
        <v>89</v>
      </c>
      <c r="E65" s="275">
        <f>'Data for Q3'!D91</f>
        <v>8.9319999999999997E-2</v>
      </c>
      <c r="F65" s="275">
        <f t="shared" si="3"/>
        <v>0.466494096287289</v>
      </c>
      <c r="G65" s="275">
        <f t="shared" si="4"/>
        <v>0.48937109626553638</v>
      </c>
      <c r="H65" s="276">
        <v>0</v>
      </c>
      <c r="I65" s="275">
        <f t="shared" si="5"/>
        <v>0.61651719504150626</v>
      </c>
      <c r="J65" s="275">
        <f t="shared" si="6"/>
        <v>0.61651719504150626</v>
      </c>
      <c r="K65" s="274"/>
      <c r="L65" s="272"/>
      <c r="M65" s="272"/>
      <c r="N65" s="272"/>
      <c r="O65" s="273"/>
      <c r="P65" s="272"/>
      <c r="Q65" s="272"/>
    </row>
    <row r="66" spans="1:17">
      <c r="A66" s="8">
        <f t="shared" si="1"/>
        <v>46</v>
      </c>
      <c r="B66" s="279">
        <f>B65*(1+'Data for Q3'!$C$32)</f>
        <v>7064.1887362873422</v>
      </c>
      <c r="C66" s="278">
        <f t="shared" si="0"/>
        <v>4.6029696920808522E-2</v>
      </c>
      <c r="D66" s="277">
        <f t="shared" si="2"/>
        <v>90</v>
      </c>
      <c r="E66" s="275">
        <f>'Data for Q3'!D92</f>
        <v>0.10238</v>
      </c>
      <c r="F66" s="275">
        <f t="shared" si="3"/>
        <v>0.41873443070939631</v>
      </c>
      <c r="G66" s="275">
        <f t="shared" si="4"/>
        <v>0.44261426349834271</v>
      </c>
      <c r="H66" s="276">
        <v>0</v>
      </c>
      <c r="I66" s="275">
        <f t="shared" si="5"/>
        <v>0.61651719504150626</v>
      </c>
      <c r="J66" s="275">
        <f t="shared" si="6"/>
        <v>0.61651719504150626</v>
      </c>
      <c r="K66" s="274"/>
      <c r="L66" s="272"/>
      <c r="M66" s="272"/>
      <c r="N66" s="272"/>
      <c r="O66" s="273"/>
      <c r="P66" s="272"/>
      <c r="Q66" s="272"/>
    </row>
    <row r="67" spans="1:17" ht="15.5">
      <c r="A67" s="271"/>
      <c r="C67" s="270"/>
    </row>
    <row r="68" spans="1:17" ht="15.5">
      <c r="A68" s="271"/>
      <c r="C68" s="270"/>
    </row>
    <row r="69" spans="1:17" ht="15.5">
      <c r="A69" s="271"/>
      <c r="C69" s="270"/>
    </row>
    <row r="70" spans="1:17" ht="15.5">
      <c r="A70" s="271"/>
      <c r="C70" s="270"/>
    </row>
    <row r="71" spans="1:17" ht="15.5">
      <c r="A71" s="271"/>
      <c r="C71" s="270"/>
    </row>
    <row r="72" spans="1:17" ht="15.5">
      <c r="A72" s="271"/>
      <c r="C72" s="270"/>
    </row>
    <row r="73" spans="1:17" ht="15.5">
      <c r="A73" s="269"/>
      <c r="C73" s="268"/>
    </row>
    <row r="75" spans="1:17">
      <c r="A75" s="9"/>
      <c r="C75" s="268"/>
    </row>
  </sheetData>
  <mergeCells count="2">
    <mergeCell ref="D19:J19"/>
    <mergeCell ref="K19:Q19"/>
  </mergeCells>
  <pageMargins left="0.7" right="0.7" top="0.75" bottom="0.75" header="0.3" footer="0.3"/>
  <pageSetup orientation="portrait" horizontalDpi="4294967295" verticalDpi="4294967295" r:id="rId1"/>
  <ignoredErrors>
    <ignoredError sqref="H36 H2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D16CE4023BB4BB4110DFC2802C897" ma:contentTypeVersion="12" ma:contentTypeDescription="Create a new document." ma:contentTypeScope="" ma:versionID="8230b39ff0a402a078cc052756d4fefa">
  <xsd:schema xmlns:xsd="http://www.w3.org/2001/XMLSchema" xmlns:xs="http://www.w3.org/2001/XMLSchema" xmlns:p="http://schemas.microsoft.com/office/2006/metadata/properties" xmlns:ns2="16a415e0-cbd2-494f-bd0b-9ec9526163e9" targetNamespace="http://schemas.microsoft.com/office/2006/metadata/properties" ma:root="true" ma:fieldsID="45ea19f2c2e4cdbd674c4f1863b66b60" ns2:_="">
    <xsd:import namespace="16a415e0-cbd2-494f-bd0b-9ec9526163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415e0-cbd2-494f-bd0b-9ec9526163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267e5f2-3cc9-4b2c-97a9-20aec386c2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6a415e0-cbd2-494f-bd0b-9ec9526163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E19EF21-38E2-4667-A31F-3AA0B4E24D16}"/>
</file>

<file path=customXml/itemProps2.xml><?xml version="1.0" encoding="utf-8"?>
<ds:datastoreItem xmlns:ds="http://schemas.openxmlformats.org/officeDocument/2006/customXml" ds:itemID="{9606E2B6-A0C5-4559-B33D-7F6EF04CE1E9}"/>
</file>

<file path=customXml/itemProps3.xml><?xml version="1.0" encoding="utf-8"?>
<ds:datastoreItem xmlns:ds="http://schemas.openxmlformats.org/officeDocument/2006/customXml" ds:itemID="{1DBD36B5-EBD3-4573-A720-21EC225CD8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1</vt:i4>
      </vt:variant>
    </vt:vector>
  </HeadingPairs>
  <TitlesOfParts>
    <vt:vector size="31" baseType="lpstr">
      <vt:lpstr>Q1</vt:lpstr>
      <vt:lpstr>Data for Q1</vt:lpstr>
      <vt:lpstr>Solution for Q1</vt:lpstr>
      <vt:lpstr>Q2</vt:lpstr>
      <vt:lpstr>Data for Q2</vt:lpstr>
      <vt:lpstr>Solution for Q2</vt:lpstr>
      <vt:lpstr>Q3</vt:lpstr>
      <vt:lpstr>Data for Q3</vt:lpstr>
      <vt:lpstr>Solution for Q3 (d)</vt:lpstr>
      <vt:lpstr>Sol Q3 (e) - Experience</vt:lpstr>
      <vt:lpstr>Sol Q3 (e) - Demographic</vt:lpstr>
      <vt:lpstr>Sol Q3 (e) - Financial</vt:lpstr>
      <vt:lpstr>Sol Q3 (e) - Final reconcil</vt:lpstr>
      <vt:lpstr>Q4</vt:lpstr>
      <vt:lpstr>Data for Q4</vt:lpstr>
      <vt:lpstr>Solution for Q4</vt:lpstr>
      <vt:lpstr>Q5</vt:lpstr>
      <vt:lpstr>Data for Q5</vt:lpstr>
      <vt:lpstr>Solution for Q5 (a)</vt:lpstr>
      <vt:lpstr>Sol for Q5 (b) - Current Plan</vt:lpstr>
      <vt:lpstr>Sol for Q5 (b) - Proposed Plan</vt:lpstr>
      <vt:lpstr>Solution for Q5 (d)</vt:lpstr>
      <vt:lpstr>Q6</vt:lpstr>
      <vt:lpstr>Data for Q6 (b)</vt:lpstr>
      <vt:lpstr>Data for Q6 (c)</vt:lpstr>
      <vt:lpstr>Solution for Q6 (b) &amp; (c)</vt:lpstr>
      <vt:lpstr>Q7</vt:lpstr>
      <vt:lpstr>Solution for Q7 (a)</vt:lpstr>
      <vt:lpstr>Sol Q7 (c) - Assumes uniform OT</vt:lpstr>
      <vt:lpstr>Sol Q7 (c) - Assumes no change</vt:lpstr>
      <vt:lpstr>'Data for Q3'!OLE_LINK1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Boutin, Nicolas</dc:creator>
  <cp:lastModifiedBy>Boutin, Nicolas</cp:lastModifiedBy>
  <dcterms:created xsi:type="dcterms:W3CDTF">2022-08-14T16:03:15Z</dcterms:created>
  <dcterms:modified xsi:type="dcterms:W3CDTF">2025-07-21T13:05:14Z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0x010100A13D16CE4023BB4BB4110DFC2802C897</vt:lpwstr>
  </property>
</Properties>
</file>