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societyofactuaries-my.sharepoint.com/personal/slennox_soa_org/Documents/Documents/SOA GI Track/Exam1/2025 Spring/Model Solutions/"/>
    </mc:Choice>
  </mc:AlternateContent>
  <xr:revisionPtr revIDLastSave="5" documentId="8_{5E5282BE-7573-476A-99ED-7C95DD4F68F6}" xr6:coauthVersionLast="47" xr6:coauthVersionMax="47" xr10:uidLastSave="{EB6BB697-2DDF-42BC-B88F-84B9F781D542}"/>
  <bookViews>
    <workbookView xWindow="28680" yWindow="-3030" windowWidth="38640" windowHeight="21120" tabRatio="784" xr2:uid="{00000000-000D-0000-FFFF-FFFF00000000}"/>
  </bookViews>
  <sheets>
    <sheet name="Question 1" sheetId="40" r:id="rId1"/>
    <sheet name="Question 2" sheetId="41" r:id="rId2"/>
    <sheet name="Question 3" sheetId="42" r:id="rId3"/>
    <sheet name="Question 4" sheetId="43" r:id="rId4"/>
    <sheet name="Question 5" sheetId="44" r:id="rId5"/>
    <sheet name="Question 6" sheetId="45" r:id="rId6"/>
    <sheet name="Question 7" sheetId="46" r:id="rId7"/>
    <sheet name="Question 8" sheetId="47" r:id="rId8"/>
    <sheet name="Question 9" sheetId="48" r:id="rId9"/>
    <sheet name="Question 10" sheetId="49" r:id="rId10"/>
    <sheet name="Question 11" sheetId="50" r:id="rId11"/>
    <sheet name="Question 12" sheetId="51" r:id="rId12"/>
    <sheet name="Question 13" sheetId="52" r:id="rId13"/>
    <sheet name="Question 14" sheetId="53" r:id="rId14"/>
  </sheets>
  <definedNames>
    <definedName name="_Hlk79498264" localSheetId="7">'Question 8'!$B$19</definedName>
    <definedName name="OLE_LINK37" localSheetId="8">'Question 9'!$B$6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9" i="51" l="1"/>
  <c r="E51" i="51"/>
  <c r="E43" i="51"/>
  <c r="E44" i="51" s="1"/>
  <c r="D49" i="53"/>
  <c r="D51" i="53" s="1"/>
  <c r="C26" i="53"/>
  <c r="C27" i="53"/>
  <c r="C28" i="53"/>
  <c r="C29" i="53"/>
  <c r="C30" i="53"/>
  <c r="C31" i="53"/>
  <c r="C32" i="53"/>
  <c r="D32" i="53" s="1"/>
  <c r="C33" i="53"/>
  <c r="C34" i="53"/>
  <c r="C25" i="53"/>
  <c r="E49" i="51" l="1"/>
  <c r="D34" i="53"/>
  <c r="D52" i="53"/>
  <c r="D29" i="53"/>
  <c r="D33" i="53"/>
  <c r="D26" i="53"/>
  <c r="D30" i="53"/>
  <c r="D28" i="53"/>
  <c r="D31" i="53"/>
  <c r="D27" i="53"/>
  <c r="D36" i="53" l="1"/>
  <c r="D53" i="53" s="1"/>
  <c r="D54" i="53" s="1"/>
  <c r="E96" i="51" l="1"/>
  <c r="E95" i="51"/>
  <c r="D91" i="51"/>
  <c r="B88" i="51"/>
  <c r="D84" i="51"/>
  <c r="C87" i="51" s="1"/>
  <c r="F30" i="51"/>
  <c r="F36" i="51" s="1"/>
  <c r="E29" i="51"/>
  <c r="D32" i="51"/>
  <c r="D29" i="51"/>
  <c r="E32" i="51" l="1"/>
  <c r="F32" i="51" s="1"/>
  <c r="E57" i="51" s="1"/>
  <c r="E58" i="51" s="1"/>
  <c r="E61" i="51" s="1"/>
  <c r="E62" i="51" s="1"/>
  <c r="F29" i="51"/>
  <c r="E56" i="51" s="1"/>
  <c r="E60" i="51" s="1"/>
  <c r="C88" i="51"/>
  <c r="B89" i="51" s="1"/>
  <c r="E94" i="51" s="1"/>
  <c r="E97" i="51" s="1"/>
  <c r="E93" i="51"/>
  <c r="E98" i="51" l="1"/>
  <c r="E99" i="51" s="1"/>
  <c r="F31" i="51"/>
  <c r="F37" i="51" l="1"/>
  <c r="E50" i="51"/>
  <c r="E52" i="51" s="1"/>
  <c r="E53" i="51" s="1"/>
  <c r="E45" i="51"/>
  <c r="F34" i="51"/>
  <c r="F35" i="51" s="1"/>
  <c r="F38" i="51" l="1"/>
  <c r="F44" i="50" l="1"/>
  <c r="C61" i="50" s="1"/>
  <c r="C43" i="50"/>
  <c r="C42" i="50" s="1"/>
  <c r="C41" i="50" s="1"/>
  <c r="C40" i="50" s="1"/>
  <c r="C39" i="50" s="1"/>
  <c r="C38" i="50" s="1"/>
  <c r="D38" i="50" s="1"/>
  <c r="B44" i="50"/>
  <c r="D44" i="50" s="1"/>
  <c r="B43" i="50"/>
  <c r="D43" i="50" s="1"/>
  <c r="B42" i="50"/>
  <c r="D42" i="50" s="1"/>
  <c r="B41" i="50"/>
  <c r="D41" i="50" s="1"/>
  <c r="B40" i="50"/>
  <c r="B39" i="50"/>
  <c r="B38" i="50"/>
  <c r="C35" i="50"/>
  <c r="E43" i="50" s="1"/>
  <c r="E42" i="50" s="1"/>
  <c r="F42" i="50" s="1"/>
  <c r="D40" i="50" l="1"/>
  <c r="D39" i="50"/>
  <c r="B61" i="50"/>
  <c r="F43" i="50"/>
  <c r="C60" i="50" s="1"/>
  <c r="B60" i="50"/>
  <c r="B58" i="50"/>
  <c r="B59" i="50"/>
  <c r="E41" i="50"/>
  <c r="F41" i="50" s="1"/>
  <c r="C59" i="50"/>
  <c r="B62" i="50" l="1"/>
  <c r="D45" i="50"/>
  <c r="C58" i="50"/>
  <c r="C62" i="50" s="1"/>
  <c r="E40" i="50"/>
  <c r="F40" i="50" s="1"/>
  <c r="C64" i="50" l="1"/>
  <c r="D57" i="50" s="1"/>
  <c r="E57" i="50" s="1"/>
  <c r="E39" i="50"/>
  <c r="F39" i="50" s="1"/>
  <c r="D60" i="50" l="1"/>
  <c r="E60" i="50" s="1"/>
  <c r="D58" i="50"/>
  <c r="E58" i="50" s="1"/>
  <c r="D59" i="50"/>
  <c r="E59" i="50" s="1"/>
  <c r="D61" i="50"/>
  <c r="E61" i="50" s="1"/>
  <c r="D56" i="50"/>
  <c r="E56" i="50" s="1"/>
  <c r="E38" i="50"/>
  <c r="F38" i="50" l="1"/>
  <c r="F45" i="50" s="1"/>
  <c r="F47" i="50" s="1"/>
  <c r="D55" i="50"/>
  <c r="E55" i="50" s="1"/>
  <c r="E62" i="50" s="1"/>
  <c r="G41" i="50" l="1"/>
  <c r="H41" i="50" s="1"/>
  <c r="G39" i="50"/>
  <c r="H39" i="50" s="1"/>
  <c r="G43" i="50"/>
  <c r="H43" i="50" s="1"/>
  <c r="G42" i="50"/>
  <c r="H42" i="50" s="1"/>
  <c r="G40" i="50"/>
  <c r="H40" i="50" s="1"/>
  <c r="G38" i="50"/>
  <c r="H38" i="50" s="1"/>
  <c r="G44" i="50"/>
  <c r="H44" i="50" s="1"/>
  <c r="H45" i="50" l="1"/>
  <c r="A113" i="48" l="1"/>
  <c r="A119" i="48" s="1"/>
  <c r="A125" i="48" s="1"/>
  <c r="A131" i="48" s="1"/>
  <c r="A112" i="48"/>
  <c r="A118" i="48" s="1"/>
  <c r="A124" i="48" s="1"/>
  <c r="A130" i="48" s="1"/>
  <c r="A111" i="48"/>
  <c r="A117" i="48" s="1"/>
  <c r="A123" i="48" s="1"/>
  <c r="A129" i="48" s="1"/>
  <c r="D117" i="48"/>
  <c r="C118" i="48"/>
  <c r="C117" i="48"/>
  <c r="B119" i="48"/>
  <c r="B118" i="48"/>
  <c r="B117" i="48"/>
  <c r="C113" i="48"/>
  <c r="C112" i="48"/>
  <c r="C111" i="48"/>
  <c r="B113" i="48"/>
  <c r="B112" i="48"/>
  <c r="B111" i="48"/>
  <c r="C128" i="48"/>
  <c r="D128" i="48" s="1"/>
  <c r="E128" i="48" s="1"/>
  <c r="F128" i="48" s="1"/>
  <c r="G128" i="48" s="1"/>
  <c r="H128" i="48" s="1"/>
  <c r="C122" i="48"/>
  <c r="D122" i="48" s="1"/>
  <c r="E122" i="48" s="1"/>
  <c r="F122" i="48" s="1"/>
  <c r="G122" i="48" s="1"/>
  <c r="H122" i="48" s="1"/>
  <c r="C116" i="48"/>
  <c r="D116" i="48" s="1"/>
  <c r="E116" i="48" s="1"/>
  <c r="F116" i="48" s="1"/>
  <c r="G116" i="48" s="1"/>
  <c r="H116" i="48" s="1"/>
  <c r="C70" i="48"/>
  <c r="D70" i="48" s="1"/>
  <c r="E70" i="48" s="1"/>
  <c r="F70" i="48" s="1"/>
  <c r="G70" i="48" s="1"/>
  <c r="C33" i="48"/>
  <c r="B33" i="48"/>
  <c r="C32" i="48"/>
  <c r="B32" i="48"/>
  <c r="C31" i="48"/>
  <c r="B31" i="48"/>
  <c r="C30" i="48"/>
  <c r="B30" i="48"/>
  <c r="C29" i="48"/>
  <c r="B29" i="48"/>
  <c r="C28" i="48"/>
  <c r="B28" i="48"/>
  <c r="D33" i="48" l="1"/>
  <c r="D113" i="48"/>
  <c r="I119" i="48" s="1"/>
  <c r="C119" i="48" s="1"/>
  <c r="D111" i="48"/>
  <c r="I117" i="48" s="1"/>
  <c r="E117" i="48" s="1"/>
  <c r="D112" i="48"/>
  <c r="I118" i="48" s="1"/>
  <c r="D118" i="48" s="1"/>
  <c r="E118" i="48" s="1"/>
  <c r="D32" i="48"/>
  <c r="D29" i="48"/>
  <c r="D30" i="48"/>
  <c r="D31" i="48"/>
  <c r="D34" i="48" s="1"/>
  <c r="D37" i="48" s="1"/>
  <c r="F117" i="48" l="1"/>
  <c r="G117" i="48" s="1"/>
  <c r="F118" i="48"/>
  <c r="D119" i="48"/>
  <c r="E119" i="48"/>
  <c r="F119" i="48" s="1"/>
  <c r="H117" i="48"/>
  <c r="G118" i="48"/>
  <c r="H118" i="48" s="1"/>
  <c r="F72" i="48"/>
  <c r="E73" i="48"/>
  <c r="B73" i="48"/>
  <c r="E72" i="48"/>
  <c r="B72" i="48"/>
  <c r="D74" i="48"/>
  <c r="G71" i="48"/>
  <c r="D73" i="48"/>
  <c r="F71" i="48"/>
  <c r="C71" i="48"/>
  <c r="C73" i="48"/>
  <c r="D72" i="48"/>
  <c r="E71" i="48"/>
  <c r="B76" i="48"/>
  <c r="B75" i="48"/>
  <c r="C75" i="48"/>
  <c r="D71" i="48"/>
  <c r="C74" i="48"/>
  <c r="B71" i="48"/>
  <c r="C72" i="48"/>
  <c r="B74" i="48"/>
  <c r="G78" i="48"/>
  <c r="G125" i="48" s="1"/>
  <c r="C78" i="48" l="1"/>
  <c r="C125" i="48" s="1"/>
  <c r="C131" i="48" s="1"/>
  <c r="G119" i="48"/>
  <c r="H119" i="48" s="1"/>
  <c r="G124" i="48"/>
  <c r="G123" i="48" s="1"/>
  <c r="G129" i="48" s="1"/>
  <c r="H125" i="48"/>
  <c r="H124" i="48" s="1"/>
  <c r="H130" i="48" s="1"/>
  <c r="G130" i="48"/>
  <c r="H123" i="48"/>
  <c r="H129" i="48" s="1"/>
  <c r="D78" i="48"/>
  <c r="D125" i="48" s="1"/>
  <c r="D124" i="48" s="1"/>
  <c r="D130" i="48" s="1"/>
  <c r="B78" i="48"/>
  <c r="E78" i="48"/>
  <c r="E125" i="48" s="1"/>
  <c r="E124" i="48" s="1"/>
  <c r="F78" i="48"/>
  <c r="F125" i="48" s="1"/>
  <c r="F124" i="48" s="1"/>
  <c r="F123" i="48" s="1"/>
  <c r="F129" i="48" s="1"/>
  <c r="D131" i="48" l="1"/>
  <c r="G131" i="48"/>
  <c r="H131" i="48"/>
  <c r="E123" i="48"/>
  <c r="E129" i="48" s="1"/>
  <c r="I129" i="48" s="1"/>
  <c r="E130" i="48"/>
  <c r="F131" i="48"/>
  <c r="E131" i="48"/>
  <c r="F130" i="48"/>
  <c r="I131" i="48" l="1"/>
  <c r="I130" i="48"/>
  <c r="I132" i="48" s="1"/>
  <c r="E29" i="47" l="1"/>
  <c r="E34" i="47" s="1"/>
  <c r="E35" i="47" s="1"/>
  <c r="E32" i="47"/>
  <c r="E39" i="47" l="1"/>
  <c r="E40" i="47" s="1"/>
  <c r="E33" i="47"/>
  <c r="E36" i="47" s="1"/>
  <c r="E42" i="47" l="1"/>
  <c r="A33" i="46" l="1"/>
  <c r="A32" i="46"/>
  <c r="A31" i="46"/>
  <c r="A30" i="46"/>
  <c r="C48" i="46"/>
  <c r="C46" i="46"/>
  <c r="B42" i="46"/>
  <c r="B47" i="46" s="1"/>
  <c r="B41" i="46"/>
  <c r="B43" i="46" s="1"/>
  <c r="B48" i="46" s="1"/>
  <c r="B40" i="46"/>
  <c r="B46" i="46" s="1"/>
  <c r="C33" i="46"/>
  <c r="C32" i="46"/>
  <c r="C31" i="46"/>
  <c r="C30" i="46"/>
  <c r="B33" i="46"/>
  <c r="B32" i="46"/>
  <c r="B31" i="46"/>
  <c r="B30" i="46"/>
  <c r="E55" i="44"/>
  <c r="E75" i="44" s="1"/>
  <c r="E50" i="44"/>
  <c r="E71" i="44" s="1"/>
  <c r="E49" i="44"/>
  <c r="E54" i="44" s="1"/>
  <c r="E56" i="44"/>
  <c r="E41" i="44"/>
  <c r="E42" i="44" s="1"/>
  <c r="E51" i="44" s="1"/>
  <c r="E29" i="44"/>
  <c r="X32" i="44"/>
  <c r="T32" i="44"/>
  <c r="R27" i="44"/>
  <c r="V27" i="44" s="1"/>
  <c r="Z27" i="44" s="1"/>
  <c r="D32" i="46" l="1"/>
  <c r="D36" i="46" s="1"/>
  <c r="D48" i="46" s="1"/>
  <c r="E48" i="46" s="1"/>
  <c r="D31" i="46"/>
  <c r="D33" i="46"/>
  <c r="C34" i="46"/>
  <c r="B34" i="46"/>
  <c r="D30" i="46"/>
  <c r="E67" i="44"/>
  <c r="E72" i="44" s="1"/>
  <c r="E76" i="44" s="1"/>
  <c r="E77" i="44" s="1"/>
  <c r="E52" i="44"/>
  <c r="E57" i="44"/>
  <c r="E32" i="44"/>
  <c r="D34" i="46" l="1"/>
  <c r="D46" i="46"/>
  <c r="E46" i="46" s="1"/>
  <c r="D47" i="46"/>
  <c r="E47" i="46" s="1"/>
  <c r="E59" i="44"/>
  <c r="E98" i="44"/>
  <c r="E95" i="44"/>
  <c r="E39" i="44"/>
  <c r="E43" i="44" s="1"/>
  <c r="E66" i="44"/>
  <c r="E68" i="44" s="1"/>
  <c r="E73" i="44"/>
  <c r="E79" i="44" l="1"/>
  <c r="E49" i="46"/>
  <c r="E93" i="44"/>
  <c r="E101" i="44" s="1"/>
  <c r="F76" i="43" l="1"/>
  <c r="F73" i="43"/>
  <c r="F62" i="43"/>
  <c r="F60" i="43"/>
  <c r="F52" i="43"/>
  <c r="D33" i="43"/>
  <c r="D32" i="43" s="1"/>
  <c r="D31" i="43" s="1"/>
  <c r="D30" i="43" s="1"/>
  <c r="C34" i="43"/>
  <c r="E34" i="43" s="1"/>
  <c r="C33" i="43"/>
  <c r="C32" i="43"/>
  <c r="C31" i="43"/>
  <c r="C30" i="43"/>
  <c r="B33" i="43"/>
  <c r="B32" i="43" s="1"/>
  <c r="B31" i="43" s="1"/>
  <c r="B30" i="43" s="1"/>
  <c r="B35" i="43" s="1"/>
  <c r="E33" i="43" l="1"/>
  <c r="E31" i="43"/>
  <c r="E30" i="43"/>
  <c r="E32" i="43"/>
  <c r="E35" i="43" l="1"/>
  <c r="E37" i="43" s="1"/>
  <c r="F51" i="43" l="1"/>
  <c r="F53" i="43" l="1"/>
  <c r="F61" i="43"/>
  <c r="F74" i="43" l="1"/>
  <c r="F63" i="43"/>
  <c r="F75" i="43" l="1"/>
  <c r="F77" i="43" s="1"/>
  <c r="F64" i="43"/>
  <c r="F65" i="43" s="1"/>
  <c r="C27" i="42" l="1"/>
  <c r="D27" i="42" s="1"/>
  <c r="C26" i="42"/>
  <c r="C25" i="42"/>
  <c r="D25" i="42" s="1"/>
  <c r="C24" i="42"/>
  <c r="D24" i="42" s="1"/>
  <c r="C23" i="42"/>
  <c r="D23" i="42" s="1"/>
  <c r="E27" i="42"/>
  <c r="B27" i="42"/>
  <c r="E26" i="42"/>
  <c r="D26" i="42"/>
  <c r="B26" i="42"/>
  <c r="E25" i="42"/>
  <c r="B25" i="42"/>
  <c r="E24" i="42"/>
  <c r="B24" i="42"/>
  <c r="E23" i="42"/>
  <c r="B23" i="42"/>
  <c r="C99" i="41"/>
  <c r="C98" i="41"/>
  <c r="C97" i="41"/>
  <c r="I67" i="41"/>
  <c r="C108" i="41" s="1"/>
  <c r="H68" i="41"/>
  <c r="D98" i="41" s="1"/>
  <c r="H67" i="41"/>
  <c r="G69" i="41"/>
  <c r="C110" i="41" s="1"/>
  <c r="G68" i="41"/>
  <c r="G67" i="41"/>
  <c r="F70" i="41"/>
  <c r="C111" i="41" s="1"/>
  <c r="F69" i="41"/>
  <c r="F68" i="41"/>
  <c r="F67" i="41"/>
  <c r="E71" i="41"/>
  <c r="C112" i="41" s="1"/>
  <c r="E70" i="41"/>
  <c r="E69" i="41"/>
  <c r="E68" i="41"/>
  <c r="E67" i="41"/>
  <c r="D72" i="41"/>
  <c r="C82" i="41" s="1"/>
  <c r="D71" i="41"/>
  <c r="D70" i="41"/>
  <c r="D69" i="41"/>
  <c r="C79" i="41" s="1"/>
  <c r="D68" i="41"/>
  <c r="D67" i="41"/>
  <c r="C73" i="41"/>
  <c r="C114" i="41" s="1"/>
  <c r="B73" i="41"/>
  <c r="B83" i="41" s="1"/>
  <c r="C72" i="41"/>
  <c r="B72" i="41"/>
  <c r="B82" i="41" s="1"/>
  <c r="C71" i="41"/>
  <c r="B71" i="41"/>
  <c r="B81" i="41" s="1"/>
  <c r="C70" i="41"/>
  <c r="B70" i="41"/>
  <c r="B80" i="41" s="1"/>
  <c r="C69" i="41"/>
  <c r="B69" i="41"/>
  <c r="B79" i="41" s="1"/>
  <c r="B99" i="41" s="1"/>
  <c r="C68" i="41"/>
  <c r="B68" i="41"/>
  <c r="B78" i="41" s="1"/>
  <c r="B98" i="41" s="1"/>
  <c r="C67" i="41"/>
  <c r="B67" i="41"/>
  <c r="B77" i="41" s="1"/>
  <c r="B97" i="41" s="1"/>
  <c r="E35" i="41"/>
  <c r="E33" i="41"/>
  <c r="H87" i="41" l="1"/>
  <c r="D80" i="41"/>
  <c r="F25" i="42"/>
  <c r="F26" i="42"/>
  <c r="F24" i="42"/>
  <c r="F23" i="42"/>
  <c r="F29" i="42" s="1"/>
  <c r="F27" i="42"/>
  <c r="F87" i="41"/>
  <c r="G86" i="41"/>
  <c r="F86" i="41"/>
  <c r="H86" i="41"/>
  <c r="G87" i="41"/>
  <c r="C81" i="41"/>
  <c r="E77" i="41"/>
  <c r="E79" i="41"/>
  <c r="F77" i="41"/>
  <c r="D77" i="41"/>
  <c r="C78" i="41"/>
  <c r="D78" i="41"/>
  <c r="G78" i="41"/>
  <c r="D79" i="41"/>
  <c r="H77" i="41"/>
  <c r="C80" i="41"/>
  <c r="C113" i="41"/>
  <c r="D81" i="41"/>
  <c r="C87" i="41"/>
  <c r="F79" i="41"/>
  <c r="C77" i="41"/>
  <c r="E78" i="41"/>
  <c r="D97" i="41"/>
  <c r="F97" i="41" s="1"/>
  <c r="G97" i="41" s="1"/>
  <c r="E37" i="41"/>
  <c r="D87" i="41"/>
  <c r="E87" i="41"/>
  <c r="E80" i="41"/>
  <c r="G77" i="41"/>
  <c r="C86" i="41"/>
  <c r="F78" i="41"/>
  <c r="D86" i="41"/>
  <c r="C109" i="41"/>
  <c r="E86" i="41"/>
  <c r="D99" i="41"/>
  <c r="C88" i="41" l="1"/>
  <c r="C89" i="41" s="1"/>
  <c r="D88" i="41"/>
  <c r="D89" i="41" s="1"/>
  <c r="D84" i="41"/>
  <c r="C115" i="41"/>
  <c r="G84" i="41"/>
  <c r="G85" i="41"/>
  <c r="G89" i="41" s="1"/>
  <c r="C85" i="41"/>
  <c r="H84" i="41"/>
  <c r="H85" i="41"/>
  <c r="D85" i="41"/>
  <c r="F85" i="41"/>
  <c r="F89" i="41" s="1"/>
  <c r="F84" i="41"/>
  <c r="E85" i="41"/>
  <c r="E89" i="41" s="1"/>
  <c r="C84" i="41"/>
  <c r="E84" i="41"/>
  <c r="H89" i="41" l="1"/>
  <c r="H92" i="41" s="1"/>
  <c r="E98" i="41" l="1"/>
  <c r="F98" i="41" s="1"/>
  <c r="G98" i="41" s="1"/>
  <c r="G92" i="41"/>
  <c r="E99" i="41" s="1"/>
  <c r="F99" i="41" s="1"/>
  <c r="G99" i="41" s="1"/>
  <c r="G100" i="41" s="1"/>
  <c r="G101" i="41" s="1"/>
  <c r="I105" i="41" s="1"/>
  <c r="F92" i="41" l="1"/>
  <c r="E92" i="41" s="1"/>
  <c r="D92" i="41" s="1"/>
  <c r="C92" i="41" s="1"/>
  <c r="H105" i="41"/>
  <c r="D108" i="41"/>
  <c r="E108" i="41" s="1"/>
  <c r="G105" i="41" l="1"/>
  <c r="D109" i="41"/>
  <c r="E109" i="41" s="1"/>
  <c r="F105" i="41" l="1"/>
  <c r="D110" i="41"/>
  <c r="E110" i="41" s="1"/>
  <c r="E105" i="41" l="1"/>
  <c r="D111" i="41"/>
  <c r="E111" i="41" s="1"/>
  <c r="D112" i="41" l="1"/>
  <c r="E112" i="41" s="1"/>
  <c r="D105" i="41"/>
  <c r="C105" i="41" l="1"/>
  <c r="D114" i="41" s="1"/>
  <c r="E114" i="41" s="1"/>
  <c r="D113" i="41"/>
  <c r="E113" i="41" s="1"/>
  <c r="E115" i="41" l="1"/>
  <c r="C65" i="40" l="1"/>
  <c r="B65" i="40"/>
  <c r="D64" i="40"/>
  <c r="C64" i="40"/>
  <c r="B64" i="40"/>
  <c r="E63" i="40"/>
  <c r="D63" i="40"/>
  <c r="C63" i="40"/>
  <c r="B63" i="40"/>
  <c r="F62" i="40"/>
  <c r="E62" i="40"/>
  <c r="D62" i="40"/>
  <c r="C62" i="40"/>
  <c r="B62" i="40"/>
  <c r="D61" i="40"/>
  <c r="E61" i="40" s="1"/>
  <c r="F61" i="40" s="1"/>
  <c r="F53" i="40"/>
  <c r="E54" i="40"/>
  <c r="E53" i="40"/>
  <c r="D55" i="40"/>
  <c r="D54" i="40"/>
  <c r="D53" i="40"/>
  <c r="C56" i="40"/>
  <c r="C55" i="40"/>
  <c r="C54" i="40"/>
  <c r="C53" i="40"/>
  <c r="B56" i="40"/>
  <c r="B55" i="40"/>
  <c r="B54" i="40"/>
  <c r="B53" i="40"/>
  <c r="D52" i="40"/>
  <c r="E52" i="40" s="1"/>
  <c r="F52" i="40" s="1"/>
  <c r="D35" i="48" l="1" a="1"/>
  <c r="D35" i="4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<sst xmlns="http://schemas.openxmlformats.org/spreadsheetml/2006/main" count="661" uniqueCount="467">
  <si>
    <t>(c)</t>
  </si>
  <si>
    <t>ANSWER:</t>
  </si>
  <si>
    <t>(d)</t>
  </si>
  <si>
    <t>(e)</t>
  </si>
  <si>
    <t>(a)</t>
  </si>
  <si>
    <t>(b)</t>
  </si>
  <si>
    <r>
      <t>(</t>
    </r>
    <r>
      <rPr>
        <i/>
        <sz val="12"/>
        <color rgb="FF002060"/>
        <rFont val="Times New Roman"/>
        <family val="1"/>
      </rPr>
      <t>4 points</t>
    </r>
    <r>
      <rPr>
        <sz val="12"/>
        <color rgb="FF002060"/>
        <rFont val="Times New Roman"/>
        <family val="1"/>
      </rPr>
      <t>)</t>
    </r>
  </si>
  <si>
    <t>Question 1</t>
  </si>
  <si>
    <r>
      <t>(</t>
    </r>
    <r>
      <rPr>
        <i/>
        <sz val="12"/>
        <color rgb="FF002060"/>
        <rFont val="Times New Roman"/>
        <family val="1"/>
      </rPr>
      <t>5 points</t>
    </r>
    <r>
      <rPr>
        <sz val="12"/>
        <color rgb="FF002060"/>
        <rFont val="Times New Roman"/>
        <family val="1"/>
      </rPr>
      <t>)</t>
    </r>
  </si>
  <si>
    <t>You may choose to draw on this diagram to assist you in responding to this question. Use of this diagram is not required for full credit.</t>
  </si>
  <si>
    <t>You are analyzing development triangles for investigative testing purposes.</t>
  </si>
  <si>
    <r>
      <t>(</t>
    </r>
    <r>
      <rPr>
        <i/>
        <sz val="12"/>
        <color rgb="FF002060"/>
        <rFont val="Times New Roman"/>
        <family val="1"/>
      </rPr>
      <t>1 point</t>
    </r>
    <r>
      <rPr>
        <sz val="12"/>
        <color rgb="FF002060"/>
        <rFont val="Times New Roman"/>
        <family val="1"/>
      </rPr>
      <t>)  State two purposes for conducting investigative testing with development triangles.</t>
    </r>
  </si>
  <si>
    <t>You are given:</t>
  </si>
  <si>
    <t>Accident</t>
  </si>
  <si>
    <t>Ratio of Paid Claims to Reported Claims</t>
  </si>
  <si>
    <t>Year</t>
  </si>
  <si>
    <t>Ratio of Closed Counts to Reported Counts</t>
  </si>
  <si>
    <r>
      <t>(</t>
    </r>
    <r>
      <rPr>
        <i/>
        <sz val="12"/>
        <color rgb="FF002060"/>
        <rFont val="Times New Roman"/>
        <family val="1"/>
      </rPr>
      <t>1 point</t>
    </r>
    <r>
      <rPr>
        <sz val="12"/>
        <color rgb="FF002060"/>
        <rFont val="Times New Roman"/>
        <family val="1"/>
      </rPr>
      <t>)  Describe the pattern (row or column) you would expect to observe in  each of these triangles if the line of business is in a stable environment.</t>
    </r>
  </si>
  <si>
    <r>
      <t>(</t>
    </r>
    <r>
      <rPr>
        <i/>
        <sz val="12"/>
        <color rgb="FF002060"/>
        <rFont val="Times New Roman"/>
        <family val="1"/>
      </rPr>
      <t>2 points</t>
    </r>
    <r>
      <rPr>
        <sz val="12"/>
        <color rgb="FF002060"/>
        <rFont val="Times New Roman"/>
        <family val="1"/>
      </rPr>
      <t>)  Evaluate each triangle to determine if this line of business likely does or does not represent a stable line of business.</t>
    </r>
  </si>
  <si>
    <r>
      <t>(</t>
    </r>
    <r>
      <rPr>
        <i/>
        <sz val="12"/>
        <color rgb="FF002060"/>
        <rFont val="Times New Roman"/>
        <family val="1"/>
      </rPr>
      <t>0.5 points</t>
    </r>
    <r>
      <rPr>
        <sz val="12"/>
        <color rgb="FF002060"/>
        <rFont val="Times New Roman"/>
        <family val="1"/>
      </rPr>
      <t>)  State what a triangle of ratios of closed counts with no payments to total closed counts would help identify.</t>
    </r>
  </si>
  <si>
    <r>
      <t>(</t>
    </r>
    <r>
      <rPr>
        <i/>
        <sz val="12"/>
        <color rgb="FF002060"/>
        <rFont val="Times New Roman"/>
        <family val="1"/>
      </rPr>
      <t>0.5 points</t>
    </r>
    <r>
      <rPr>
        <sz val="12"/>
        <color rgb="FF002060"/>
        <rFont val="Times New Roman"/>
        <family val="1"/>
      </rPr>
      <t>)  Describe a data adjustment needed to ensure this test would provide consistency between the payments in the numerator and the counts in the denominator.</t>
    </r>
  </si>
  <si>
    <t>Question 2</t>
  </si>
  <si>
    <r>
      <t>(</t>
    </r>
    <r>
      <rPr>
        <i/>
        <sz val="12"/>
        <color rgb="FF002060"/>
        <rFont val="Times New Roman"/>
        <family val="1"/>
      </rPr>
      <t>8 points</t>
    </r>
    <r>
      <rPr>
        <sz val="12"/>
        <color rgb="FF002060"/>
        <rFont val="Times New Roman"/>
        <family val="1"/>
      </rPr>
      <t>)</t>
    </r>
  </si>
  <si>
    <t>Cumulative Paid Claims</t>
  </si>
  <si>
    <t>Reported Claims</t>
  </si>
  <si>
    <r>
      <t>(</t>
    </r>
    <r>
      <rPr>
        <i/>
        <sz val="12"/>
        <color rgb="FF002060"/>
        <rFont val="Times New Roman"/>
        <family val="1"/>
      </rPr>
      <t>2 points</t>
    </r>
    <r>
      <rPr>
        <sz val="12"/>
        <color rgb="FF002060"/>
        <rFont val="Times New Roman"/>
        <family val="1"/>
      </rPr>
      <t>)  Calculate the following:</t>
    </r>
  </si>
  <si>
    <r>
      <t>(</t>
    </r>
    <r>
      <rPr>
        <i/>
        <sz val="12"/>
        <color rgb="FF002060"/>
        <rFont val="Times New Roman"/>
        <family val="1"/>
      </rPr>
      <t>0.5 points</t>
    </r>
    <r>
      <rPr>
        <sz val="12"/>
        <color rgb="FF002060"/>
        <rFont val="Times New Roman"/>
        <family val="1"/>
      </rPr>
      <t>)  Describe one reason why the change in case estimates is expected to be negative for each accident year prior to 2024.</t>
    </r>
  </si>
  <si>
    <r>
      <t>(</t>
    </r>
    <r>
      <rPr>
        <i/>
        <sz val="12"/>
        <color rgb="FF002060"/>
        <rFont val="Times New Roman"/>
        <family val="1"/>
      </rPr>
      <t>1 point</t>
    </r>
    <r>
      <rPr>
        <sz val="12"/>
        <color rgb="FF002060"/>
        <rFont val="Times New Roman"/>
        <family val="1"/>
      </rPr>
      <t>)  Describe one reason why a change in case estimates could be positive for any accident year prior to 2024.</t>
    </r>
  </si>
  <si>
    <t>You are also given:</t>
  </si>
  <si>
    <t>Accident Year</t>
  </si>
  <si>
    <t>Question 3</t>
  </si>
  <si>
    <r>
      <t>(</t>
    </r>
    <r>
      <rPr>
        <i/>
        <sz val="12"/>
        <color rgb="FF002060"/>
        <rFont val="Times New Roman"/>
        <family val="1"/>
      </rPr>
      <t>3 points</t>
    </r>
    <r>
      <rPr>
        <sz val="12"/>
        <color rgb="FF002060"/>
        <rFont val="Times New Roman"/>
        <family val="1"/>
      </rPr>
      <t>)</t>
    </r>
  </si>
  <si>
    <t>You are conducting an analysis of expenses used in a ratemaking analysis and are given:</t>
  </si>
  <si>
    <t>Calendar Year</t>
  </si>
  <si>
    <t>Earned Exposures</t>
  </si>
  <si>
    <t>Direct Written Premiums</t>
  </si>
  <si>
    <t>Direct Earned Premiums</t>
  </si>
  <si>
    <t>Total Commission Expenses and Premium Taxes</t>
  </si>
  <si>
    <t>General Expenses</t>
  </si>
  <si>
    <t>2025 Budget</t>
  </si>
  <si>
    <t>Your co-worker has recommended the following:</t>
  </si>
  <si>
    <r>
      <t>·</t>
    </r>
    <r>
      <rPr>
        <sz val="7"/>
        <color rgb="FF002060"/>
        <rFont val="Times New Roman"/>
        <family val="1"/>
      </rPr>
      <t xml:space="preserve">       </t>
    </r>
    <r>
      <rPr>
        <sz val="12"/>
        <color rgb="FF002060"/>
        <rFont val="Times New Roman"/>
        <family val="1"/>
      </rPr>
      <t>The variable expense ratio should be based on the average of calendar years 2021 through 2024.</t>
    </r>
  </si>
  <si>
    <t>Critique your co-worker’s recommendation.</t>
  </si>
  <si>
    <t>You are estimating allocated loss adjustment expense (ALAE) liabilities as of December 31, 2024.</t>
  </si>
  <si>
    <t>Question 4</t>
  </si>
  <si>
    <r>
      <t>(</t>
    </r>
    <r>
      <rPr>
        <i/>
        <sz val="12"/>
        <color rgb="FF002060"/>
        <rFont val="Times New Roman"/>
        <family val="1"/>
      </rPr>
      <t>6 points</t>
    </r>
    <r>
      <rPr>
        <sz val="12"/>
        <color rgb="FF002060"/>
        <rFont val="Times New Roman"/>
        <family val="1"/>
      </rPr>
      <t>)</t>
    </r>
  </si>
  <si>
    <r>
      <t>(</t>
    </r>
    <r>
      <rPr>
        <i/>
        <sz val="12"/>
        <color rgb="FF002060"/>
        <rFont val="Times New Roman"/>
        <family val="1"/>
      </rPr>
      <t>1 point</t>
    </r>
    <r>
      <rPr>
        <sz val="12"/>
        <color rgb="FF002060"/>
        <rFont val="Times New Roman"/>
        <family val="1"/>
      </rPr>
      <t>)  State two situations where ultimate indemnity and ultimate ALAE should be estimated separately.</t>
    </r>
  </si>
  <si>
    <t>Accident Year (AY)</t>
  </si>
  <si>
    <t>Projected Ultimate ALAE Based on Reported Development Method</t>
  </si>
  <si>
    <r>
      <t>·</t>
    </r>
    <r>
      <rPr>
        <sz val="7"/>
        <color rgb="FF002060"/>
        <rFont val="Times New Roman"/>
        <family val="1"/>
      </rPr>
      <t xml:space="preserve">       </t>
    </r>
    <r>
      <rPr>
        <sz val="12"/>
        <color rgb="FF002060"/>
        <rFont val="Times New Roman"/>
        <family val="1"/>
      </rPr>
      <t xml:space="preserve">The annual claim severity trend is </t>
    </r>
  </si>
  <si>
    <t xml:space="preserve"> of general expenses are fixed expenses.</t>
  </si>
  <si>
    <t>You are also given the following information:</t>
  </si>
  <si>
    <r>
      <t>·</t>
    </r>
    <r>
      <rPr>
        <sz val="7"/>
        <color rgb="FF002060"/>
        <rFont val="Times New Roman"/>
        <family val="1"/>
      </rPr>
      <t xml:space="preserve">       </t>
    </r>
    <r>
      <rPr>
        <sz val="12"/>
        <color rgb="FF002060"/>
        <rFont val="Times New Roman"/>
        <family val="1"/>
      </rPr>
      <t>Reported and ultimate claims exclude ALAE.</t>
    </r>
  </si>
  <si>
    <r>
      <t>(</t>
    </r>
    <r>
      <rPr>
        <i/>
        <sz val="12"/>
        <color rgb="FF002060"/>
        <rFont val="Times New Roman"/>
        <family val="1"/>
      </rPr>
      <t>1.5 points</t>
    </r>
    <r>
      <rPr>
        <sz val="12"/>
        <color rgb="FF002060"/>
        <rFont val="Times New Roman"/>
        <family val="1"/>
      </rPr>
      <t>)  Calculate the projected AY 2024 ratio of ultimate ALAE to ultimate claims using the Bornhuetter Ferguson method and your results from part (b).</t>
    </r>
  </si>
  <si>
    <r>
      <t>(</t>
    </r>
    <r>
      <rPr>
        <i/>
        <sz val="12"/>
        <color rgb="FF002060"/>
        <rFont val="Times New Roman"/>
        <family val="1"/>
      </rPr>
      <t>1 point</t>
    </r>
    <r>
      <rPr>
        <sz val="12"/>
        <color rgb="FF002060"/>
        <rFont val="Times New Roman"/>
        <family val="1"/>
      </rPr>
      <t>)  Evaluate the reasonableness of the inputs for the Bornhuetter Ferguson method in part (c) by comparing the actual reported ALAE ratio to the expected ALAE ratio.</t>
    </r>
  </si>
  <si>
    <r>
      <t>(</t>
    </r>
    <r>
      <rPr>
        <i/>
        <sz val="12"/>
        <color rgb="FF002060"/>
        <rFont val="Times New Roman"/>
        <family val="1"/>
      </rPr>
      <t>1 point</t>
    </r>
    <r>
      <rPr>
        <sz val="12"/>
        <color rgb="FF002060"/>
        <rFont val="Times New Roman"/>
        <family val="1"/>
      </rPr>
      <t>)  Calculate the AY 2024 IBNR for ALAE using your results from part (c).</t>
    </r>
  </si>
  <si>
    <t xml:space="preserve">The annual claim trend is </t>
  </si>
  <si>
    <r>
      <t>·</t>
    </r>
    <r>
      <rPr>
        <sz val="7"/>
        <color rgb="FF002060"/>
        <rFont val="Times New Roman"/>
        <family val="1"/>
      </rPr>
      <t xml:space="preserve">       </t>
    </r>
    <r>
      <rPr>
        <sz val="12"/>
        <color rgb="FF002060"/>
        <rFont val="Times New Roman"/>
        <family val="1"/>
      </rPr>
      <t xml:space="preserve">AY 2024 reported claims are </t>
    </r>
  </si>
  <si>
    <r>
      <t>·</t>
    </r>
    <r>
      <rPr>
        <sz val="7"/>
        <color rgb="FF002060"/>
        <rFont val="Times New Roman"/>
        <family val="1"/>
      </rPr>
      <t xml:space="preserve">       </t>
    </r>
    <r>
      <rPr>
        <sz val="12"/>
        <color rgb="FF002060"/>
        <rFont val="Times New Roman"/>
        <family val="1"/>
      </rPr>
      <t>AY 2024 expected ultimate claims are</t>
    </r>
  </si>
  <si>
    <r>
      <t>·</t>
    </r>
    <r>
      <rPr>
        <sz val="7"/>
        <color rgb="FF002060"/>
        <rFont val="Times New Roman"/>
        <family val="1"/>
      </rPr>
      <t xml:space="preserve">       </t>
    </r>
    <r>
      <rPr>
        <sz val="12"/>
        <color rgb="FF002060"/>
        <rFont val="Times New Roman"/>
        <family val="1"/>
      </rPr>
      <t xml:space="preserve">AY 2024 reported ALAE to reported claim ratio is </t>
    </r>
  </si>
  <si>
    <r>
      <t>·</t>
    </r>
    <r>
      <rPr>
        <sz val="7"/>
        <color rgb="FF002060"/>
        <rFont val="Times New Roman"/>
        <family val="1"/>
      </rPr>
      <t xml:space="preserve">       </t>
    </r>
    <r>
      <rPr>
        <sz val="12"/>
        <color rgb="FF002060"/>
        <rFont val="Times New Roman"/>
        <family val="1"/>
      </rPr>
      <t>The 12-month cumulative development factor for the ratio of reported ALAE to reported claims is</t>
    </r>
  </si>
  <si>
    <r>
      <t>(</t>
    </r>
    <r>
      <rPr>
        <i/>
        <sz val="12"/>
        <color rgb="FF002060"/>
        <rFont val="Times New Roman"/>
        <family val="1"/>
      </rPr>
      <t>1.5 points</t>
    </r>
    <r>
      <rPr>
        <sz val="12"/>
        <color rgb="FF002060"/>
        <rFont val="Times New Roman"/>
        <family val="1"/>
      </rPr>
      <t>)  Calculate the projected AY 2024 ultimate ALAE using the expected method.</t>
    </r>
  </si>
  <si>
    <t>Question 5</t>
  </si>
  <si>
    <r>
      <t>(</t>
    </r>
    <r>
      <rPr>
        <i/>
        <sz val="12"/>
        <color rgb="FF002060"/>
        <rFont val="Times New Roman"/>
        <family val="1"/>
      </rPr>
      <t>7 points</t>
    </r>
    <r>
      <rPr>
        <sz val="12"/>
        <color rgb="FF002060"/>
        <rFont val="Times New Roman"/>
        <family val="1"/>
      </rPr>
      <t>)</t>
    </r>
  </si>
  <si>
    <t>Policies written on or before December 31, 2022:</t>
  </si>
  <si>
    <t>Policies written or renewed after December 31, 2022:</t>
  </si>
  <si>
    <t>The following rate changes were made:</t>
  </si>
  <si>
    <t>Effective Date of Rate Change</t>
  </si>
  <si>
    <t>Overall Rate Change %</t>
  </si>
  <si>
    <t>All policies are written uniformly throughout the year and earned uniformly through the policy period.</t>
  </si>
  <si>
    <r>
      <t>o</t>
    </r>
    <r>
      <rPr>
        <sz val="7"/>
        <color rgb="FF002060"/>
        <rFont val="Times New Roman"/>
        <family val="1"/>
      </rPr>
      <t xml:space="preserve">   </t>
    </r>
    <r>
      <rPr>
        <sz val="12"/>
        <color rgb="FF002060"/>
        <rFont val="Times New Roman"/>
        <family val="1"/>
      </rPr>
      <t>No other rate changes have been made after July 1, 2024.</t>
    </r>
  </si>
  <si>
    <r>
      <t>·</t>
    </r>
    <r>
      <rPr>
        <sz val="7"/>
        <color rgb="FF002060"/>
        <rFont val="Times New Roman"/>
        <family val="1"/>
      </rPr>
      <t xml:space="preserve">       </t>
    </r>
    <r>
      <rPr>
        <sz val="12"/>
        <color rgb="FF002060"/>
        <rFont val="Times New Roman"/>
        <family val="1"/>
      </rPr>
      <t xml:space="preserve">The unearned premiums as of December 31, 2022 were </t>
    </r>
  </si>
  <si>
    <r>
      <t>·</t>
    </r>
    <r>
      <rPr>
        <sz val="7"/>
        <color rgb="FF002060"/>
        <rFont val="Times New Roman"/>
        <family val="1"/>
      </rPr>
      <t xml:space="preserve">       </t>
    </r>
    <r>
      <rPr>
        <sz val="12"/>
        <color rgb="FF002060"/>
        <rFont val="Times New Roman"/>
        <family val="1"/>
      </rPr>
      <t xml:space="preserve">As of December 31, 2022, there were </t>
    </r>
  </si>
  <si>
    <r>
      <t>·</t>
    </r>
    <r>
      <rPr>
        <sz val="7"/>
        <color rgb="FF002060"/>
        <rFont val="Times New Roman"/>
        <family val="1"/>
      </rPr>
      <t xml:space="preserve">       </t>
    </r>
  </si>
  <si>
    <r>
      <t>·</t>
    </r>
    <r>
      <rPr>
        <sz val="7"/>
        <color rgb="FF002060"/>
        <rFont val="Times New Roman"/>
        <family val="1"/>
      </rPr>
      <t>      </t>
    </r>
  </si>
  <si>
    <r>
      <t>(</t>
    </r>
    <r>
      <rPr>
        <i/>
        <sz val="12"/>
        <color rgb="FF002060"/>
        <rFont val="Times New Roman"/>
        <family val="1"/>
      </rPr>
      <t>1.5 points</t>
    </r>
    <r>
      <rPr>
        <sz val="12"/>
        <color rgb="FF002060"/>
        <rFont val="Times New Roman"/>
        <family val="1"/>
      </rPr>
      <t>)  Calculate the CY 2023 written premiums for the policies that renewed in 2023.</t>
    </r>
  </si>
  <si>
    <r>
      <t>(</t>
    </r>
    <r>
      <rPr>
        <i/>
        <sz val="12"/>
        <color rgb="FF002060"/>
        <rFont val="Times New Roman"/>
        <family val="1"/>
      </rPr>
      <t>1 point</t>
    </r>
    <r>
      <rPr>
        <sz val="12"/>
        <color rgb="FF002060"/>
        <rFont val="Times New Roman"/>
        <family val="1"/>
      </rPr>
      <t>)  Calculate the CY 2023 earned premiums for the policies that renewed in 2023.</t>
    </r>
  </si>
  <si>
    <r>
      <t>(</t>
    </r>
    <r>
      <rPr>
        <i/>
        <sz val="12"/>
        <color rgb="FF002060"/>
        <rFont val="Times New Roman"/>
        <family val="1"/>
      </rPr>
      <t>1.5 points</t>
    </r>
    <r>
      <rPr>
        <sz val="12"/>
        <color rgb="FF002060"/>
        <rFont val="Times New Roman"/>
        <family val="1"/>
      </rPr>
      <t>)  Calculate the total unearned premiums as of December 31, 2023.</t>
    </r>
  </si>
  <si>
    <r>
      <t>(</t>
    </r>
    <r>
      <rPr>
        <i/>
        <sz val="12"/>
        <color rgb="FF002060"/>
        <rFont val="Times New Roman"/>
        <family val="1"/>
      </rPr>
      <t>1.5 points</t>
    </r>
    <r>
      <rPr>
        <sz val="12"/>
        <color rgb="FF002060"/>
        <rFont val="Times New Roman"/>
        <family val="1"/>
      </rPr>
      <t>)  Calculate the CY 2023 earned premiums at current rate levels.</t>
    </r>
  </si>
  <si>
    <t>Question 6</t>
  </si>
  <si>
    <t>The following data triangles are provided here for your reference, but the response for question 6 is to be provided in the Word document.</t>
  </si>
  <si>
    <t> Accident Year</t>
  </si>
  <si>
    <t>Development Method Based on</t>
  </si>
  <si>
    <t> Development Based Frequency Severity Method</t>
  </si>
  <si>
    <t> Expected Method</t>
  </si>
  <si>
    <t>Paid Claims</t>
  </si>
  <si>
    <t>Total</t>
  </si>
  <si>
    <t>Question 7</t>
  </si>
  <si>
    <t>You are estimating unpaid unallocated loss adjustment expenses (ULAE) as of December 31, 2024 and are given:</t>
  </si>
  <si>
    <t>Paid ULAE</t>
  </si>
  <si>
    <t>Paid claims</t>
  </si>
  <si>
    <t>Reported claims</t>
  </si>
  <si>
    <t>Ultimate claims</t>
  </si>
  <si>
    <t>IBNYR</t>
  </si>
  <si>
    <t>Based on discussions with claim department management, you have learned the following:</t>
  </si>
  <si>
    <t>related to implementation of a new system.  This expense is not expected to occur again.</t>
  </si>
  <si>
    <r>
      <t>·</t>
    </r>
    <r>
      <rPr>
        <sz val="7"/>
        <color rgb="FF002060"/>
        <rFont val="Times New Roman"/>
        <family val="1"/>
      </rPr>
      <t xml:space="preserve">       </t>
    </r>
    <r>
      <rPr>
        <sz val="12"/>
        <color rgb="FF002060"/>
        <rFont val="Times New Roman"/>
        <family val="1"/>
      </rPr>
      <t xml:space="preserve">Calendar year 2022 paid ULAE included one-time charge of </t>
    </r>
  </si>
  <si>
    <r>
      <t>·</t>
    </r>
    <r>
      <rPr>
        <sz val="7"/>
        <color rgb="FF002060"/>
        <rFont val="Times New Roman"/>
        <family val="1"/>
      </rPr>
      <t xml:space="preserve">       </t>
    </r>
    <r>
      <rPr>
        <sz val="12"/>
        <color rgb="FF002060"/>
        <rFont val="Times New Roman"/>
        <family val="1"/>
      </rPr>
      <t>Approximately</t>
    </r>
  </si>
  <si>
    <t xml:space="preserve"> relate to maintaining and closing a claim file.</t>
  </si>
  <si>
    <t xml:space="preserve"> of claim department expenses relate to opening a claim file and</t>
  </si>
  <si>
    <r>
      <t>(</t>
    </r>
    <r>
      <rPr>
        <i/>
        <sz val="12"/>
        <color rgb="FF002060"/>
        <rFont val="Times New Roman"/>
        <family val="1"/>
      </rPr>
      <t>3 points</t>
    </r>
    <r>
      <rPr>
        <sz val="12"/>
        <color rgb="FF002060"/>
        <rFont val="Times New Roman"/>
        <family val="1"/>
      </rPr>
      <t>)  Estimate unpaid ULAE as of December 31, 2024 using the classical paid-to-paid method.</t>
    </r>
  </si>
  <si>
    <r>
      <t>(</t>
    </r>
    <r>
      <rPr>
        <i/>
        <sz val="12"/>
        <color rgb="FF002060"/>
        <rFont val="Times New Roman"/>
        <family val="1"/>
      </rPr>
      <t>0.5 points</t>
    </r>
    <r>
      <rPr>
        <sz val="12"/>
        <color rgb="FF002060"/>
        <rFont val="Times New Roman"/>
        <family val="1"/>
      </rPr>
      <t>)  Identify the weakness in the classical paid-to-paid method according to Kittel.</t>
    </r>
  </si>
  <si>
    <r>
      <t>(</t>
    </r>
    <r>
      <rPr>
        <i/>
        <sz val="12"/>
        <color rgb="FF002060"/>
        <rFont val="Times New Roman"/>
        <family val="1"/>
      </rPr>
      <t>0.5 points</t>
    </r>
    <r>
      <rPr>
        <sz val="12"/>
        <color rgb="FF002060"/>
        <rFont val="Times New Roman"/>
        <family val="1"/>
      </rPr>
      <t>)  Explain why the weakness identified in part (b) occurs.</t>
    </r>
  </si>
  <si>
    <r>
      <t>(</t>
    </r>
    <r>
      <rPr>
        <i/>
        <sz val="12"/>
        <color rgb="FF002060"/>
        <rFont val="Times New Roman"/>
        <family val="1"/>
      </rPr>
      <t>1 point</t>
    </r>
    <r>
      <rPr>
        <sz val="12"/>
        <color rgb="FF002060"/>
        <rFont val="Times New Roman"/>
        <family val="1"/>
      </rPr>
      <t>)  State two circumstances where the Mango and Allen smoothing adjustment is particularly valuable.</t>
    </r>
  </si>
  <si>
    <t>Question 8</t>
  </si>
  <si>
    <t>You are using catastrophe models to price an earthquake endorsement for your company.</t>
  </si>
  <si>
    <r>
      <t>(</t>
    </r>
    <r>
      <rPr>
        <i/>
        <sz val="12"/>
        <color rgb="FF002060"/>
        <rFont val="Times New Roman"/>
        <family val="1"/>
      </rPr>
      <t>0.5 points</t>
    </r>
    <r>
      <rPr>
        <sz val="12"/>
        <color rgb="FF002060"/>
        <rFont val="Times New Roman"/>
        <family val="1"/>
      </rPr>
      <t>)  State one way that noninsurance data can be used in catastrophe models.</t>
    </r>
  </si>
  <si>
    <r>
      <t>(</t>
    </r>
    <r>
      <rPr>
        <i/>
        <sz val="12"/>
        <color rgb="FF002060"/>
        <rFont val="Times New Roman"/>
        <family val="1"/>
      </rPr>
      <t>0.5 points</t>
    </r>
    <r>
      <rPr>
        <sz val="12"/>
        <color rgb="FF002060"/>
        <rFont val="Times New Roman"/>
        <family val="1"/>
      </rPr>
      <t>)  State one reason why catastrophe claims might trend at a rate materially different than non-catastrophe claims.</t>
    </r>
  </si>
  <si>
    <r>
      <t>(</t>
    </r>
    <r>
      <rPr>
        <i/>
        <sz val="12"/>
        <color rgb="FF002060"/>
        <rFont val="Times New Roman"/>
        <family val="1"/>
      </rPr>
      <t>2 points</t>
    </r>
    <r>
      <rPr>
        <sz val="12"/>
        <color rgb="FF002060"/>
        <rFont val="Times New Roman"/>
        <family val="1"/>
      </rPr>
      <t>)  Calculate the pure premium for the earthquake endorsement effective September 1, 2025.</t>
    </r>
  </si>
  <si>
    <r>
      <t>·</t>
    </r>
    <r>
      <rPr>
        <sz val="7"/>
        <color rgb="FF002060"/>
        <rFont val="Times New Roman"/>
        <family val="1"/>
      </rPr>
      <t xml:space="preserve">       </t>
    </r>
    <r>
      <rPr>
        <sz val="12"/>
        <color rgb="FF002060"/>
        <rFont val="Times New Roman"/>
        <family val="1"/>
      </rPr>
      <t>The annual exposure trend is</t>
    </r>
  </si>
  <si>
    <r>
      <t>·</t>
    </r>
    <r>
      <rPr>
        <sz val="7"/>
        <color rgb="FF002060"/>
        <rFont val="Times New Roman"/>
        <family val="1"/>
      </rPr>
      <t xml:space="preserve">       </t>
    </r>
    <r>
      <rPr>
        <sz val="12"/>
        <color rgb="FF002060"/>
        <rFont val="Times New Roman"/>
        <family val="1"/>
      </rPr>
      <t>The annual severity trend is</t>
    </r>
  </si>
  <si>
    <r>
      <t>·</t>
    </r>
    <r>
      <rPr>
        <sz val="7"/>
        <color rgb="FF002060"/>
        <rFont val="Times New Roman"/>
        <family val="1"/>
      </rPr>
      <t xml:space="preserve">       </t>
    </r>
    <r>
      <rPr>
        <sz val="12"/>
        <color rgb="FF002060"/>
        <rFont val="Times New Roman"/>
        <family val="1"/>
      </rPr>
      <t xml:space="preserve">New rates are to be effective </t>
    </r>
  </si>
  <si>
    <t xml:space="preserve"> for one year with all policies written as 12-month policies.</t>
  </si>
  <si>
    <t xml:space="preserve"> cost level.</t>
  </si>
  <si>
    <t xml:space="preserve"> based on a</t>
  </si>
  <si>
    <t>Question 9</t>
  </si>
  <si>
    <t>You are estimating ultimate claims using a frequency-severity closure method for line of business A (LOB A) in state X which your company started writing in 2022.</t>
  </si>
  <si>
    <r>
      <t>(</t>
    </r>
    <r>
      <rPr>
        <i/>
        <sz val="12"/>
        <color rgb="FF002060"/>
        <rFont val="Times New Roman"/>
        <family val="1"/>
      </rPr>
      <t>1 point</t>
    </r>
    <r>
      <rPr>
        <sz val="12"/>
        <color rgb="FF002060"/>
        <rFont val="Times New Roman"/>
        <family val="1"/>
      </rPr>
      <t>)  Describe two alternative sources for trend, other than industry data, if an insurer’s own claim experience in LOB A for state X is not sufficiently credible.</t>
    </r>
  </si>
  <si>
    <t>You are given paid severity data from the industry for LOB A.</t>
  </si>
  <si>
    <t>Industry Projected Ultimate Severity</t>
  </si>
  <si>
    <r>
      <t>(</t>
    </r>
    <r>
      <rPr>
        <i/>
        <sz val="12"/>
        <color rgb="FF002060"/>
        <rFont val="Times New Roman"/>
        <family val="1"/>
      </rPr>
      <t>1 point</t>
    </r>
    <r>
      <rPr>
        <sz val="12"/>
        <color rgb="FF002060"/>
        <rFont val="Times New Roman"/>
        <family val="1"/>
      </rPr>
      <t>)  Recommend a severity trend based on the industry data.  Justify your recommendation.</t>
    </r>
  </si>
  <si>
    <t>The industry data above was adjusted to a basic policy limit of 500,000.</t>
  </si>
  <si>
    <r>
      <t>(</t>
    </r>
    <r>
      <rPr>
        <i/>
        <sz val="12"/>
        <color rgb="FF002060"/>
        <rFont val="Times New Roman"/>
        <family val="1"/>
      </rPr>
      <t>1 point</t>
    </r>
    <r>
      <rPr>
        <sz val="12"/>
        <color rgb="FF002060"/>
        <rFont val="Times New Roman"/>
        <family val="1"/>
      </rPr>
      <t>)  Assess whether your company’s severity trend for LOB A is expected to be lower, equal, or higher than the industry severity trend if the company’s policy limit for LOB A is 300,000.</t>
    </r>
  </si>
  <si>
    <t>Industry Incremental Paid Severity</t>
  </si>
  <si>
    <r>
      <t>·</t>
    </r>
    <r>
      <rPr>
        <sz val="7"/>
        <color rgb="FF002060"/>
        <rFont val="Times New Roman"/>
        <family val="1"/>
      </rPr>
      <t xml:space="preserve">       </t>
    </r>
    <r>
      <rPr>
        <sz val="12"/>
        <color rgb="FF002060"/>
        <rFont val="Times New Roman"/>
        <family val="1"/>
      </rPr>
      <t>Both the industry data and the company data have been adjusted to a basic policy limit of 500,000.</t>
    </r>
  </si>
  <si>
    <r>
      <t>·</t>
    </r>
    <r>
      <rPr>
        <sz val="7"/>
        <color rgb="FF002060"/>
        <rFont val="Times New Roman"/>
        <family val="1"/>
      </rPr>
      <t xml:space="preserve">       </t>
    </r>
    <r>
      <rPr>
        <sz val="12"/>
        <color rgb="FF002060"/>
        <rFont val="Times New Roman"/>
        <family val="1"/>
      </rPr>
      <t>The industry data is considered a reasonable basis for determining projections for LOB A.</t>
    </r>
  </si>
  <si>
    <r>
      <t>(</t>
    </r>
    <r>
      <rPr>
        <i/>
        <sz val="12"/>
        <color rgb="FF002060"/>
        <rFont val="Times New Roman"/>
        <family val="1"/>
      </rPr>
      <t>1.5 points</t>
    </r>
    <r>
      <rPr>
        <sz val="12"/>
        <color rgb="FF002060"/>
        <rFont val="Times New Roman"/>
        <family val="1"/>
      </rPr>
      <t>)  Calculate the incremental severity at the 2024 cost level for all development ages 12 through 72 using a simple all year’s average and your recommended severity trend from part (b).</t>
    </r>
  </si>
  <si>
    <t>Industry Proportion of Closed Counts</t>
  </si>
  <si>
    <t>Industry Age-to-Ultimate Development Factors for Closed Counts</t>
  </si>
  <si>
    <t>Age</t>
  </si>
  <si>
    <t>Factor</t>
  </si>
  <si>
    <t>72-ult</t>
  </si>
  <si>
    <t>60-ult</t>
  </si>
  <si>
    <t>48-ult</t>
  </si>
  <si>
    <t>36-ult</t>
  </si>
  <si>
    <t>24-ult</t>
  </si>
  <si>
    <t>12-ult</t>
  </si>
  <si>
    <t>Company Incremental Closed Counts for LOB A</t>
  </si>
  <si>
    <r>
      <t>·</t>
    </r>
    <r>
      <rPr>
        <sz val="7"/>
        <color rgb="FF002060"/>
        <rFont val="Times New Roman"/>
        <family val="1"/>
      </rPr>
      <t xml:space="preserve">       </t>
    </r>
    <r>
      <rPr>
        <sz val="12"/>
        <color rgb="FF002060"/>
        <rFont val="Times New Roman"/>
        <family val="1"/>
      </rPr>
      <t xml:space="preserve">The industry proportion of closed counts and age-to-ultimate factors are used to estimate future closed counts for the company. </t>
    </r>
  </si>
  <si>
    <r>
      <t>·</t>
    </r>
    <r>
      <rPr>
        <sz val="7"/>
        <color rgb="FF002060"/>
        <rFont val="Times New Roman"/>
        <family val="1"/>
      </rPr>
      <t xml:space="preserve">       </t>
    </r>
    <r>
      <rPr>
        <sz val="12"/>
        <color rgb="FF002060"/>
        <rFont val="Times New Roman"/>
        <family val="1"/>
      </rPr>
      <t xml:space="preserve">The industry incremental severities at the 2024 cost level from part (d) are used to estimate future incremental paid severities for the company. </t>
    </r>
  </si>
  <si>
    <r>
      <t>·</t>
    </r>
    <r>
      <rPr>
        <sz val="7"/>
        <color rgb="FF002060"/>
        <rFont val="Times New Roman"/>
        <family val="1"/>
      </rPr>
      <t xml:space="preserve">       </t>
    </r>
    <r>
      <rPr>
        <sz val="12"/>
        <color rgb="FF002060"/>
        <rFont val="Times New Roman"/>
        <family val="1"/>
      </rPr>
      <t>The incremental severity at the 2024 cost level for development age 84 is assumed to be the same as the severity at development age 72.</t>
    </r>
  </si>
  <si>
    <r>
      <t>(</t>
    </r>
    <r>
      <rPr>
        <i/>
        <sz val="12"/>
        <color rgb="FF002060"/>
        <rFont val="Times New Roman"/>
        <family val="1"/>
      </rPr>
      <t>3.5 points</t>
    </r>
    <r>
      <rPr>
        <sz val="12"/>
        <color rgb="FF002060"/>
        <rFont val="Times New Roman"/>
        <family val="1"/>
      </rPr>
      <t>)  Calculate the company’s total unpaid claims estimate as of December 31, 2024 for LOB A using the frequency-severity closure method.</t>
    </r>
  </si>
  <si>
    <t>Question 10</t>
  </si>
  <si>
    <t>The response for question 10 is to be provided in the Word document.</t>
  </si>
  <si>
    <t>Question 11</t>
  </si>
  <si>
    <t>You are estimating ultimate claims as of December 31, 2024.</t>
  </si>
  <si>
    <r>
      <t>(</t>
    </r>
    <r>
      <rPr>
        <i/>
        <sz val="12"/>
        <color rgb="FF002060"/>
        <rFont val="Times New Roman"/>
        <family val="1"/>
      </rPr>
      <t>1 point</t>
    </r>
    <r>
      <rPr>
        <sz val="12"/>
        <color rgb="FF002060"/>
        <rFont val="Times New Roman"/>
        <family val="1"/>
      </rPr>
      <t>)  State two desirable characteristics of an exposure base.</t>
    </r>
  </si>
  <si>
    <t>Reported Claims as of Dec. 31, 2024</t>
  </si>
  <si>
    <t>Cumulative Development Factors</t>
  </si>
  <si>
    <r>
      <t>·</t>
    </r>
    <r>
      <rPr>
        <sz val="7"/>
        <color rgb="FF002060"/>
        <rFont val="Times New Roman"/>
        <family val="1"/>
      </rPr>
      <t xml:space="preserve">       </t>
    </r>
    <r>
      <rPr>
        <sz val="12"/>
        <color rgb="FF002060"/>
        <rFont val="Times New Roman"/>
        <family val="1"/>
      </rPr>
      <t>The exposures for this line of business are inflation sensitive.</t>
    </r>
  </si>
  <si>
    <r>
      <t>·</t>
    </r>
    <r>
      <rPr>
        <sz val="7"/>
        <color rgb="FF002060"/>
        <rFont val="Times New Roman"/>
        <family val="1"/>
      </rPr>
      <t xml:space="preserve">       </t>
    </r>
    <r>
      <rPr>
        <sz val="12"/>
        <color rgb="FF002060"/>
        <rFont val="Times New Roman"/>
        <family val="1"/>
      </rPr>
      <t>The annual claim severity trend is</t>
    </r>
  </si>
  <si>
    <r>
      <t>·</t>
    </r>
    <r>
      <rPr>
        <sz val="7"/>
        <color rgb="FF002060"/>
        <rFont val="Times New Roman"/>
        <family val="1"/>
      </rPr>
      <t xml:space="preserve">       </t>
    </r>
    <r>
      <rPr>
        <sz val="12"/>
        <color rgb="FF002060"/>
        <rFont val="Times New Roman"/>
        <family val="1"/>
      </rPr>
      <t>The annual claim frequency trend is</t>
    </r>
  </si>
  <si>
    <r>
      <t>·</t>
    </r>
    <r>
      <rPr>
        <sz val="7"/>
        <color rgb="FF002060"/>
        <rFont val="Times New Roman"/>
        <family val="1"/>
      </rPr>
      <t xml:space="preserve">       </t>
    </r>
    <r>
      <rPr>
        <sz val="12"/>
        <color rgb="FF002060"/>
        <rFont val="Times New Roman"/>
        <family val="1"/>
      </rPr>
      <t xml:space="preserve">The annual exposure trend is </t>
    </r>
  </si>
  <si>
    <r>
      <t>(</t>
    </r>
    <r>
      <rPr>
        <i/>
        <sz val="12"/>
        <color rgb="FF002060"/>
        <rFont val="Times New Roman"/>
        <family val="1"/>
      </rPr>
      <t>3 points</t>
    </r>
    <r>
      <rPr>
        <sz val="12"/>
        <color rgb="FF002060"/>
        <rFont val="Times New Roman"/>
        <family val="1"/>
      </rPr>
      <t>)  Calculate projected ultimate claims for all accident years using the Cape Cod method with a pure premium based on an experience period of 2018 through 2024.</t>
    </r>
  </si>
  <si>
    <r>
      <t>(</t>
    </r>
    <r>
      <rPr>
        <i/>
        <sz val="12"/>
        <color rgb="FF002060"/>
        <rFont val="Times New Roman"/>
        <family val="1"/>
      </rPr>
      <t>2 points</t>
    </r>
    <r>
      <rPr>
        <sz val="12"/>
        <color rgb="FF002060"/>
        <rFont val="Times New Roman"/>
        <family val="1"/>
      </rPr>
      <t>)  Calculate projected ultimate claims for all accident years using the Cape Cod method with a pure premium based on an experience period of 2021 through 2024.</t>
    </r>
  </si>
  <si>
    <t>Question 12</t>
  </si>
  <si>
    <t>Your company is forecasting future experience for several lines of business (LOB) for planning purposes.</t>
  </si>
  <si>
    <t>You are given the following for LOB A:</t>
  </si>
  <si>
    <t>Calendar Year (CY)</t>
  </si>
  <si>
    <t>Forecasted Earned Exposures</t>
  </si>
  <si>
    <t>2024 average earned premium at current rate level</t>
  </si>
  <si>
    <t>Annual premium trend</t>
  </si>
  <si>
    <t>2024 cost level claim and ALAE ratio</t>
  </si>
  <si>
    <t>Annual frequency trend</t>
  </si>
  <si>
    <t>Annual severity trend</t>
  </si>
  <si>
    <t>Fixed expense per exposure</t>
  </si>
  <si>
    <t>Annual fixed expense trend</t>
  </si>
  <si>
    <t>Variable expense ratio as a percent of premium</t>
  </si>
  <si>
    <t>ULAE as a percent of claims plus ALAE</t>
  </si>
  <si>
    <t>The base forecast scenario assumes no rate changes over the 2025-2027 forecast period.</t>
  </si>
  <si>
    <r>
      <t>(</t>
    </r>
    <r>
      <rPr>
        <i/>
        <sz val="12"/>
        <color rgb="FF002060"/>
        <rFont val="Times New Roman"/>
        <family val="1"/>
      </rPr>
      <t>3 points</t>
    </r>
    <r>
      <rPr>
        <sz val="12"/>
        <color rgb="FF002060"/>
        <rFont val="Times New Roman"/>
        <family val="1"/>
      </rPr>
      <t>)  Calculate the forecasted profit for CY 2027 for LOB A.</t>
    </r>
  </si>
  <si>
    <t xml:space="preserve">Projected earned premiums </t>
  </si>
  <si>
    <t>Projected claims plus LAE</t>
  </si>
  <si>
    <t>Projected fixed expenses</t>
  </si>
  <si>
    <t>Projected variable expenses</t>
  </si>
  <si>
    <r>
      <t>·</t>
    </r>
    <r>
      <rPr>
        <sz val="7"/>
        <color rgb="FF002060"/>
        <rFont val="Times New Roman"/>
        <family val="1"/>
      </rPr>
      <t xml:space="preserve">       </t>
    </r>
    <r>
      <rPr>
        <sz val="12"/>
        <color rgb="FF002060"/>
        <rFont val="Times New Roman"/>
        <family val="1"/>
      </rPr>
      <t>Premiums are written evenly throughout the year.</t>
    </r>
  </si>
  <si>
    <r>
      <t>·</t>
    </r>
    <r>
      <rPr>
        <sz val="7"/>
        <color rgb="FF002060"/>
        <rFont val="Times New Roman"/>
        <family val="1"/>
      </rPr>
      <t xml:space="preserve">       </t>
    </r>
    <r>
      <rPr>
        <sz val="12"/>
        <color rgb="FF002060"/>
        <rFont val="Times New Roman"/>
        <family val="1"/>
      </rPr>
      <t>All policies were written for 12-month terms.</t>
    </r>
  </si>
  <si>
    <r>
      <t>·</t>
    </r>
    <r>
      <rPr>
        <sz val="7"/>
        <color rgb="FF002060"/>
        <rFont val="Times New Roman"/>
        <family val="1"/>
      </rPr>
      <t xml:space="preserve">       </t>
    </r>
    <r>
      <rPr>
        <sz val="12"/>
        <color rgb="FF002060"/>
        <rFont val="Times New Roman"/>
        <family val="1"/>
      </rPr>
      <t>To increase the projected profit for CY 2027, a</t>
    </r>
  </si>
  <si>
    <t xml:space="preserve"> rate increase is planned to be effective for all policies written</t>
  </si>
  <si>
    <t xml:space="preserve"> or renewed on or after </t>
  </si>
  <si>
    <r>
      <t>(</t>
    </r>
    <r>
      <rPr>
        <i/>
        <sz val="12"/>
        <color rgb="FF002060"/>
        <rFont val="Times New Roman"/>
        <family val="1"/>
      </rPr>
      <t>2.5 points</t>
    </r>
    <r>
      <rPr>
        <sz val="12"/>
        <color rgb="FF002060"/>
        <rFont val="Times New Roman"/>
        <family val="1"/>
      </rPr>
      <t>)  Calculate the forecasted profit for CY 2027 for LOB B.</t>
    </r>
  </si>
  <si>
    <t>Your colleague has proposed reducing exposures in 2027 to reduce the combined ratio and underwriting loss.</t>
  </si>
  <si>
    <r>
      <t>(</t>
    </r>
    <r>
      <rPr>
        <i/>
        <sz val="12"/>
        <color rgb="FF002060"/>
        <rFont val="Times New Roman"/>
        <family val="1"/>
      </rPr>
      <t>0.5 points</t>
    </r>
    <r>
      <rPr>
        <sz val="12"/>
        <color rgb="FF002060"/>
        <rFont val="Times New Roman"/>
        <family val="1"/>
      </rPr>
      <t>)  Critique your colleague’s proposal.</t>
    </r>
  </si>
  <si>
    <t>Question 13</t>
  </si>
  <si>
    <t>Paid</t>
  </si>
  <si>
    <t>Reported</t>
  </si>
  <si>
    <t>Year (AY)</t>
  </si>
  <si>
    <t>Claims (000)</t>
  </si>
  <si>
    <t>The following data triangles are provided here for your reference, but the response for question 13 is to be provided in the Word document.</t>
  </si>
  <si>
    <t>Development Method</t>
  </si>
  <si>
    <t>Expected</t>
  </si>
  <si>
    <t>Bornhuetter Ferguson</t>
  </si>
  <si>
    <t>Method</t>
  </si>
  <si>
    <t>Question 14</t>
  </si>
  <si>
    <t>You are calculating premium trend factors for a 15% discount that some policyholders have received, and are given:</t>
  </si>
  <si>
    <t>Calendar Half-Year</t>
  </si>
  <si>
    <t>Proportion of Policyholders with 15% Discount</t>
  </si>
  <si>
    <t>2020-1</t>
  </si>
  <si>
    <t>2020-2</t>
  </si>
  <si>
    <t>2021-1</t>
  </si>
  <si>
    <t>2021-2</t>
  </si>
  <si>
    <t>2022-1</t>
  </si>
  <si>
    <t>2022-2</t>
  </si>
  <si>
    <t>2023-1</t>
  </si>
  <si>
    <t>2023-2</t>
  </si>
  <si>
    <t>2024-1</t>
  </si>
  <si>
    <t>2024-2</t>
  </si>
  <si>
    <r>
      <t>(</t>
    </r>
    <r>
      <rPr>
        <i/>
        <sz val="12"/>
        <color rgb="FF002060"/>
        <rFont val="Times New Roman"/>
        <family val="1"/>
      </rPr>
      <t>1.5 points</t>
    </r>
    <r>
      <rPr>
        <sz val="12"/>
        <color rgb="FF002060"/>
        <rFont val="Times New Roman"/>
        <family val="1"/>
      </rPr>
      <t>)  Recommend a semi-annual premium trend to account for changes in the proportion of policyholders with the 15% discount.  Justify your recommendation.</t>
    </r>
  </si>
  <si>
    <t>You are conducting a premium trend analysis for rates to be effective September 1, 2025 for one year.</t>
  </si>
  <si>
    <r>
      <t>(</t>
    </r>
    <r>
      <rPr>
        <i/>
        <sz val="12"/>
        <color rgb="FF002060"/>
        <rFont val="Times New Roman"/>
        <family val="1"/>
      </rPr>
      <t>1.5 points</t>
    </r>
    <r>
      <rPr>
        <sz val="12"/>
        <color rgb="FF002060"/>
        <rFont val="Times New Roman"/>
        <family val="1"/>
      </rPr>
      <t>)  Calculate the premium trend factor to use for 2022, using written premiums for the trending analysis and the trend recommended in part (a).</t>
    </r>
  </si>
  <si>
    <r>
      <t>i)</t>
    </r>
    <r>
      <rPr>
        <sz val="7"/>
        <color rgb="FF002060"/>
        <rFont val="Times New Roman"/>
        <family val="1"/>
      </rPr>
      <t xml:space="preserve">                </t>
    </r>
    <r>
      <rPr>
        <sz val="12"/>
        <color rgb="FF002060"/>
        <rFont val="Times New Roman"/>
        <family val="1"/>
      </rPr>
      <t>Total claims paid in calendar year (CY) 2024</t>
    </r>
  </si>
  <si>
    <r>
      <t>ii)</t>
    </r>
    <r>
      <rPr>
        <sz val="7"/>
        <color rgb="FF002060"/>
        <rFont val="Times New Roman"/>
        <family val="1"/>
      </rPr>
      <t>               </t>
    </r>
    <r>
      <rPr>
        <sz val="12"/>
        <color rgb="FF002060"/>
        <rFont val="Times New Roman"/>
        <family val="1"/>
      </rPr>
      <t>Total change in case estimates in CY 2024</t>
    </r>
  </si>
  <si>
    <t>Projected Ultimate Claims using Reported Claims</t>
  </si>
  <si>
    <r>
      <t>(</t>
    </r>
    <r>
      <rPr>
        <i/>
        <sz val="12"/>
        <color rgb="FF002060"/>
        <rFont val="Times New Roman"/>
        <family val="1"/>
      </rPr>
      <t>4.5 points</t>
    </r>
    <r>
      <rPr>
        <sz val="12"/>
        <color rgb="FF002060"/>
        <rFont val="Times New Roman"/>
        <family val="1"/>
      </rPr>
      <t xml:space="preserve">)  Calculate projected ultimate claims using cumulative paid claims.  Justify </t>
    </r>
    <r>
      <rPr>
        <b/>
        <i/>
        <sz val="12"/>
        <color rgb="FF002060"/>
        <rFont val="Times New Roman"/>
        <family val="1"/>
      </rPr>
      <t>all</t>
    </r>
    <r>
      <rPr>
        <sz val="12"/>
        <color rgb="FF002060"/>
        <rFont val="Times New Roman"/>
        <family val="1"/>
      </rPr>
      <t xml:space="preserve"> selections and use the algebraic method for the tail factor.</t>
    </r>
  </si>
  <si>
    <r>
      <t>·</t>
    </r>
    <r>
      <rPr>
        <sz val="7"/>
        <color rgb="FF002060"/>
        <rFont val="Times New Roman"/>
        <family val="1"/>
      </rPr>
      <t xml:space="preserve">       </t>
    </r>
    <r>
      <rPr>
        <sz val="12"/>
        <color rgb="FF002060"/>
        <rFont val="Times New Roman"/>
        <family val="1"/>
      </rPr>
      <t xml:space="preserve">The variable expense ratio from the 2025 budget should not be included in the consideration of the selected variable expense ratio because it is an outlier. </t>
    </r>
  </si>
  <si>
    <r>
      <t>(</t>
    </r>
    <r>
      <rPr>
        <i/>
        <sz val="12"/>
        <color rgb="FF002060"/>
        <rFont val="Times New Roman"/>
        <family val="1"/>
      </rPr>
      <t>1.5 points</t>
    </r>
    <r>
      <rPr>
        <sz val="12"/>
        <color rgb="FF002060"/>
        <rFont val="Times New Roman"/>
        <family val="1"/>
      </rPr>
      <t xml:space="preserve">)  Calculate the CY 2023 earned premiums for the </t>
    </r>
    <r>
      <rPr>
        <i/>
        <sz val="12"/>
        <color rgb="FF002060"/>
        <rFont val="Times New Roman"/>
        <family val="1"/>
      </rPr>
      <t>new</t>
    </r>
    <r>
      <rPr>
        <sz val="12"/>
        <color rgb="FF002060"/>
        <rFont val="Times New Roman"/>
        <family val="1"/>
      </rPr>
      <t xml:space="preserve"> policies written in CY 2023.</t>
    </r>
  </si>
  <si>
    <r>
      <t> </t>
    </r>
    <r>
      <rPr>
        <b/>
        <sz val="12"/>
        <color rgb="FF002060"/>
        <rFont val="Times New Roman"/>
        <family val="1"/>
      </rPr>
      <t>As of December 31, 2024</t>
    </r>
  </si>
  <si>
    <t>are</t>
  </si>
  <si>
    <r>
      <t>·</t>
    </r>
    <r>
      <rPr>
        <sz val="7"/>
        <color rgb="FF002060"/>
        <rFont val="Times New Roman"/>
        <family val="1"/>
      </rPr>
      <t xml:space="preserve">       </t>
    </r>
    <r>
      <rPr>
        <sz val="12"/>
        <color rgb="FF002060"/>
        <rFont val="Times New Roman"/>
        <family val="1"/>
      </rPr>
      <t>In-force exposures as of</t>
    </r>
  </si>
  <si>
    <r>
      <t>·</t>
    </r>
    <r>
      <rPr>
        <sz val="7"/>
        <color rgb="FF002060"/>
        <rFont val="Times New Roman"/>
        <family val="1"/>
      </rPr>
      <t>    </t>
    </r>
    <r>
      <rPr>
        <sz val="12"/>
        <color rgb="FF002060"/>
        <rFont val="Times New Roman"/>
        <family val="1"/>
      </rPr>
      <t xml:space="preserve">   Using November 1, 2024  in-force policies, expected claims from the earthquake catastrophe model are </t>
    </r>
  </si>
  <si>
    <t>You are given the following LOB B forecast information for 2027, before any rate adjustment:</t>
  </si>
  <si>
    <t>Projected Ultimate Claims (000)</t>
  </si>
  <si>
    <t>You are also analyzing a triangle of average paid claims, which is calculated as paid claims divided by closed counts.</t>
  </si>
  <si>
    <r>
      <t>·</t>
    </r>
    <r>
      <rPr>
        <sz val="7"/>
        <color rgb="FF002060"/>
        <rFont val="Times New Roman"/>
        <family val="1"/>
      </rPr>
      <t xml:space="preserve">       </t>
    </r>
    <r>
      <rPr>
        <sz val="12"/>
        <color rgb="FF002060"/>
        <rFont val="Times New Roman"/>
        <family val="1"/>
      </rPr>
      <t>All policies were written for 6-month policy terms</t>
    </r>
    <r>
      <rPr>
        <sz val="12"/>
        <color rgb="FF002060"/>
        <rFont val="Symbol"/>
        <family val="1"/>
        <charset val="2"/>
      </rPr>
      <t>.</t>
    </r>
  </si>
  <si>
    <t xml:space="preserve"> policies in force.</t>
  </si>
  <si>
    <r>
      <t>·</t>
    </r>
    <r>
      <rPr>
        <sz val="7"/>
        <color rgb="FF002060"/>
        <rFont val="Times New Roman"/>
        <family val="1"/>
      </rPr>
      <t xml:space="preserve">       </t>
    </r>
    <r>
      <rPr>
        <sz val="12"/>
        <color rgb="FF002060"/>
        <rFont val="Times New Roman"/>
        <family val="1"/>
      </rPr>
      <t>Every policy had an annualized premium of 1,200 as of December 31, 2022</t>
    </r>
    <r>
      <rPr>
        <sz val="12"/>
        <color rgb="FF002060"/>
        <rFont val="Symbol"/>
        <family val="1"/>
        <charset val="2"/>
      </rPr>
      <t>.</t>
    </r>
  </si>
  <si>
    <t xml:space="preserve"> of the policies in force on December 31, 2022 renewed in 2023.</t>
  </si>
  <si>
    <r>
      <t>·</t>
    </r>
    <r>
      <rPr>
        <sz val="7"/>
        <color rgb="FF002060"/>
        <rFont val="Times New Roman"/>
        <family val="1"/>
      </rPr>
      <t xml:space="preserve">       </t>
    </r>
    <r>
      <rPr>
        <sz val="12"/>
        <color rgb="FF002060"/>
        <rFont val="Times New Roman"/>
        <family val="1"/>
      </rPr>
      <t>All policies written or renewed after December 31, 2022 were written for 12-month policy terms.</t>
    </r>
  </si>
  <si>
    <t xml:space="preserve"> new policies were written in 2023.</t>
  </si>
  <si>
    <t>Any two of the following are acceptable (others are possible):</t>
  </si>
  <si>
    <r>
      <t>·</t>
    </r>
    <r>
      <rPr>
        <sz val="7"/>
        <color theme="1"/>
        <rFont val="Times New Roman"/>
        <family val="1"/>
      </rPr>
      <t xml:space="preserve">       </t>
    </r>
    <r>
      <rPr>
        <sz val="12"/>
        <color theme="1"/>
        <rFont val="Times New Roman"/>
        <family val="1"/>
      </rPr>
      <t>to review the reasonableness of management’s assertions regarding company operations</t>
    </r>
  </si>
  <si>
    <r>
      <t>·</t>
    </r>
    <r>
      <rPr>
        <sz val="7"/>
        <color theme="1"/>
        <rFont val="Times New Roman"/>
        <family val="1"/>
      </rPr>
      <t xml:space="preserve">       </t>
    </r>
    <r>
      <rPr>
        <sz val="12"/>
        <color theme="1"/>
        <rFont val="Times New Roman"/>
        <family val="1"/>
      </rPr>
      <t>to determine if the qualitative information gathered is consistent with patterns observed in the quantitative data.</t>
    </r>
  </si>
  <si>
    <r>
      <t>·</t>
    </r>
    <r>
      <rPr>
        <sz val="7"/>
        <color theme="1"/>
        <rFont val="Times New Roman"/>
        <family val="1"/>
      </rPr>
      <t xml:space="preserve">       </t>
    </r>
    <r>
      <rPr>
        <sz val="12"/>
        <color theme="1"/>
        <rFont val="Times New Roman"/>
        <family val="1"/>
      </rPr>
      <t>help identify the need for additional data and information.</t>
    </r>
  </si>
  <si>
    <r>
      <t>·</t>
    </r>
    <r>
      <rPr>
        <sz val="7"/>
        <color theme="1"/>
        <rFont val="Times New Roman"/>
        <family val="1"/>
      </rPr>
      <t xml:space="preserve">       </t>
    </r>
    <r>
      <rPr>
        <sz val="12"/>
        <color theme="1"/>
        <rFont val="Times New Roman"/>
        <family val="1"/>
      </rPr>
      <t>provides an excellent means for the documentation required about the data and information gathering phase of actuarial work</t>
    </r>
  </si>
  <si>
    <t>For ratio of paid to reported claims, expect ratios to be consistent (i.e., the same value) down each column.</t>
  </si>
  <si>
    <t>For ratio of closed to reported counts, expect ratios to be consistent (i.e., the same value) down each column.</t>
  </si>
  <si>
    <t>Change in Ratios of Paid to Reported Claims</t>
  </si>
  <si>
    <t>Change in Ratios of Closed to Reported Counts</t>
  </si>
  <si>
    <t>Conclusion: A possible change in the most recent 1 (or 2) diagonals, therefore this diagnostic test likely does indicate an unstable line of business.</t>
  </si>
  <si>
    <t>This triangle can help give insight about potential changes in settlement processes.</t>
  </si>
  <si>
    <t>The partial payments would need to be removed from the numerator.</t>
  </si>
  <si>
    <t>Conclusion: There is no clear indication of anything unstable, so this diagnostic likely suggests a stable line of business.</t>
  </si>
  <si>
    <t>(i) CY 2024 paid claims:</t>
  </si>
  <si>
    <t>As claim files close, case estimates are released, which decreases the outstanding amounts creating a negative change.</t>
  </si>
  <si>
    <t>Open claim files could increase their case estimates for an amount that is greater than any release of case estimates from closing claim files or from payments made on open files.</t>
  </si>
  <si>
    <t>AY</t>
  </si>
  <si>
    <t>Simple 3</t>
  </si>
  <si>
    <t>Simple All</t>
  </si>
  <si>
    <t>Vol Wtd 5</t>
  </si>
  <si>
    <t>Vol Wtd All</t>
  </si>
  <si>
    <t>Medial All</t>
  </si>
  <si>
    <t>Selected</t>
  </si>
  <si>
    <t>Age-to-84:</t>
  </si>
  <si>
    <t>Algebraic Method for Paid Claims Tail Factor:</t>
  </si>
  <si>
    <t>Ultimate</t>
  </si>
  <si>
    <t>Paid Dev.</t>
  </si>
  <si>
    <t>Implied</t>
  </si>
  <si>
    <t>Rep. Claims</t>
  </si>
  <si>
    <t>Claims</t>
  </si>
  <si>
    <t>Tail Factor</t>
  </si>
  <si>
    <t>Average</t>
  </si>
  <si>
    <t>Age-to-ult:</t>
  </si>
  <si>
    <t>12-24</t>
  </si>
  <si>
    <t>24-36</t>
  </si>
  <si>
    <t>36-48</t>
  </si>
  <si>
    <t>48-60</t>
  </si>
  <si>
    <t>60-72</t>
  </si>
  <si>
    <t>72-84</t>
  </si>
  <si>
    <t>Age-to-age development factors</t>
  </si>
  <si>
    <t>Justification: Not much volatility, so average of all 3 years is reasonable.</t>
  </si>
  <si>
    <t>84-ult</t>
  </si>
  <si>
    <t>Ultimate Claims from Paid Claims</t>
  </si>
  <si>
    <t>Age-to-ult. Factor</t>
  </si>
  <si>
    <t>Justification:</t>
  </si>
  <si>
    <t>For 12-24 and 24-36 months, use medial average to remove the effect of the outlier.</t>
  </si>
  <si>
    <t>For all other development periods, use simple all years average due to fewer observations.</t>
  </si>
  <si>
    <t>CY 2024 change in case estimates:</t>
  </si>
  <si>
    <t>Dev. to 84</t>
  </si>
  <si>
    <t>Fac. to 84</t>
  </si>
  <si>
    <t>Variable</t>
  </si>
  <si>
    <t>As a % of Earned Premiums</t>
  </si>
  <si>
    <t>Commission and Premium Tax Expense Ratio</t>
  </si>
  <si>
    <t>Total Variable Expense Ratio</t>
  </si>
  <si>
    <t>Co-worker recommendation:</t>
  </si>
  <si>
    <t>Commission ratios are generally based on budgets because of the prospective nature of ratemaking.</t>
  </si>
  <si>
    <t>All years average for variable general expenses likely understates what is expected in the future (older years much lower and budget ratio is higher).</t>
  </si>
  <si>
    <t>Exposures much lower for 2025 budget, so should give more consideration for those ratios as there could be a change in the line of business that the past might not capture.</t>
  </si>
  <si>
    <t>Therefore, the co-worker's recommendation is not preferred.</t>
  </si>
  <si>
    <t xml:space="preserve">  - The reporting and payment patterns are changing for indemnity and ALAE </t>
  </si>
  <si>
    <t xml:space="preserve">  - Inconsistent (or changes) in the volume relationship to one another over time.</t>
  </si>
  <si>
    <t xml:space="preserve">  - Changes in the insurer's practices for setting case estimates (for indemnity or ALAE).</t>
  </si>
  <si>
    <t xml:space="preserve">  - ALAE is a significant portion of the claim, e.g., ALAE can be larger than indemnity in legal liability claims.</t>
  </si>
  <si>
    <t>Any two of the following are acceptable:</t>
  </si>
  <si>
    <t>Pure Premium</t>
  </si>
  <si>
    <t>Trend Factors</t>
  </si>
  <si>
    <t>Trended Pure Premium</t>
  </si>
  <si>
    <t>A vs. E difference is reasonable or unreasonable. (Grading is based on knowing how to test for reasonableness and not the conclusion itself which could go either way)</t>
  </si>
  <si>
    <t>2024 ultimate ALAE</t>
  </si>
  <si>
    <t>AY 2024 expected ultimate ALAE to ultimate claim ratio</t>
  </si>
  <si>
    <t>IBNR Factor</t>
  </si>
  <si>
    <t xml:space="preserve">AY 2024 Bornhuetter Ferguson ultimate ALAE ratio </t>
  </si>
  <si>
    <t xml:space="preserve">Actual reported ALAE ratio </t>
  </si>
  <si>
    <t>Expected ultimate ALAE ratio</t>
  </si>
  <si>
    <t xml:space="preserve">Expected percent reported </t>
  </si>
  <si>
    <t>Expected reported ALAE ratio</t>
  </si>
  <si>
    <t>Actual minus expected difference</t>
  </si>
  <si>
    <t>Difference as a percent of expected ultimate ALAE ratio</t>
  </si>
  <si>
    <t>AY 2024 expected ultimate claims</t>
  </si>
  <si>
    <t>AY 2024 ult ALAE ratio from BF method</t>
  </si>
  <si>
    <t>AY 2024 Ultimate ALAE</t>
  </si>
  <si>
    <t>AY 2024 Actual Reported ALAE</t>
  </si>
  <si>
    <t xml:space="preserve">AY 2024 ALAE IBNR </t>
  </si>
  <si>
    <t xml:space="preserve">  A</t>
  </si>
  <si>
    <t>B</t>
  </si>
  <si>
    <t>C</t>
  </si>
  <si>
    <t>Policies written in area B in 2023 (these were policies expiring between Jan 1/23 and June 30/23 as these policies were all 6-month policy terms):</t>
  </si>
  <si>
    <t xml:space="preserve">  (premium increase takes effect on July 1, and the last policy to expire in 2023 renews on June 30)</t>
  </si>
  <si>
    <t>Policies earned in area B in 2023:</t>
  </si>
  <si>
    <t>Total area of the parallelogram B in 2023 &amp; 2024:</t>
  </si>
  <si>
    <t>Part of parallelogram B in 2023 only:</t>
  </si>
  <si>
    <t>% of B that's in 2023 only:</t>
  </si>
  <si>
    <t>Policies written before</t>
  </si>
  <si>
    <t>Policies written after</t>
  </si>
  <si>
    <t>Unearned premiums from renewal policies:</t>
  </si>
  <si>
    <t>% unearned as of Dec. 31, 2023</t>
  </si>
  <si>
    <t>Unearned premiums as of Dec. 31, 2023</t>
  </si>
  <si>
    <t>Unearned premiums from new policies written in 2023:</t>
  </si>
  <si>
    <t>Need both the rate change to adjust to current levels.</t>
  </si>
  <si>
    <t>{need to include the UEP @ Dec 31, 2022 in the 2023 EP}</t>
  </si>
  <si>
    <t>Newly written policies in 2023 written before July 1, 2023:</t>
  </si>
  <si>
    <t>Newly written policies in 2023 written on or after July 1, 2023:</t>
  </si>
  <si>
    <t>Need just the 2024 the rate change to adjust to current levels.</t>
  </si>
  <si>
    <t>Total 2023 EP at current rate levels</t>
  </si>
  <si>
    <t>Annual premium for all policies that renew:</t>
  </si>
  <si>
    <t>Percent of policies that renew:</t>
  </si>
  <si>
    <t>Written premiums:</t>
  </si>
  <si>
    <t>Written premiums (from part (a)):</t>
  </si>
  <si>
    <t xml:space="preserve">Written premiums </t>
  </si>
  <si>
    <t>Written premiums before the rate change</t>
  </si>
  <si>
    <t>Written premiums after the rate change</t>
  </si>
  <si>
    <t>Total unearned premiums as of Dec. 31, 2023:</t>
  </si>
  <si>
    <t>Policies earned in 2023 from the policies in force and renewed in 2023:</t>
  </si>
  <si>
    <t>Need to adjust for the one-time cost in CY2022. Can either remove from paid ULAE in the ratios, or ignore that year's ratio in selecting the ratio to use.</t>
  </si>
  <si>
    <t>Removing the cost:</t>
  </si>
  <si>
    <t>CY</t>
  </si>
  <si>
    <t>Ratio</t>
  </si>
  <si>
    <t>Selected Ratio:</t>
  </si>
  <si>
    <t>Rationale: Increasing ratios, so take average of more recent 2 years.</t>
  </si>
  <si>
    <t>Calculations</t>
  </si>
  <si>
    <t>@ Dec 31, 2024</t>
  </si>
  <si>
    <t>Case</t>
  </si>
  <si>
    <t>Total IBNR</t>
  </si>
  <si>
    <t>IBNER</t>
  </si>
  <si>
    <t>Component:</t>
  </si>
  <si>
    <t>Multiplier</t>
  </si>
  <si>
    <t>Unpaid ULAE</t>
  </si>
  <si>
    <t>- Long-Tail lines of business.</t>
  </si>
  <si>
    <t>- Changing exposure volume.</t>
  </si>
  <si>
    <t>- When large claims result in significant distortions to the CY paid and reported claims from year to year.</t>
  </si>
  <si>
    <t>- Sparse or volatile data. OR Where there are few claims paid or reported per year with great variability in the average claim value. OR Low frequency and highly variable severity</t>
  </si>
  <si>
    <t>- A relatively new insurer who does not have a significant volume of credible paid or reported claims.</t>
  </si>
  <si>
    <t>The classical paid-to-paid method overestimates the unpaid ULAE for a growing company in an inflationary environment.</t>
  </si>
  <si>
    <t>The weakness in part (b) occurs because the numerator of the paid-to-paid ratio is more reactive to the increasing exposure than the denominator.</t>
  </si>
  <si>
    <t>To estimate the overall frequency of these events, as well as the frequency of the key defining characteristics of these events.</t>
  </si>
  <si>
    <t>Mid point of future rating period:</t>
  </si>
  <si>
    <t>There could be post-even inflation or demand surge that causes the catastrophe trend to be higher.</t>
  </si>
  <si>
    <t>Exposure trend period (months): November 1, 2024 to March 1, 2025</t>
  </si>
  <si>
    <t>Severity trend period (months): March 1, 2025 to September 1, 2026</t>
  </si>
  <si>
    <t>Other affiliated insurers, so long as there are similar policies with respect to underwriting, claim management and reinsurance.</t>
  </si>
  <si>
    <t>Combine with regional or countrywide experience, but review differences in regulatory/legal environment such as statutes of limitations, caps on damages etc.</t>
  </si>
  <si>
    <t>Year-to-year change</t>
  </si>
  <si>
    <t>Average (all years)</t>
  </si>
  <si>
    <t>Fitted:</t>
  </si>
  <si>
    <t>Selected:</t>
  </si>
  <si>
    <t>Justification: Due to volatility, select average of all years.</t>
  </si>
  <si>
    <t>Lower limits would have a lower severity trend</t>
  </si>
  <si>
    <t>This is because some claims between 300,000 and 500,000 would get no increase for the company book of business while they would get higher than 0% trend with industry data.</t>
  </si>
  <si>
    <t>Industry Incremental Paid Severity at 2024 Cost Level</t>
  </si>
  <si>
    <t>Average:</t>
  </si>
  <si>
    <t>LOB A Incremental Closed Counts</t>
  </si>
  <si>
    <t>First, need to estimate ultimate counts for LOB A using industry age-to-ultimate factors:</t>
  </si>
  <si>
    <t>Closed Counts to Date</t>
  </si>
  <si>
    <t>Age-to-Ult Factor</t>
  </si>
  <si>
    <t>Ultimate Counts</t>
  </si>
  <si>
    <t>Incremental Paid Severity</t>
  </si>
  <si>
    <t>Incremental Paid Claims</t>
  </si>
  <si>
    <t>Total Unpaid</t>
  </si>
  <si>
    <t>Exposure trend:</t>
  </si>
  <si>
    <t>Severity trend:</t>
  </si>
  <si>
    <t>Trended modeled catastrophe claims:</t>
  </si>
  <si>
    <t>Trended exposures:</t>
  </si>
  <si>
    <t>The expected claims should be directly proportional to the exposure base.</t>
  </si>
  <si>
    <t>The exposure base should be easy to measure.</t>
  </si>
  <si>
    <t>Pure Premium Trend:</t>
  </si>
  <si>
    <t>Expected % Developed</t>
  </si>
  <si>
    <t>Exposure Trend</t>
  </si>
  <si>
    <t>Used-Up Earned Exposures</t>
  </si>
  <si>
    <t>Pure Premium Trend</t>
  </si>
  <si>
    <t>Adjusted Claims</t>
  </si>
  <si>
    <t>Expected Claims</t>
  </si>
  <si>
    <t>Projected Ultimate Claims</t>
  </si>
  <si>
    <t>Adjusted expected pure premium:</t>
  </si>
  <si>
    <t>Commentary on Question:</t>
  </si>
  <si>
    <t xml:space="preserve">Inflation sensitive exposures work the same way as the claim ratio that adjusts premiums to on-level. </t>
  </si>
  <si>
    <t>Trend</t>
  </si>
  <si>
    <t>Average annual premium</t>
  </si>
  <si>
    <t>Rate Level</t>
  </si>
  <si>
    <t>% at rate level in CY 2027</t>
  </si>
  <si>
    <t>Variable expense ratio:</t>
  </si>
  <si>
    <t xml:space="preserve">Fixed expenses </t>
  </si>
  <si>
    <t>As a % of premium:</t>
  </si>
  <si>
    <t xml:space="preserve">Reducing exposures does not impact the combined ratio, but it will reduce the underwriting loss. </t>
  </si>
  <si>
    <t># of months remaining in 2026</t>
  </si>
  <si>
    <t>Starting with the current rates (i.e., the 2024 rate level) being a factor of 1, earned premiums for new policies written on or after the rate change date will be at the higher premium.</t>
  </si>
  <si>
    <t>Therefore, this works just like an on-level calculation, where the average rate level for CY2027 is multiplied by the 2027 earned premiums that exclude any rate adjustment.</t>
  </si>
  <si>
    <t>Fixed expenses</t>
  </si>
  <si>
    <t xml:space="preserve">Variable expenses </t>
  </si>
  <si>
    <t xml:space="preserve">Profit </t>
  </si>
  <si>
    <t>Variable expenses</t>
  </si>
  <si>
    <t>Projected total premium</t>
  </si>
  <si>
    <t>Projected total claims and LAE</t>
  </si>
  <si>
    <t>Forecasted earned exposures</t>
  </si>
  <si>
    <t>Pure premium</t>
  </si>
  <si>
    <t xml:space="preserve">Projected total claims &amp; ALAE </t>
  </si>
  <si>
    <t xml:space="preserve">Projected total claims, ALAE, &amp; ULAE </t>
  </si>
  <si>
    <t>Average Discount Factor</t>
  </si>
  <si>
    <t>Semi-Annual Change</t>
  </si>
  <si>
    <t>Discount:</t>
  </si>
  <si>
    <t>Selected semi-annual trend:</t>
  </si>
  <si>
    <t>Justification: average of all semi-annual periods after 2022-1 as there appears to have been a change since then.</t>
  </si>
  <si>
    <t>Rates to be effective:</t>
  </si>
  <si>
    <t>Average written date in CY2022</t>
  </si>
  <si>
    <t>Average written date in future rating period</t>
  </si>
  <si>
    <t>Trending Period (months)</t>
  </si>
  <si>
    <t>Trending Period (years)</t>
  </si>
  <si>
    <t>Annualized trend:</t>
  </si>
  <si>
    <t xml:space="preserve"> {Halfway through the period the rates are effective as it's written and not earned.}</t>
  </si>
  <si>
    <t>Premium trend factor:</t>
  </si>
  <si>
    <t>Earned premium:</t>
  </si>
  <si>
    <t>Precent earned in 2023</t>
  </si>
  <si>
    <t>Earned premiums</t>
  </si>
  <si>
    <t>Percent earned in 2023</t>
  </si>
  <si>
    <t>Total earned premiums</t>
  </si>
  <si>
    <t>(ii) CY 2024 incremental reported:</t>
  </si>
  <si>
    <t>Exposure trend period (months): November 1, 2024 to September 1, 2026</t>
  </si>
  <si>
    <t>3. Pure premium:</t>
  </si>
  <si>
    <t>2. Trend exposures from the date of in-force exposures to the midpoint of the future rating period:</t>
  </si>
  <si>
    <t>1. Trend the modeled catastrophe claims from the date of in-force exposures to the midpoint of the future rating period:</t>
  </si>
  <si>
    <t>Some candidates misunderstood that the parallelogram approach is an approximation, and it assumes that policies are written and earned evenly throughout the year.  CY 2023 had both 6-month and 12-month policies earned as well as uneven written policies and therefore did not have policies written and earned evenly throughout the calendar year.  As a result the parallelogram approach is not an accurate approximation in this case.  However, an approximation is not needed in this case as the CY 2023 earned premiums can be directly calculated for each earned premium component by multiplying by the subsequent rate changes.</t>
  </si>
  <si>
    <t>Alternative approaches: There are other possible approaches that can be used to get the correct answer.</t>
  </si>
  <si>
    <t>Trend the claim &amp; ALAE ratio to estimate projected total claims &amp; ALAE:</t>
  </si>
  <si>
    <t>Claim ratio trend</t>
  </si>
  <si>
    <t>Trended claim &amp; ALAE ratio</t>
  </si>
  <si>
    <t>The rest of the solution follows as per the first approach.</t>
  </si>
  <si>
    <t>Calculate profit as a ratio to premium, then profit = ratio × projected total premium</t>
  </si>
  <si>
    <t>Trended claim ratio, including ULAE &amp; ALAE</t>
  </si>
  <si>
    <t>Fixed expense ratio</t>
  </si>
  <si>
    <t>Variable expense ratio</t>
  </si>
  <si>
    <t>Profit as a % of premium</t>
  </si>
  <si>
    <t>Profit amount</t>
  </si>
  <si>
    <t>Calculate profit per exposure and multiply by projeced exposures to calculate profit</t>
  </si>
  <si>
    <t xml:space="preserve">Pure premium with ALAE </t>
  </si>
  <si>
    <t xml:space="preserve">Pure premium with ULAE </t>
  </si>
  <si>
    <t>Fixed expenses per exposure</t>
  </si>
  <si>
    <t xml:space="preserve">Variable expenses per exposure </t>
  </si>
  <si>
    <t>Profit per exposure</t>
  </si>
  <si>
    <t>Total ptofit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</si>
</sst>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0.0%"/>
    <numFmt numFmtId="165" formatCode="0.000"/>
    <numFmt numFmtId="166" formatCode="mmmm\ d\,\ yyyy"/>
    <numFmt numFmtId="167" formatCode="#,##0.000"/>
    <numFmt numFmtId="168" formatCode="0.0000"/>
    <numFmt numFmtId="169" formatCode="_(* #,##0_);_(* \(#,##0\);_(* &quot;-&quot;??_);_(@_)"/>
    <numFmt numFmtId="170" formatCode="0.00000"/>
    <numFmt numFmtId="171" formatCode="_(* #,##0.000_);_(* \(#,##0.000\);_(* &quot;-&quot;??_);_(@_)"/>
    <numFmt numFmtId="172" formatCode="#,##0.0000_);\(#,##0.0000\)"/>
    <numFmt numFmtId="173" formatCode="0.000%"/>
    <numFmt numFmtId="174" formatCode="mmm\.\ d\,\ yyyy"/>
  </numFmts>
  <fonts count="25" x14ac:knownFonts="1">
    <font>
      <sz val="11"/>
      <color theme="1"/>
      <name val="Calibri"/>
      <family val="2"/>
      <scheme val="minor"/>
    </font>
    <font>
      <sz val="12"/>
      <color rgb="FF002060"/>
      <name val="Times New Roman"/>
      <family val="1"/>
    </font>
    <font>
      <sz val="12"/>
      <color theme="1"/>
      <name val="Times New Roman"/>
      <family val="1"/>
    </font>
    <font>
      <b/>
      <sz val="14"/>
      <color rgb="FF002060"/>
      <name val="Times New Roman"/>
      <family val="1"/>
    </font>
    <font>
      <i/>
      <sz val="12"/>
      <color rgb="FF002060"/>
      <name val="Times New Roman"/>
      <family val="1"/>
    </font>
    <font>
      <sz val="12"/>
      <name val="Times New Roman"/>
      <family val="1"/>
    </font>
    <font>
      <b/>
      <i/>
      <sz val="12"/>
      <color rgb="FF002060"/>
      <name val="Times New Roman"/>
      <family val="1"/>
    </font>
    <font>
      <b/>
      <sz val="12"/>
      <color rgb="FF002060"/>
      <name val="Times New Roman"/>
      <family val="1"/>
    </font>
    <font>
      <sz val="12"/>
      <color rgb="FF002060"/>
      <name val="Symbol"/>
      <family val="1"/>
      <charset val="2"/>
    </font>
    <font>
      <sz val="7"/>
      <color rgb="FF002060"/>
      <name val="Times New Roman"/>
      <family val="1"/>
    </font>
    <font>
      <b/>
      <sz val="11"/>
      <color rgb="FF002060"/>
      <name val="Times New Roman"/>
      <family val="1"/>
    </font>
    <font>
      <sz val="11"/>
      <color rgb="FF002060"/>
      <name val="Times New Roman"/>
      <family val="1"/>
    </font>
    <font>
      <sz val="11"/>
      <color rgb="FF002060"/>
      <name val="Calibri"/>
      <family val="2"/>
    </font>
    <font>
      <sz val="11"/>
      <color rgb="FF002060"/>
      <name val="Calibri"/>
      <family val="2"/>
      <scheme val="minor"/>
    </font>
    <font>
      <sz val="12"/>
      <color rgb="FF002060"/>
      <name val="Courier New"/>
      <family val="3"/>
    </font>
    <font>
      <sz val="11"/>
      <color theme="1"/>
      <name val="Calibri"/>
      <family val="2"/>
      <scheme val="minor"/>
    </font>
    <font>
      <sz val="12"/>
      <color theme="1"/>
      <name val="Symbol"/>
      <family val="1"/>
      <charset val="2"/>
    </font>
    <font>
      <sz val="7"/>
      <color theme="1"/>
      <name val="Times New Roman"/>
      <family val="1"/>
    </font>
    <font>
      <sz val="11"/>
      <name val="Calibri"/>
      <family val="2"/>
      <scheme val="minor"/>
    </font>
    <font>
      <i/>
      <sz val="12"/>
      <name val="Times New Roman"/>
      <family val="1"/>
    </font>
    <font>
      <b/>
      <sz val="12"/>
      <color rgb="FF00B050"/>
      <name val="Times New Roman"/>
      <family val="1"/>
    </font>
    <font>
      <sz val="11"/>
      <color rgb="FF00B050"/>
      <name val="Calibri"/>
      <family val="2"/>
      <scheme val="minor"/>
    </font>
    <font>
      <b/>
      <sz val="12"/>
      <color theme="1"/>
      <name val="Times New Roman"/>
      <family val="1"/>
    </font>
    <font>
      <i/>
      <sz val="12"/>
      <color theme="1"/>
      <name val="Times New Roman"/>
      <family val="1"/>
    </font>
    <font>
      <b/>
      <sz val="12"/>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0"/>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s>
  <cellStyleXfs count="3">
    <xf numFmtId="0" fontId="0" fillId="0" borderId="0"/>
    <xf numFmtId="9" fontId="15" fillId="0" borderId="0" applyFont="0" applyFill="0" applyBorder="0" applyAlignment="0" applyProtection="0"/>
    <xf numFmtId="43" fontId="15" fillId="0" borderId="0" applyFont="0" applyFill="0" applyBorder="0" applyAlignment="0" applyProtection="0"/>
  </cellStyleXfs>
  <cellXfs count="211">
    <xf numFmtId="0" fontId="0" fillId="0" borderId="0" xfId="0"/>
    <xf numFmtId="0" fontId="2" fillId="0" borderId="0" xfId="0" applyFont="1"/>
    <xf numFmtId="0" fontId="3" fillId="3" borderId="0" xfId="0" applyFont="1" applyFill="1"/>
    <xf numFmtId="0" fontId="2" fillId="3" borderId="0" xfId="0" applyFont="1" applyFill="1"/>
    <xf numFmtId="0" fontId="1" fillId="3" borderId="0" xfId="0" applyFont="1" applyFill="1"/>
    <xf numFmtId="0" fontId="1" fillId="3" borderId="0" xfId="0" quotePrefix="1" applyFont="1" applyFill="1" applyAlignment="1">
      <alignment vertical="center"/>
    </xf>
    <xf numFmtId="0" fontId="5" fillId="0" borderId="0" xfId="0" applyFont="1"/>
    <xf numFmtId="0" fontId="1" fillId="0" borderId="0" xfId="0" applyFont="1"/>
    <xf numFmtId="0" fontId="1" fillId="2" borderId="0" xfId="0" applyFont="1" applyFill="1"/>
    <xf numFmtId="0" fontId="1" fillId="3" borderId="0" xfId="0" quotePrefix="1" applyFont="1" applyFill="1"/>
    <xf numFmtId="0" fontId="6" fillId="3" borderId="0" xfId="0" applyFont="1" applyFill="1"/>
    <xf numFmtId="0" fontId="6" fillId="0" borderId="0" xfId="0" applyFont="1"/>
    <xf numFmtId="0" fontId="2" fillId="2" borderId="0" xfId="0" applyFont="1" applyFill="1"/>
    <xf numFmtId="0" fontId="1" fillId="2" borderId="0" xfId="0" applyFont="1" applyFill="1" applyAlignment="1">
      <alignment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9" xfId="0" applyFont="1" applyFill="1" applyBorder="1" applyAlignment="1">
      <alignment horizontal="center" vertical="center"/>
    </xf>
    <xf numFmtId="0" fontId="1" fillId="2" borderId="9" xfId="0" applyFont="1" applyFill="1" applyBorder="1" applyAlignment="1">
      <alignment horizontal="center" vertical="center"/>
    </xf>
    <xf numFmtId="0" fontId="8" fillId="2" borderId="0" xfId="0" applyFont="1" applyFill="1" applyAlignment="1">
      <alignment vertical="center"/>
    </xf>
    <xf numFmtId="0" fontId="1" fillId="2" borderId="0" xfId="0" quotePrefix="1" applyFont="1" applyFill="1"/>
    <xf numFmtId="0" fontId="1" fillId="2" borderId="12" xfId="0" applyFont="1" applyFill="1" applyBorder="1" applyAlignment="1">
      <alignment horizontal="center" vertical="center"/>
    </xf>
    <xf numFmtId="0" fontId="10" fillId="2" borderId="9" xfId="0" applyFont="1" applyFill="1" applyBorder="1" applyAlignment="1">
      <alignment horizontal="center" vertical="center"/>
    </xf>
    <xf numFmtId="3" fontId="11" fillId="2" borderId="9" xfId="0" applyNumberFormat="1" applyFont="1" applyFill="1" applyBorder="1" applyAlignment="1">
      <alignment horizontal="center" vertical="center"/>
    </xf>
    <xf numFmtId="0" fontId="11" fillId="2" borderId="9" xfId="0" applyFont="1" applyFill="1" applyBorder="1" applyAlignment="1">
      <alignment horizontal="center" vertical="center"/>
    </xf>
    <xf numFmtId="0" fontId="12" fillId="2" borderId="9" xfId="0" applyFont="1" applyFill="1" applyBorder="1" applyAlignment="1">
      <alignment vertical="center"/>
    </xf>
    <xf numFmtId="0" fontId="1" fillId="2" borderId="0" xfId="0" quotePrefix="1" applyFont="1" applyFill="1" applyAlignment="1">
      <alignment vertical="center"/>
    </xf>
    <xf numFmtId="0" fontId="1" fillId="2" borderId="0" xfId="0" applyFont="1" applyFill="1" applyAlignment="1">
      <alignment horizontal="left" vertical="center"/>
    </xf>
    <xf numFmtId="3" fontId="1" fillId="2" borderId="9" xfId="0" applyNumberFormat="1" applyFont="1" applyFill="1" applyBorder="1" applyAlignment="1">
      <alignment horizontal="center" vertical="center"/>
    </xf>
    <xf numFmtId="0" fontId="7" fillId="2" borderId="9" xfId="0" applyFont="1" applyFill="1" applyBorder="1" applyAlignment="1">
      <alignment horizontal="center" vertical="center" wrapText="1"/>
    </xf>
    <xf numFmtId="0" fontId="1" fillId="2" borderId="0" xfId="0" applyFont="1" applyFill="1" applyAlignment="1">
      <alignment horizontal="center"/>
    </xf>
    <xf numFmtId="0" fontId="7" fillId="2" borderId="9" xfId="0" applyFont="1" applyFill="1" applyBorder="1" applyAlignment="1">
      <alignment horizontal="center" wrapText="1"/>
    </xf>
    <xf numFmtId="0" fontId="8" fillId="2" borderId="0" xfId="0" applyFont="1" applyFill="1" applyAlignment="1">
      <alignment horizontal="left" vertical="center"/>
    </xf>
    <xf numFmtId="9" fontId="1" fillId="2" borderId="9" xfId="0" applyNumberFormat="1" applyFont="1" applyFill="1" applyBorder="1" applyAlignment="1">
      <alignment horizontal="center"/>
    </xf>
    <xf numFmtId="9" fontId="8" fillId="2" borderId="9" xfId="0" applyNumberFormat="1" applyFont="1" applyFill="1" applyBorder="1" applyAlignment="1">
      <alignment horizontal="center" vertical="center"/>
    </xf>
    <xf numFmtId="164" fontId="1" fillId="2" borderId="9" xfId="0" applyNumberFormat="1" applyFont="1" applyFill="1" applyBorder="1" applyAlignment="1">
      <alignment horizontal="center"/>
    </xf>
    <xf numFmtId="3" fontId="1" fillId="2" borderId="9" xfId="0" applyNumberFormat="1" applyFont="1" applyFill="1" applyBorder="1" applyAlignment="1">
      <alignment horizontal="center"/>
    </xf>
    <xf numFmtId="0" fontId="1" fillId="2" borderId="9" xfId="0" applyFont="1" applyFill="1" applyBorder="1" applyAlignment="1">
      <alignment horizontal="center"/>
    </xf>
    <xf numFmtId="165" fontId="1" fillId="2" borderId="9" xfId="0" applyNumberFormat="1" applyFont="1" applyFill="1" applyBorder="1" applyAlignment="1">
      <alignment horizontal="center"/>
    </xf>
    <xf numFmtId="0" fontId="13" fillId="2" borderId="0" xfId="0" applyFont="1" applyFill="1" applyAlignment="1">
      <alignment horizontal="left"/>
    </xf>
    <xf numFmtId="0" fontId="14" fillId="2" borderId="0" xfId="0" applyFont="1" applyFill="1" applyAlignment="1">
      <alignment vertical="center"/>
    </xf>
    <xf numFmtId="9" fontId="1" fillId="2" borderId="9" xfId="0" applyNumberFormat="1" applyFont="1" applyFill="1" applyBorder="1" applyAlignment="1">
      <alignment horizontal="center" vertical="center" wrapText="1"/>
    </xf>
    <xf numFmtId="166" fontId="1" fillId="2" borderId="9" xfId="0" applyNumberFormat="1" applyFont="1" applyFill="1" applyBorder="1" applyAlignment="1">
      <alignment horizontal="center" vertical="center" wrapText="1"/>
    </xf>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6" fillId="3" borderId="0" xfId="0" applyFont="1" applyFill="1" applyAlignment="1">
      <alignment wrapText="1"/>
    </xf>
    <xf numFmtId="3" fontId="7" fillId="2" borderId="9" xfId="0" applyNumberFormat="1" applyFont="1" applyFill="1" applyBorder="1" applyAlignment="1">
      <alignment horizontal="center" vertical="center"/>
    </xf>
    <xf numFmtId="0" fontId="1" fillId="2" borderId="9" xfId="0" applyFont="1" applyFill="1" applyBorder="1" applyAlignment="1">
      <alignment horizontal="center" vertical="center" wrapText="1"/>
    </xf>
    <xf numFmtId="3" fontId="1" fillId="2" borderId="9" xfId="0" applyNumberFormat="1" applyFont="1" applyFill="1" applyBorder="1" applyAlignment="1">
      <alignment horizontal="center" vertical="center" wrapText="1"/>
    </xf>
    <xf numFmtId="3" fontId="1" fillId="2" borderId="9" xfId="0" applyNumberFormat="1" applyFont="1" applyFill="1" applyBorder="1" applyAlignment="1">
      <alignment horizontal="right" vertical="center"/>
    </xf>
    <xf numFmtId="166" fontId="1" fillId="2" borderId="9" xfId="0" applyNumberFormat="1" applyFont="1" applyFill="1" applyBorder="1" applyAlignment="1">
      <alignment horizontal="center"/>
    </xf>
    <xf numFmtId="0" fontId="7" fillId="2" borderId="13" xfId="0" applyFont="1" applyFill="1" applyBorder="1" applyAlignment="1">
      <alignment horizontal="center" vertical="center"/>
    </xf>
    <xf numFmtId="0" fontId="1" fillId="2" borderId="11" xfId="0" applyFont="1" applyFill="1" applyBorder="1" applyAlignment="1">
      <alignment horizontal="center" vertical="center"/>
    </xf>
    <xf numFmtId="0" fontId="10" fillId="2" borderId="9" xfId="0" applyFont="1" applyFill="1" applyBorder="1" applyAlignment="1">
      <alignment horizontal="center" wrapText="1"/>
    </xf>
    <xf numFmtId="164" fontId="2" fillId="0" borderId="0" xfId="0" applyNumberFormat="1" applyFont="1"/>
    <xf numFmtId="0" fontId="1" fillId="2" borderId="2" xfId="0" applyFont="1" applyFill="1" applyBorder="1"/>
    <xf numFmtId="0" fontId="1" fillId="2" borderId="14" xfId="0" applyFont="1" applyFill="1" applyBorder="1" applyAlignment="1">
      <alignment vertical="center"/>
    </xf>
    <xf numFmtId="0" fontId="1" fillId="2" borderId="7" xfId="0" applyFont="1" applyFill="1" applyBorder="1"/>
    <xf numFmtId="0" fontId="1" fillId="2" borderId="15" xfId="0" applyFont="1" applyFill="1" applyBorder="1" applyAlignment="1">
      <alignment vertical="center"/>
    </xf>
    <xf numFmtId="0" fontId="1" fillId="2" borderId="16" xfId="0" applyFont="1" applyFill="1" applyBorder="1" applyAlignment="1">
      <alignment vertical="center"/>
    </xf>
    <xf numFmtId="0" fontId="1" fillId="2" borderId="17" xfId="0" applyFont="1" applyFill="1" applyBorder="1"/>
    <xf numFmtId="3" fontId="1" fillId="2" borderId="10" xfId="0" applyNumberFormat="1" applyFont="1" applyFill="1" applyBorder="1" applyAlignment="1">
      <alignment horizontal="right" vertical="center"/>
    </xf>
    <xf numFmtId="9" fontId="1" fillId="2" borderId="9" xfId="0" applyNumberFormat="1" applyFont="1" applyFill="1" applyBorder="1" applyAlignment="1">
      <alignment horizontal="right" vertical="center"/>
    </xf>
    <xf numFmtId="9" fontId="1" fillId="2" borderId="11" xfId="0" applyNumberFormat="1" applyFont="1" applyFill="1" applyBorder="1" applyAlignment="1">
      <alignment horizontal="right" vertical="center"/>
    </xf>
    <xf numFmtId="0" fontId="1" fillId="2" borderId="18" xfId="0" applyFont="1" applyFill="1" applyBorder="1" applyAlignment="1">
      <alignment vertical="center"/>
    </xf>
    <xf numFmtId="9" fontId="1" fillId="2" borderId="19" xfId="0" applyNumberFormat="1" applyFont="1" applyFill="1" applyBorder="1" applyAlignment="1">
      <alignment horizontal="right" vertical="center"/>
    </xf>
    <xf numFmtId="0" fontId="1" fillId="2" borderId="9" xfId="0" applyFont="1" applyFill="1" applyBorder="1" applyAlignment="1">
      <alignment horizontal="right" vertical="center"/>
    </xf>
    <xf numFmtId="0" fontId="1" fillId="2" borderId="10" xfId="0" applyFont="1" applyFill="1" applyBorder="1" applyAlignment="1">
      <alignment vertical="center"/>
    </xf>
    <xf numFmtId="0" fontId="7" fillId="2" borderId="19" xfId="0" applyFont="1" applyFill="1" applyBorder="1" applyAlignment="1">
      <alignment horizontal="center" vertical="center"/>
    </xf>
    <xf numFmtId="0" fontId="7" fillId="2" borderId="12" xfId="0" applyFont="1" applyFill="1" applyBorder="1" applyAlignment="1">
      <alignment horizontal="center" vertical="center"/>
    </xf>
    <xf numFmtId="3" fontId="1" fillId="2" borderId="11" xfId="0" applyNumberFormat="1" applyFont="1" applyFill="1" applyBorder="1" applyAlignment="1">
      <alignment horizontal="center" vertical="center"/>
    </xf>
    <xf numFmtId="3" fontId="4" fillId="4" borderId="9" xfId="0" applyNumberFormat="1" applyFont="1" applyFill="1" applyBorder="1" applyAlignment="1">
      <alignment horizontal="center" vertical="center"/>
    </xf>
    <xf numFmtId="0" fontId="0" fillId="2" borderId="0" xfId="0" applyFill="1"/>
    <xf numFmtId="0" fontId="2" fillId="2" borderId="0" xfId="0" applyFont="1" applyFill="1" applyAlignment="1">
      <alignment horizontal="center"/>
    </xf>
    <xf numFmtId="0" fontId="2" fillId="0" borderId="7" xfId="0" applyFont="1" applyBorder="1" applyAlignment="1">
      <alignment horizontal="center"/>
    </xf>
    <xf numFmtId="0" fontId="2" fillId="0" borderId="0" xfId="0" applyFont="1" applyAlignment="1">
      <alignment horizontal="left" vertical="center"/>
    </xf>
    <xf numFmtId="0" fontId="16"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center"/>
    </xf>
    <xf numFmtId="164" fontId="2" fillId="0" borderId="0" xfId="1" applyNumberFormat="1" applyFont="1" applyFill="1" applyAlignment="1">
      <alignment horizontal="center"/>
    </xf>
    <xf numFmtId="0" fontId="2" fillId="0" borderId="0" xfId="0" quotePrefix="1" applyFont="1"/>
    <xf numFmtId="3" fontId="2" fillId="0" borderId="0" xfId="0" applyNumberFormat="1" applyFont="1"/>
    <xf numFmtId="0" fontId="5" fillId="0" borderId="10" xfId="0" applyFont="1" applyBorder="1" applyAlignment="1">
      <alignment horizontal="center"/>
    </xf>
    <xf numFmtId="0" fontId="5" fillId="0" borderId="13" xfId="0" applyFont="1" applyBorder="1" applyAlignment="1">
      <alignment horizontal="center"/>
    </xf>
    <xf numFmtId="0" fontId="5" fillId="0" borderId="9" xfId="0" applyFont="1" applyBorder="1" applyAlignment="1">
      <alignment horizontal="center"/>
    </xf>
    <xf numFmtId="0" fontId="5" fillId="0" borderId="11" xfId="0" applyFont="1" applyBorder="1" applyAlignment="1">
      <alignment horizontal="center"/>
    </xf>
    <xf numFmtId="3" fontId="5" fillId="0" borderId="9" xfId="0" applyNumberFormat="1" applyFont="1" applyBorder="1" applyAlignment="1">
      <alignment horizontal="center"/>
    </xf>
    <xf numFmtId="0" fontId="18" fillId="0" borderId="9" xfId="0" applyFont="1" applyBorder="1"/>
    <xf numFmtId="167" fontId="5" fillId="0" borderId="0" xfId="1" applyNumberFormat="1" applyFont="1" applyFill="1" applyBorder="1" applyAlignment="1">
      <alignment horizontal="center"/>
    </xf>
    <xf numFmtId="3" fontId="5" fillId="0" borderId="0" xfId="1" applyNumberFormat="1" applyFont="1" applyFill="1" applyBorder="1" applyAlignment="1">
      <alignment horizontal="center"/>
    </xf>
    <xf numFmtId="167" fontId="5" fillId="0" borderId="7" xfId="1" applyNumberFormat="1" applyFont="1" applyFill="1" applyBorder="1" applyAlignment="1">
      <alignment horizontal="center"/>
    </xf>
    <xf numFmtId="0" fontId="5" fillId="0" borderId="0" xfId="0" applyFont="1" applyAlignment="1">
      <alignment horizontal="center"/>
    </xf>
    <xf numFmtId="0" fontId="5" fillId="0" borderId="7" xfId="0" applyFont="1" applyBorder="1" applyAlignment="1">
      <alignment horizontal="center"/>
    </xf>
    <xf numFmtId="3" fontId="5" fillId="0" borderId="7" xfId="1" applyNumberFormat="1" applyFont="1" applyFill="1" applyBorder="1" applyAlignment="1">
      <alignment horizontal="center"/>
    </xf>
    <xf numFmtId="167" fontId="5" fillId="0" borderId="0" xfId="1" applyNumberFormat="1" applyFont="1" applyFill="1" applyBorder="1" applyAlignment="1">
      <alignment horizontal="left"/>
    </xf>
    <xf numFmtId="0" fontId="5" fillId="0" borderId="7" xfId="0" applyFont="1" applyBorder="1" applyAlignment="1">
      <alignment horizontal="center" wrapText="1"/>
    </xf>
    <xf numFmtId="3" fontId="5" fillId="0" borderId="0" xfId="0" applyNumberFormat="1" applyFont="1" applyAlignment="1">
      <alignment horizontal="center"/>
    </xf>
    <xf numFmtId="167" fontId="5" fillId="0" borderId="0" xfId="0" applyNumberFormat="1" applyFont="1" applyAlignment="1">
      <alignment horizontal="center"/>
    </xf>
    <xf numFmtId="3" fontId="5" fillId="0" borderId="7" xfId="0" applyNumberFormat="1" applyFont="1" applyBorder="1" applyAlignment="1">
      <alignment horizontal="center"/>
    </xf>
    <xf numFmtId="167" fontId="5" fillId="0" borderId="7" xfId="0" applyNumberFormat="1" applyFont="1" applyBorder="1" applyAlignment="1">
      <alignment horizontal="center"/>
    </xf>
    <xf numFmtId="0" fontId="18" fillId="0" borderId="0" xfId="0" applyFont="1"/>
    <xf numFmtId="0" fontId="5" fillId="0" borderId="7" xfId="0" applyFont="1" applyBorder="1" applyAlignment="1">
      <alignment horizontal="centerContinuous"/>
    </xf>
    <xf numFmtId="164" fontId="5" fillId="0" borderId="7" xfId="1" applyNumberFormat="1" applyFont="1" applyFill="1" applyBorder="1" applyAlignment="1">
      <alignment horizontal="centerContinuous"/>
    </xf>
    <xf numFmtId="0" fontId="5" fillId="0" borderId="17" xfId="0" applyFont="1" applyBorder="1" applyAlignment="1">
      <alignment horizontal="center"/>
    </xf>
    <xf numFmtId="167" fontId="19" fillId="0" borderId="0" xfId="1" applyNumberFormat="1" applyFont="1" applyFill="1" applyBorder="1" applyAlignment="1">
      <alignment horizontal="left"/>
    </xf>
    <xf numFmtId="0" fontId="19" fillId="0" borderId="0" xfId="0" applyFont="1"/>
    <xf numFmtId="164" fontId="5" fillId="0" borderId="7" xfId="1" applyNumberFormat="1" applyFont="1" applyFill="1" applyBorder="1" applyAlignment="1">
      <alignment horizontal="center"/>
    </xf>
    <xf numFmtId="0" fontId="2" fillId="0" borderId="7" xfId="0" applyFont="1" applyBorder="1" applyAlignment="1">
      <alignment horizontal="centerContinuous"/>
    </xf>
    <xf numFmtId="3" fontId="2" fillId="0" borderId="0" xfId="0" applyNumberFormat="1" applyFont="1" applyAlignment="1">
      <alignment horizontal="center"/>
    </xf>
    <xf numFmtId="10" fontId="2" fillId="0" borderId="0" xfId="1" applyNumberFormat="1" applyFont="1" applyFill="1" applyAlignment="1">
      <alignment horizontal="center"/>
    </xf>
    <xf numFmtId="10" fontId="2" fillId="0" borderId="0" xfId="1" applyNumberFormat="1" applyFont="1" applyFill="1" applyBorder="1" applyAlignment="1">
      <alignment horizontal="center"/>
    </xf>
    <xf numFmtId="0" fontId="2" fillId="0" borderId="7" xfId="0" applyFont="1" applyBorder="1" applyAlignment="1">
      <alignment horizontal="center" wrapText="1"/>
    </xf>
    <xf numFmtId="0" fontId="2" fillId="0" borderId="0" xfId="0" applyFont="1" applyAlignment="1">
      <alignment horizontal="left"/>
    </xf>
    <xf numFmtId="0" fontId="20" fillId="0" borderId="0" xfId="0" applyFont="1"/>
    <xf numFmtId="0" fontId="21" fillId="0" borderId="0" xfId="0" applyFont="1"/>
    <xf numFmtId="0" fontId="0" fillId="0" borderId="4" xfId="0" applyBorder="1"/>
    <xf numFmtId="169" fontId="22" fillId="0" borderId="0" xfId="2" applyNumberFormat="1" applyFont="1" applyFill="1" applyBorder="1"/>
    <xf numFmtId="165" fontId="2" fillId="0" borderId="0" xfId="2" applyNumberFormat="1" applyFont="1" applyFill="1" applyBorder="1" applyAlignment="1">
      <alignment horizontal="center"/>
    </xf>
    <xf numFmtId="170" fontId="2" fillId="0" borderId="0" xfId="0" applyNumberFormat="1" applyFont="1" applyAlignment="1">
      <alignment horizontal="center"/>
    </xf>
    <xf numFmtId="171" fontId="2" fillId="0" borderId="0" xfId="2" applyNumberFormat="1" applyFont="1" applyFill="1" applyBorder="1"/>
    <xf numFmtId="171" fontId="2" fillId="0" borderId="0" xfId="2" applyNumberFormat="1" applyFont="1" applyFill="1" applyBorder="1" applyAlignment="1">
      <alignment horizontal="right"/>
    </xf>
    <xf numFmtId="165" fontId="5" fillId="0" borderId="0" xfId="0" applyNumberFormat="1" applyFont="1" applyAlignment="1">
      <alignment horizontal="center"/>
    </xf>
    <xf numFmtId="164" fontId="5" fillId="0" borderId="0" xfId="1" applyNumberFormat="1" applyFont="1" applyFill="1" applyAlignment="1">
      <alignment horizontal="center"/>
    </xf>
    <xf numFmtId="37" fontId="2" fillId="0" borderId="0" xfId="2" applyNumberFormat="1" applyFont="1" applyFill="1" applyBorder="1"/>
    <xf numFmtId="172" fontId="2" fillId="0" borderId="0" xfId="2" applyNumberFormat="1" applyFont="1" applyFill="1" applyBorder="1"/>
    <xf numFmtId="39" fontId="5" fillId="0" borderId="0" xfId="2" applyNumberFormat="1" applyFont="1" applyFill="1" applyBorder="1" applyAlignment="1">
      <alignment horizontal="center"/>
    </xf>
    <xf numFmtId="168" fontId="5" fillId="0" borderId="0" xfId="0" applyNumberFormat="1" applyFont="1" applyAlignment="1">
      <alignment horizontal="center"/>
    </xf>
    <xf numFmtId="37" fontId="5" fillId="0" borderId="0" xfId="2" applyNumberFormat="1" applyFont="1" applyFill="1" applyBorder="1" applyAlignment="1">
      <alignment horizontal="center"/>
    </xf>
    <xf numFmtId="39" fontId="5" fillId="0" borderId="7" xfId="2" applyNumberFormat="1" applyFont="1" applyFill="1" applyBorder="1" applyAlignment="1">
      <alignment horizontal="center"/>
    </xf>
    <xf numFmtId="168" fontId="5" fillId="0" borderId="7" xfId="0" applyNumberFormat="1" applyFont="1" applyBorder="1" applyAlignment="1">
      <alignment horizontal="center"/>
    </xf>
    <xf numFmtId="9" fontId="2" fillId="0" borderId="0" xfId="0" applyNumberFormat="1" applyFont="1"/>
    <xf numFmtId="0" fontId="23" fillId="0" borderId="0" xfId="0" applyFont="1"/>
    <xf numFmtId="166" fontId="2" fillId="0" borderId="0" xfId="0" applyNumberFormat="1" applyFont="1"/>
    <xf numFmtId="0" fontId="23" fillId="0" borderId="0" xfId="0" quotePrefix="1" applyFont="1"/>
    <xf numFmtId="165" fontId="2" fillId="0" borderId="0" xfId="0" applyNumberFormat="1" applyFont="1" applyAlignment="1">
      <alignment horizontal="center"/>
    </xf>
    <xf numFmtId="3" fontId="23" fillId="0" borderId="0" xfId="0" applyNumberFormat="1" applyFont="1" applyAlignment="1">
      <alignment horizontal="center"/>
    </xf>
    <xf numFmtId="3" fontId="2" fillId="0" borderId="7" xfId="0" applyNumberFormat="1" applyFont="1" applyBorder="1" applyAlignment="1">
      <alignment horizontal="center"/>
    </xf>
    <xf numFmtId="165" fontId="2" fillId="0" borderId="7" xfId="0" applyNumberFormat="1" applyFont="1" applyBorder="1" applyAlignment="1">
      <alignment horizontal="center"/>
    </xf>
    <xf numFmtId="3" fontId="2" fillId="0" borderId="0" xfId="0" applyNumberFormat="1" applyFont="1" applyAlignment="1">
      <alignment horizontal="left"/>
    </xf>
    <xf numFmtId="165" fontId="2" fillId="0" borderId="0" xfId="0" applyNumberFormat="1" applyFont="1" applyAlignment="1">
      <alignment horizontal="left"/>
    </xf>
    <xf numFmtId="3" fontId="2" fillId="0" borderId="0" xfId="0" quotePrefix="1" applyNumberFormat="1" applyFont="1" applyAlignment="1">
      <alignment horizontal="center"/>
    </xf>
    <xf numFmtId="0" fontId="2" fillId="0" borderId="7" xfId="0" applyFont="1" applyBorder="1" applyAlignment="1">
      <alignment horizontal="left"/>
    </xf>
    <xf numFmtId="3" fontId="2" fillId="0" borderId="7" xfId="0" quotePrefix="1" applyNumberFormat="1" applyFont="1" applyBorder="1" applyAlignment="1">
      <alignment horizontal="center"/>
    </xf>
    <xf numFmtId="9" fontId="2" fillId="0" borderId="0" xfId="1" applyFont="1" applyFill="1" applyAlignment="1">
      <alignment horizontal="center"/>
    </xf>
    <xf numFmtId="9" fontId="2" fillId="0" borderId="7" xfId="1" applyFont="1" applyFill="1" applyBorder="1" applyAlignment="1">
      <alignment horizontal="center"/>
    </xf>
    <xf numFmtId="10" fontId="5" fillId="0" borderId="0" xfId="1" applyNumberFormat="1" applyFont="1" applyFill="1" applyAlignment="1">
      <alignment horizontal="center"/>
    </xf>
    <xf numFmtId="10" fontId="5" fillId="0" borderId="0" xfId="0" applyNumberFormat="1" applyFont="1" applyAlignment="1">
      <alignment horizontal="center"/>
    </xf>
    <xf numFmtId="10" fontId="5" fillId="0" borderId="0" xfId="1" applyNumberFormat="1" applyFont="1" applyFill="1" applyBorder="1" applyAlignment="1">
      <alignment horizontal="center"/>
    </xf>
    <xf numFmtId="1" fontId="5" fillId="0" borderId="9" xfId="0" applyNumberFormat="1" applyFont="1" applyBorder="1" applyAlignment="1">
      <alignment horizontal="center"/>
    </xf>
    <xf numFmtId="0" fontId="18" fillId="0" borderId="4" xfId="0" applyFont="1" applyBorder="1"/>
    <xf numFmtId="0" fontId="5" fillId="0" borderId="9" xfId="0" applyFont="1" applyBorder="1" applyAlignment="1">
      <alignment horizontal="center" wrapText="1"/>
    </xf>
    <xf numFmtId="0" fontId="5" fillId="0" borderId="0" xfId="0" quotePrefix="1" applyFont="1"/>
    <xf numFmtId="0" fontId="5" fillId="0" borderId="12" xfId="0" applyFont="1" applyBorder="1" applyAlignment="1">
      <alignment horizontal="center"/>
    </xf>
    <xf numFmtId="0" fontId="19" fillId="0" borderId="9" xfId="0" applyFont="1" applyBorder="1" applyAlignment="1">
      <alignment horizontal="center"/>
    </xf>
    <xf numFmtId="165" fontId="1" fillId="2" borderId="9" xfId="0" applyNumberFormat="1" applyFont="1" applyFill="1" applyBorder="1" applyAlignment="1">
      <alignment horizontal="center" vertical="center" wrapText="1"/>
    </xf>
    <xf numFmtId="3" fontId="5" fillId="0" borderId="12" xfId="0" applyNumberFormat="1" applyFont="1" applyBorder="1" applyAlignment="1">
      <alignment horizontal="center"/>
    </xf>
    <xf numFmtId="0" fontId="5" fillId="0" borderId="9" xfId="0" applyFont="1" applyBorder="1"/>
    <xf numFmtId="173" fontId="2" fillId="0" borderId="0" xfId="1" applyNumberFormat="1" applyFont="1" applyFill="1" applyAlignment="1">
      <alignment horizontal="center"/>
    </xf>
    <xf numFmtId="168" fontId="2" fillId="0" borderId="0" xfId="0" applyNumberFormat="1" applyFont="1" applyAlignment="1">
      <alignment horizontal="center"/>
    </xf>
    <xf numFmtId="10" fontId="2" fillId="0" borderId="7" xfId="1" applyNumberFormat="1" applyFont="1" applyFill="1" applyBorder="1" applyAlignment="1">
      <alignment horizontal="center"/>
    </xf>
    <xf numFmtId="168" fontId="2" fillId="0" borderId="7" xfId="0" applyNumberFormat="1" applyFont="1" applyBorder="1" applyAlignment="1">
      <alignment horizontal="center"/>
    </xf>
    <xf numFmtId="2" fontId="2" fillId="0" borderId="0" xfId="0" applyNumberFormat="1" applyFont="1" applyAlignment="1">
      <alignment horizontal="center"/>
    </xf>
    <xf numFmtId="0" fontId="22" fillId="0" borderId="0" xfId="0" applyFont="1"/>
    <xf numFmtId="0" fontId="19" fillId="0" borderId="0" xfId="0" applyFont="1" applyAlignment="1">
      <alignment horizontal="left"/>
    </xf>
    <xf numFmtId="9" fontId="5" fillId="0" borderId="0" xfId="0" applyNumberFormat="1" applyFont="1"/>
    <xf numFmtId="9" fontId="5" fillId="0" borderId="0" xfId="0" applyNumberFormat="1" applyFont="1" applyAlignment="1">
      <alignment horizontal="center"/>
    </xf>
    <xf numFmtId="4" fontId="5" fillId="0" borderId="0" xfId="0" applyNumberFormat="1" applyFont="1" applyAlignment="1">
      <alignment horizontal="center"/>
    </xf>
    <xf numFmtId="3" fontId="5" fillId="0" borderId="0" xfId="0" applyNumberFormat="1" applyFont="1" applyAlignment="1">
      <alignment horizontal="right"/>
    </xf>
    <xf numFmtId="9" fontId="2" fillId="0" borderId="0" xfId="1" applyFont="1" applyFill="1"/>
    <xf numFmtId="0" fontId="24" fillId="0" borderId="9" xfId="0" applyFont="1" applyBorder="1" applyAlignment="1">
      <alignment horizontal="center" vertical="center" wrapText="1"/>
    </xf>
    <xf numFmtId="0" fontId="5" fillId="0" borderId="9" xfId="0" applyFont="1" applyBorder="1" applyAlignment="1">
      <alignment horizontal="center" vertical="center"/>
    </xf>
    <xf numFmtId="0" fontId="24" fillId="0" borderId="9" xfId="0" applyFont="1" applyBorder="1" applyAlignment="1">
      <alignment horizontal="center" wrapText="1"/>
    </xf>
    <xf numFmtId="165" fontId="5" fillId="0" borderId="9" xfId="0" applyNumberFormat="1" applyFont="1" applyBorder="1" applyAlignment="1">
      <alignment horizontal="center"/>
    </xf>
    <xf numFmtId="10" fontId="5" fillId="0" borderId="9" xfId="1" applyNumberFormat="1" applyFont="1" applyFill="1" applyBorder="1" applyAlignment="1">
      <alignment horizontal="center"/>
    </xf>
    <xf numFmtId="15" fontId="5" fillId="0" borderId="0" xfId="0" applyNumberFormat="1" applyFont="1"/>
    <xf numFmtId="0" fontId="19" fillId="0" borderId="0" xfId="0" quotePrefix="1" applyFont="1"/>
    <xf numFmtId="165" fontId="5" fillId="0" borderId="0" xfId="0" applyNumberFormat="1" applyFont="1"/>
    <xf numFmtId="173" fontId="5" fillId="0" borderId="0" xfId="1" applyNumberFormat="1" applyFont="1" applyFill="1"/>
    <xf numFmtId="168" fontId="5" fillId="0" borderId="0" xfId="0" applyNumberFormat="1" applyFont="1"/>
    <xf numFmtId="174" fontId="5" fillId="0" borderId="0" xfId="0" applyNumberFormat="1" applyFont="1"/>
    <xf numFmtId="166" fontId="2" fillId="0" borderId="0" xfId="0" quotePrefix="1" applyNumberFormat="1" applyFont="1" applyAlignment="1">
      <alignment horizontal="center"/>
    </xf>
    <xf numFmtId="4" fontId="2" fillId="0" borderId="0" xfId="0" applyNumberFormat="1" applyFont="1" applyAlignment="1">
      <alignment horizontal="center"/>
    </xf>
    <xf numFmtId="0" fontId="22" fillId="0" borderId="0" xfId="0" applyFont="1" applyAlignment="1">
      <alignment vertical="center"/>
    </xf>
    <xf numFmtId="0" fontId="7" fillId="2" borderId="9" xfId="0" applyFont="1" applyFill="1" applyBorder="1" applyAlignment="1">
      <alignment horizontal="center" vertical="center"/>
    </xf>
    <xf numFmtId="0" fontId="1" fillId="2" borderId="0" xfId="0" applyFont="1" applyFill="1" applyAlignment="1">
      <alignment wrapText="1"/>
    </xf>
    <xf numFmtId="0" fontId="2" fillId="0" borderId="7" xfId="0" applyFont="1" applyBorder="1" applyAlignment="1">
      <alignment horizontal="center"/>
    </xf>
    <xf numFmtId="0" fontId="2" fillId="5" borderId="7" xfId="0" applyFont="1" applyFill="1" applyBorder="1" applyAlignment="1">
      <alignment horizontal="center"/>
    </xf>
    <xf numFmtId="3" fontId="1" fillId="2" borderId="9" xfId="0" applyNumberFormat="1" applyFont="1" applyFill="1" applyBorder="1" applyAlignment="1">
      <alignment horizontal="center" vertical="center"/>
    </xf>
    <xf numFmtId="0" fontId="10" fillId="2" borderId="9" xfId="0" applyFont="1" applyFill="1" applyBorder="1" applyAlignment="1">
      <alignment horizontal="center" vertical="center"/>
    </xf>
    <xf numFmtId="0" fontId="7" fillId="2" borderId="9" xfId="0" applyFont="1" applyFill="1" applyBorder="1" applyAlignment="1">
      <alignment horizontal="center" vertical="center" wrapText="1"/>
    </xf>
    <xf numFmtId="0" fontId="5" fillId="0" borderId="13" xfId="0" applyFont="1" applyBorder="1" applyAlignment="1">
      <alignment horizontal="center"/>
    </xf>
    <xf numFmtId="0" fontId="5" fillId="0" borderId="9" xfId="0" applyFont="1" applyBorder="1" applyAlignment="1">
      <alignment horizontal="center"/>
    </xf>
    <xf numFmtId="0" fontId="23" fillId="0" borderId="0" xfId="0" applyFont="1" applyAlignment="1">
      <alignment horizontal="left" vertical="center" wrapText="1"/>
    </xf>
    <xf numFmtId="0" fontId="6" fillId="3" borderId="0" xfId="0" applyFont="1" applyFill="1" applyAlignment="1">
      <alignment wrapText="1"/>
    </xf>
    <xf numFmtId="0" fontId="7" fillId="2" borderId="9" xfId="0" applyFont="1" applyFill="1" applyBorder="1" applyAlignment="1">
      <alignment horizontal="center" wrapText="1"/>
    </xf>
    <xf numFmtId="0" fontId="7" fillId="2" borderId="9" xfId="0" applyFont="1" applyFill="1" applyBorder="1" applyAlignment="1">
      <alignment horizontal="center"/>
    </xf>
    <xf numFmtId="0" fontId="1" fillId="2" borderId="9" xfId="0" applyFont="1" applyFill="1" applyBorder="1" applyAlignment="1">
      <alignment horizontal="center" vertical="center"/>
    </xf>
    <xf numFmtId="0" fontId="1" fillId="2" borderId="9" xfId="0" applyFont="1" applyFill="1" applyBorder="1" applyAlignment="1">
      <alignment horizontal="left" vertical="center"/>
    </xf>
    <xf numFmtId="0" fontId="5" fillId="0" borderId="12" xfId="0" applyFont="1" applyBorder="1" applyAlignment="1">
      <alignment horizontal="center"/>
    </xf>
    <xf numFmtId="0" fontId="5" fillId="0" borderId="17" xfId="0" applyFont="1" applyBorder="1" applyAlignment="1">
      <alignment horizontal="center"/>
    </xf>
    <xf numFmtId="0" fontId="7" fillId="2" borderId="13"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0" xfId="0" applyFont="1" applyFill="1" applyBorder="1" applyAlignment="1">
      <alignment horizontal="center" vertical="center"/>
    </xf>
    <xf numFmtId="10" fontId="1" fillId="2" borderId="9" xfId="0" applyNumberFormat="1" applyFont="1" applyFill="1" applyBorder="1" applyAlignment="1">
      <alignment horizontal="center" vertical="center"/>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17</xdr:col>
      <xdr:colOff>0</xdr:colOff>
      <xdr:row>27</xdr:row>
      <xdr:rowOff>9525</xdr:rowOff>
    </xdr:from>
    <xdr:to>
      <xdr:col>19</xdr:col>
      <xdr:colOff>0</xdr:colOff>
      <xdr:row>31</xdr:row>
      <xdr:rowOff>0</xdr:rowOff>
    </xdr:to>
    <xdr:cxnSp macro="">
      <xdr:nvCxnSpPr>
        <xdr:cNvPr id="2" name="Straight Connector 1">
          <a:extLst>
            <a:ext uri="{FF2B5EF4-FFF2-40B4-BE49-F238E27FC236}">
              <a16:creationId xmlns:a16="http://schemas.microsoft.com/office/drawing/2014/main" id="{247A529B-063A-45B0-A7B5-3F4825AB962C}"/>
            </a:ext>
          </a:extLst>
        </xdr:cNvPr>
        <xdr:cNvCxnSpPr/>
      </xdr:nvCxnSpPr>
      <xdr:spPr>
        <a:xfrm flipV="1">
          <a:off x="13449300" y="3326130"/>
          <a:ext cx="514350" cy="97917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9525</xdr:colOff>
      <xdr:row>27</xdr:row>
      <xdr:rowOff>9525</xdr:rowOff>
    </xdr:from>
    <xdr:to>
      <xdr:col>21</xdr:col>
      <xdr:colOff>0</xdr:colOff>
      <xdr:row>31</xdr:row>
      <xdr:rowOff>0</xdr:rowOff>
    </xdr:to>
    <xdr:cxnSp macro="">
      <xdr:nvCxnSpPr>
        <xdr:cNvPr id="3" name="Straight Connector 2">
          <a:extLst>
            <a:ext uri="{FF2B5EF4-FFF2-40B4-BE49-F238E27FC236}">
              <a16:creationId xmlns:a16="http://schemas.microsoft.com/office/drawing/2014/main" id="{227464B1-91E7-4AB9-A348-7AA3888F7B7D}"/>
            </a:ext>
          </a:extLst>
        </xdr:cNvPr>
        <xdr:cNvCxnSpPr/>
      </xdr:nvCxnSpPr>
      <xdr:spPr>
        <a:xfrm flipV="1">
          <a:off x="13460730" y="3326130"/>
          <a:ext cx="1017270" cy="97917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0</xdr:colOff>
      <xdr:row>27</xdr:row>
      <xdr:rowOff>9525</xdr:rowOff>
    </xdr:from>
    <xdr:to>
      <xdr:col>23</xdr:col>
      <xdr:colOff>0</xdr:colOff>
      <xdr:row>30</xdr:row>
      <xdr:rowOff>304800</xdr:rowOff>
    </xdr:to>
    <xdr:cxnSp macro="">
      <xdr:nvCxnSpPr>
        <xdr:cNvPr id="4" name="Straight Connector 3">
          <a:extLst>
            <a:ext uri="{FF2B5EF4-FFF2-40B4-BE49-F238E27FC236}">
              <a16:creationId xmlns:a16="http://schemas.microsoft.com/office/drawing/2014/main" id="{94B406C3-3502-47BE-B736-0869FD79CE76}"/>
            </a:ext>
          </a:extLst>
        </xdr:cNvPr>
        <xdr:cNvCxnSpPr/>
      </xdr:nvCxnSpPr>
      <xdr:spPr>
        <a:xfrm flipV="1">
          <a:off x="13963650" y="3326130"/>
          <a:ext cx="1028700" cy="97917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0</xdr:colOff>
      <xdr:row>27</xdr:row>
      <xdr:rowOff>0</xdr:rowOff>
    </xdr:from>
    <xdr:to>
      <xdr:col>27</xdr:col>
      <xdr:colOff>0</xdr:colOff>
      <xdr:row>30</xdr:row>
      <xdr:rowOff>241935</xdr:rowOff>
    </xdr:to>
    <xdr:cxnSp macro="">
      <xdr:nvCxnSpPr>
        <xdr:cNvPr id="5" name="Straight Connector 4">
          <a:extLst>
            <a:ext uri="{FF2B5EF4-FFF2-40B4-BE49-F238E27FC236}">
              <a16:creationId xmlns:a16="http://schemas.microsoft.com/office/drawing/2014/main" id="{BBE9ECAC-58E8-4F83-8BD6-F2310EE5B238}"/>
            </a:ext>
          </a:extLst>
        </xdr:cNvPr>
        <xdr:cNvCxnSpPr/>
      </xdr:nvCxnSpPr>
      <xdr:spPr>
        <a:xfrm flipV="1">
          <a:off x="14992350" y="3314700"/>
          <a:ext cx="1028700" cy="98869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100C6-3DB1-487C-A680-29F2905E96D5}">
  <dimension ref="A1:R82"/>
  <sheetViews>
    <sheetView tabSelected="1" zoomScaleNormal="100" workbookViewId="0"/>
  </sheetViews>
  <sheetFormatPr defaultRowHeight="15.6" x14ac:dyDescent="0.3"/>
  <cols>
    <col min="1" max="12" width="10.77734375" style="1" customWidth="1"/>
    <col min="13" max="16384" width="8.88671875" style="1"/>
  </cols>
  <sheetData>
    <row r="1" spans="1:18" ht="17.399999999999999" x14ac:dyDescent="0.3">
      <c r="A1" s="2" t="s">
        <v>7</v>
      </c>
      <c r="B1" s="4"/>
      <c r="C1" s="8" t="s">
        <v>8</v>
      </c>
      <c r="D1" s="4"/>
      <c r="E1" s="4"/>
      <c r="F1" s="4"/>
      <c r="G1" s="4"/>
      <c r="H1" s="4"/>
      <c r="I1" s="4"/>
      <c r="J1" s="4"/>
      <c r="K1" s="4"/>
      <c r="L1" s="3"/>
    </row>
    <row r="2" spans="1:18" x14ac:dyDescent="0.3">
      <c r="A2" s="4"/>
      <c r="B2" s="4"/>
      <c r="C2" s="4"/>
      <c r="D2" s="4"/>
      <c r="E2" s="4"/>
      <c r="F2" s="4"/>
      <c r="G2" s="4"/>
      <c r="H2" s="4"/>
      <c r="I2" s="4"/>
      <c r="J2" s="4"/>
      <c r="K2" s="4"/>
      <c r="L2" s="3"/>
    </row>
    <row r="3" spans="1:18" x14ac:dyDescent="0.3">
      <c r="A3" s="4" t="s">
        <v>10</v>
      </c>
      <c r="B3" s="4"/>
      <c r="C3" s="4"/>
      <c r="D3" s="4"/>
      <c r="E3" s="4"/>
      <c r="F3" s="4"/>
      <c r="G3" s="4"/>
      <c r="H3" s="4"/>
      <c r="I3" s="4"/>
      <c r="J3" s="4"/>
      <c r="K3" s="4"/>
      <c r="L3" s="3"/>
    </row>
    <row r="4" spans="1:18" x14ac:dyDescent="0.3">
      <c r="A4" s="8"/>
      <c r="B4" s="8"/>
      <c r="C4" s="8"/>
      <c r="D4" s="8"/>
      <c r="E4" s="8"/>
      <c r="F4" s="8"/>
      <c r="G4" s="8"/>
      <c r="H4" s="8"/>
      <c r="I4" s="8"/>
      <c r="J4" s="8"/>
      <c r="K4" s="8"/>
      <c r="L4" s="8"/>
    </row>
    <row r="5" spans="1:18" x14ac:dyDescent="0.3">
      <c r="A5" s="6"/>
      <c r="B5" s="6"/>
      <c r="C5" s="6"/>
      <c r="D5" s="6"/>
      <c r="E5" s="6"/>
      <c r="F5" s="6"/>
      <c r="G5" s="6"/>
      <c r="H5" s="6"/>
      <c r="I5" s="6"/>
      <c r="J5" s="6"/>
      <c r="K5" s="6"/>
      <c r="L5" s="6"/>
    </row>
    <row r="6" spans="1:18" x14ac:dyDescent="0.3">
      <c r="A6" s="5" t="s">
        <v>4</v>
      </c>
      <c r="B6" s="8" t="s">
        <v>11</v>
      </c>
      <c r="C6" s="4"/>
      <c r="D6" s="4"/>
      <c r="E6" s="4"/>
      <c r="F6" s="4"/>
      <c r="G6" s="4"/>
      <c r="H6" s="4"/>
      <c r="I6" s="4"/>
      <c r="J6" s="4"/>
      <c r="K6" s="4"/>
      <c r="L6" s="4"/>
      <c r="M6" s="7"/>
      <c r="N6" s="7"/>
      <c r="O6" s="7"/>
      <c r="P6" s="7"/>
      <c r="Q6" s="7"/>
      <c r="R6" s="7"/>
    </row>
    <row r="7" spans="1:18" x14ac:dyDescent="0.3">
      <c r="A7" s="6"/>
      <c r="B7" s="6"/>
      <c r="C7" s="6"/>
      <c r="D7" s="6"/>
      <c r="E7" s="6"/>
      <c r="F7" s="6"/>
      <c r="G7" s="6"/>
      <c r="H7" s="6"/>
      <c r="I7" s="6"/>
      <c r="J7" s="6"/>
      <c r="K7" s="6"/>
      <c r="L7" s="6"/>
      <c r="M7" s="6"/>
    </row>
    <row r="8" spans="1:18" x14ac:dyDescent="0.3">
      <c r="A8" s="6" t="s">
        <v>1</v>
      </c>
      <c r="B8" s="6"/>
      <c r="C8" s="6"/>
      <c r="D8" s="6"/>
      <c r="E8" s="6"/>
      <c r="F8" s="6"/>
      <c r="G8" s="6"/>
      <c r="H8" s="6"/>
      <c r="I8" s="6"/>
      <c r="J8" s="6"/>
      <c r="K8" s="6"/>
      <c r="L8" s="6"/>
      <c r="M8" s="6"/>
      <c r="N8" s="7"/>
    </row>
    <row r="9" spans="1:18" x14ac:dyDescent="0.3">
      <c r="A9" s="6"/>
      <c r="B9" s="6"/>
      <c r="C9" s="6"/>
      <c r="D9" s="6"/>
      <c r="E9" s="6"/>
      <c r="F9" s="6"/>
      <c r="G9" s="6"/>
      <c r="H9" s="6"/>
      <c r="I9" s="6"/>
      <c r="J9" s="6"/>
      <c r="K9" s="6"/>
      <c r="L9" s="6"/>
      <c r="M9" s="6"/>
      <c r="N9" s="7"/>
    </row>
    <row r="10" spans="1:18" x14ac:dyDescent="0.3">
      <c r="B10" s="82" t="s">
        <v>229</v>
      </c>
      <c r="C10" s="6"/>
      <c r="D10" s="6"/>
      <c r="E10" s="6"/>
      <c r="F10" s="6"/>
      <c r="G10" s="6"/>
      <c r="H10" s="6"/>
      <c r="I10" s="6"/>
      <c r="J10" s="6"/>
      <c r="K10" s="6"/>
      <c r="L10" s="6"/>
      <c r="M10" s="6"/>
      <c r="N10" s="7"/>
    </row>
    <row r="11" spans="1:18" x14ac:dyDescent="0.3">
      <c r="B11" s="83" t="s">
        <v>230</v>
      </c>
      <c r="C11" s="6"/>
      <c r="D11" s="6"/>
      <c r="E11" s="6"/>
      <c r="F11" s="6"/>
      <c r="G11" s="6"/>
      <c r="H11" s="6"/>
      <c r="I11" s="6"/>
      <c r="J11" s="6"/>
      <c r="K11" s="6"/>
      <c r="L11" s="6"/>
      <c r="M11" s="6"/>
      <c r="N11" s="7"/>
    </row>
    <row r="12" spans="1:18" x14ac:dyDescent="0.3">
      <c r="B12" s="83" t="s">
        <v>231</v>
      </c>
      <c r="C12" s="6"/>
      <c r="D12" s="6"/>
      <c r="E12" s="6"/>
      <c r="F12" s="6"/>
      <c r="G12" s="6"/>
      <c r="H12" s="6"/>
      <c r="I12" s="6"/>
      <c r="J12" s="6"/>
      <c r="K12" s="6"/>
      <c r="L12" s="6"/>
      <c r="M12" s="6"/>
      <c r="N12" s="7"/>
    </row>
    <row r="13" spans="1:18" x14ac:dyDescent="0.3">
      <c r="B13" s="83" t="s">
        <v>232</v>
      </c>
      <c r="C13" s="6"/>
      <c r="D13" s="6"/>
      <c r="E13" s="6"/>
      <c r="F13" s="6"/>
      <c r="G13" s="6"/>
      <c r="H13" s="6"/>
      <c r="I13" s="6"/>
      <c r="J13" s="6"/>
      <c r="K13" s="6"/>
      <c r="L13" s="6"/>
      <c r="M13" s="6"/>
      <c r="N13" s="7"/>
    </row>
    <row r="14" spans="1:18" x14ac:dyDescent="0.3">
      <c r="B14" s="83" t="s">
        <v>233</v>
      </c>
      <c r="M14" s="7"/>
      <c r="N14" s="7"/>
    </row>
    <row r="15" spans="1:18" x14ac:dyDescent="0.3">
      <c r="M15" s="7"/>
      <c r="N15" s="7"/>
    </row>
    <row r="16" spans="1:18" x14ac:dyDescent="0.3">
      <c r="A16" s="3"/>
      <c r="B16" s="3"/>
      <c r="C16" s="3"/>
      <c r="D16" s="3"/>
      <c r="E16" s="3"/>
      <c r="F16" s="3"/>
      <c r="G16" s="4"/>
      <c r="H16" s="4"/>
      <c r="I16" s="4"/>
      <c r="J16" s="4"/>
      <c r="K16" s="4"/>
      <c r="L16" s="4"/>
    </row>
    <row r="17" spans="1:12" x14ac:dyDescent="0.3">
      <c r="A17" s="13" t="s">
        <v>12</v>
      </c>
      <c r="B17" s="8"/>
      <c r="C17" s="8"/>
      <c r="D17" s="8"/>
      <c r="E17" s="8"/>
      <c r="F17" s="8"/>
      <c r="G17" s="8"/>
      <c r="H17" s="8"/>
      <c r="I17" s="8"/>
      <c r="J17" s="4"/>
      <c r="K17" s="4"/>
      <c r="L17" s="4"/>
    </row>
    <row r="18" spans="1:12" x14ac:dyDescent="0.3">
      <c r="A18" s="8"/>
      <c r="B18" s="8"/>
      <c r="C18" s="8"/>
      <c r="D18" s="8"/>
      <c r="E18" s="8"/>
      <c r="F18" s="8"/>
      <c r="G18" s="8"/>
      <c r="H18" s="8"/>
      <c r="I18" s="8"/>
      <c r="J18" s="4"/>
      <c r="K18" s="4"/>
      <c r="L18" s="4"/>
    </row>
    <row r="19" spans="1:12" x14ac:dyDescent="0.3">
      <c r="A19" s="8"/>
      <c r="B19" s="16" t="s">
        <v>13</v>
      </c>
      <c r="C19" s="190" t="s">
        <v>14</v>
      </c>
      <c r="D19" s="190"/>
      <c r="E19" s="190"/>
      <c r="F19" s="190"/>
      <c r="G19" s="190"/>
      <c r="H19" s="8"/>
      <c r="I19" s="8"/>
      <c r="J19" s="4"/>
      <c r="K19" s="4"/>
      <c r="L19" s="4"/>
    </row>
    <row r="20" spans="1:12" x14ac:dyDescent="0.3">
      <c r="A20" s="8"/>
      <c r="B20" s="17" t="s">
        <v>15</v>
      </c>
      <c r="C20" s="18">
        <v>12</v>
      </c>
      <c r="D20" s="18">
        <v>24</v>
      </c>
      <c r="E20" s="18">
        <v>36</v>
      </c>
      <c r="F20" s="18">
        <v>48</v>
      </c>
      <c r="G20" s="18">
        <v>60</v>
      </c>
      <c r="H20" s="8"/>
      <c r="I20" s="8"/>
      <c r="J20" s="4"/>
      <c r="K20" s="4"/>
      <c r="L20" s="4"/>
    </row>
    <row r="21" spans="1:12" x14ac:dyDescent="0.3">
      <c r="A21" s="8"/>
      <c r="B21" s="19">
        <v>2020</v>
      </c>
      <c r="C21" s="19">
        <v>0.498</v>
      </c>
      <c r="D21" s="19">
        <v>0.70499999999999996</v>
      </c>
      <c r="E21" s="19">
        <v>0.83899999999999997</v>
      </c>
      <c r="F21" s="19">
        <v>0.92300000000000004</v>
      </c>
      <c r="G21" s="19">
        <v>0.98899999999999999</v>
      </c>
      <c r="H21" s="8"/>
      <c r="I21" s="8"/>
      <c r="J21" s="4"/>
      <c r="K21" s="4"/>
      <c r="L21" s="4"/>
    </row>
    <row r="22" spans="1:12" x14ac:dyDescent="0.3">
      <c r="A22" s="8"/>
      <c r="B22" s="19">
        <v>2021</v>
      </c>
      <c r="C22" s="19">
        <v>0.502</v>
      </c>
      <c r="D22" s="19">
        <v>0.71</v>
      </c>
      <c r="E22" s="19">
        <v>0.83499999999999996</v>
      </c>
      <c r="F22" s="19">
        <v>0.91300000000000003</v>
      </c>
      <c r="G22" s="19"/>
      <c r="H22" s="8"/>
      <c r="I22" s="8"/>
      <c r="J22" s="4"/>
      <c r="K22" s="4"/>
      <c r="L22" s="4"/>
    </row>
    <row r="23" spans="1:12" x14ac:dyDescent="0.3">
      <c r="A23" s="8"/>
      <c r="B23" s="19">
        <v>2022</v>
      </c>
      <c r="C23" s="19">
        <v>0.51400000000000001</v>
      </c>
      <c r="D23" s="19">
        <v>0.70499999999999996</v>
      </c>
      <c r="E23" s="19">
        <v>0.81200000000000006</v>
      </c>
      <c r="F23" s="19"/>
      <c r="G23" s="19"/>
      <c r="H23" s="8"/>
      <c r="I23" s="8"/>
      <c r="J23" s="4"/>
      <c r="K23" s="4"/>
      <c r="L23" s="4"/>
    </row>
    <row r="24" spans="1:12" x14ac:dyDescent="0.3">
      <c r="A24" s="8"/>
      <c r="B24" s="19">
        <v>2023</v>
      </c>
      <c r="C24" s="19">
        <v>0.499</v>
      </c>
      <c r="D24" s="19">
        <v>0.65500000000000003</v>
      </c>
      <c r="E24" s="19"/>
      <c r="F24" s="19"/>
      <c r="G24" s="19"/>
      <c r="H24" s="8"/>
      <c r="I24" s="8"/>
      <c r="J24" s="4"/>
      <c r="K24" s="4"/>
      <c r="L24" s="4"/>
    </row>
    <row r="25" spans="1:12" x14ac:dyDescent="0.3">
      <c r="A25" s="8"/>
      <c r="B25" s="19">
        <v>2024</v>
      </c>
      <c r="C25" s="19">
        <v>0.46200000000000002</v>
      </c>
      <c r="D25" s="19"/>
      <c r="E25" s="19"/>
      <c r="F25" s="19"/>
      <c r="G25" s="19"/>
      <c r="H25" s="8"/>
      <c r="I25" s="8"/>
      <c r="J25" s="4"/>
      <c r="K25" s="4"/>
      <c r="L25" s="4"/>
    </row>
    <row r="26" spans="1:12" x14ac:dyDescent="0.3">
      <c r="A26" s="8"/>
      <c r="B26" s="8"/>
      <c r="C26" s="8"/>
      <c r="D26" s="8"/>
      <c r="E26" s="8"/>
      <c r="F26" s="8"/>
      <c r="G26" s="8"/>
      <c r="H26" s="8"/>
      <c r="I26" s="8"/>
      <c r="J26" s="4"/>
      <c r="K26" s="4"/>
      <c r="L26" s="4"/>
    </row>
    <row r="27" spans="1:12" x14ac:dyDescent="0.3">
      <c r="A27" s="8"/>
      <c r="B27" s="16" t="s">
        <v>13</v>
      </c>
      <c r="C27" s="190" t="s">
        <v>16</v>
      </c>
      <c r="D27" s="190"/>
      <c r="E27" s="190"/>
      <c r="F27" s="190"/>
      <c r="G27" s="190"/>
      <c r="H27" s="8"/>
      <c r="I27" s="8"/>
      <c r="J27" s="4"/>
      <c r="K27" s="4"/>
      <c r="L27" s="4"/>
    </row>
    <row r="28" spans="1:12" x14ac:dyDescent="0.3">
      <c r="A28" s="8"/>
      <c r="B28" s="17" t="s">
        <v>15</v>
      </c>
      <c r="C28" s="18">
        <v>12</v>
      </c>
      <c r="D28" s="18">
        <v>24</v>
      </c>
      <c r="E28" s="18">
        <v>36</v>
      </c>
      <c r="F28" s="18">
        <v>48</v>
      </c>
      <c r="G28" s="18">
        <v>60</v>
      </c>
      <c r="H28" s="8"/>
      <c r="I28" s="8"/>
      <c r="J28" s="4"/>
      <c r="K28" s="4"/>
      <c r="L28" s="4"/>
    </row>
    <row r="29" spans="1:12" x14ac:dyDescent="0.3">
      <c r="A29" s="8"/>
      <c r="B29" s="19">
        <v>2020</v>
      </c>
      <c r="C29" s="19">
        <v>0.58099999999999996</v>
      </c>
      <c r="D29" s="19">
        <v>0.71</v>
      </c>
      <c r="E29" s="19">
        <v>0.79200000000000004</v>
      </c>
      <c r="F29" s="19">
        <v>0.84799999999999998</v>
      </c>
      <c r="G29" s="19">
        <v>0.88900000000000001</v>
      </c>
      <c r="H29" s="8"/>
      <c r="I29" s="8"/>
      <c r="J29" s="4"/>
      <c r="K29" s="4"/>
      <c r="L29" s="4"/>
    </row>
    <row r="30" spans="1:12" x14ac:dyDescent="0.3">
      <c r="A30" s="8"/>
      <c r="B30" s="19">
        <v>2021</v>
      </c>
      <c r="C30" s="19">
        <v>0.59099999999999997</v>
      </c>
      <c r="D30" s="19">
        <v>0.71599999999999997</v>
      </c>
      <c r="E30" s="19">
        <v>0.78900000000000003</v>
      </c>
      <c r="F30" s="19">
        <v>0.84699999999999998</v>
      </c>
      <c r="G30" s="19"/>
      <c r="H30" s="8"/>
      <c r="I30" s="8"/>
      <c r="J30" s="4"/>
      <c r="K30" s="4"/>
      <c r="L30" s="4"/>
    </row>
    <row r="31" spans="1:12" x14ac:dyDescent="0.3">
      <c r="A31" s="8"/>
      <c r="B31" s="19">
        <v>2022</v>
      </c>
      <c r="C31" s="19">
        <v>0.57599999999999996</v>
      </c>
      <c r="D31" s="19">
        <v>0.70899999999999996</v>
      </c>
      <c r="E31" s="19">
        <v>0.79</v>
      </c>
      <c r="F31" s="19"/>
      <c r="G31" s="19"/>
      <c r="H31" s="8"/>
      <c r="I31" s="8"/>
      <c r="J31" s="4"/>
      <c r="K31" s="4"/>
      <c r="L31" s="4"/>
    </row>
    <row r="32" spans="1:12" x14ac:dyDescent="0.3">
      <c r="A32" s="8"/>
      <c r="B32" s="19">
        <v>2023</v>
      </c>
      <c r="C32" s="19">
        <v>0.58699999999999997</v>
      </c>
      <c r="D32" s="19">
        <v>0.71499999999999997</v>
      </c>
      <c r="E32" s="19"/>
      <c r="F32" s="19"/>
      <c r="G32" s="19"/>
      <c r="H32" s="8"/>
      <c r="I32" s="8"/>
      <c r="J32" s="4"/>
      <c r="K32" s="4"/>
      <c r="L32" s="4"/>
    </row>
    <row r="33" spans="1:13" x14ac:dyDescent="0.3">
      <c r="A33" s="8"/>
      <c r="B33" s="19">
        <v>2024</v>
      </c>
      <c r="C33" s="19">
        <v>0.58099999999999996</v>
      </c>
      <c r="D33" s="19"/>
      <c r="E33" s="19"/>
      <c r="F33" s="19"/>
      <c r="G33" s="19"/>
      <c r="H33" s="8"/>
      <c r="I33" s="8"/>
      <c r="J33" s="4"/>
      <c r="K33" s="4"/>
      <c r="L33" s="4"/>
    </row>
    <row r="34" spans="1:13" x14ac:dyDescent="0.3">
      <c r="A34" s="8"/>
      <c r="B34" s="8"/>
      <c r="C34" s="8"/>
      <c r="D34" s="8"/>
      <c r="E34" s="8"/>
      <c r="F34" s="8"/>
      <c r="G34" s="8"/>
      <c r="H34" s="8"/>
      <c r="I34" s="8"/>
      <c r="J34" s="4"/>
      <c r="K34" s="4"/>
      <c r="L34" s="4"/>
    </row>
    <row r="35" spans="1:13" x14ac:dyDescent="0.3">
      <c r="A35" s="8"/>
      <c r="B35" s="20" t="s">
        <v>49</v>
      </c>
      <c r="C35" s="8"/>
      <c r="D35" s="8"/>
      <c r="E35" s="34">
        <v>0.05</v>
      </c>
      <c r="F35" s="8"/>
      <c r="G35" s="8"/>
      <c r="H35" s="8"/>
      <c r="I35" s="8"/>
      <c r="J35" s="4"/>
      <c r="K35" s="4"/>
      <c r="L35" s="4"/>
    </row>
    <row r="36" spans="1:13" x14ac:dyDescent="0.3">
      <c r="A36" s="3"/>
      <c r="B36" s="3"/>
      <c r="C36" s="3"/>
      <c r="D36" s="3"/>
      <c r="E36" s="3"/>
      <c r="F36" s="3"/>
      <c r="G36" s="4"/>
      <c r="H36" s="4"/>
      <c r="I36" s="4"/>
      <c r="J36" s="4"/>
      <c r="K36" s="4"/>
      <c r="L36" s="4"/>
    </row>
    <row r="38" spans="1:13" x14ac:dyDescent="0.3">
      <c r="A38" s="5" t="s">
        <v>5</v>
      </c>
      <c r="B38" s="191" t="s">
        <v>17</v>
      </c>
      <c r="C38" s="191"/>
      <c r="D38" s="191"/>
      <c r="E38" s="191"/>
      <c r="F38" s="191"/>
      <c r="G38" s="191"/>
      <c r="H38" s="191"/>
      <c r="I38" s="191"/>
      <c r="J38" s="191"/>
      <c r="K38" s="191"/>
      <c r="L38" s="4"/>
    </row>
    <row r="39" spans="1:13" x14ac:dyDescent="0.3">
      <c r="A39" s="3"/>
      <c r="B39" s="191"/>
      <c r="C39" s="191"/>
      <c r="D39" s="191"/>
      <c r="E39" s="191"/>
      <c r="F39" s="191"/>
      <c r="G39" s="191"/>
      <c r="H39" s="191"/>
      <c r="I39" s="191"/>
      <c r="J39" s="191"/>
      <c r="K39" s="191"/>
      <c r="L39" s="4"/>
    </row>
    <row r="40" spans="1:13" x14ac:dyDescent="0.3">
      <c r="A40" s="6"/>
      <c r="B40" s="6"/>
      <c r="C40" s="6"/>
      <c r="D40" s="6"/>
      <c r="E40" s="6"/>
      <c r="F40" s="6"/>
      <c r="G40" s="6"/>
      <c r="H40" s="6"/>
      <c r="I40" s="6"/>
      <c r="J40" s="6"/>
      <c r="K40" s="6"/>
      <c r="L40" s="6"/>
    </row>
    <row r="41" spans="1:13" x14ac:dyDescent="0.3">
      <c r="A41" s="6" t="s">
        <v>1</v>
      </c>
      <c r="B41" s="6"/>
      <c r="C41" s="6"/>
      <c r="D41" s="6"/>
      <c r="E41" s="6"/>
      <c r="F41" s="6"/>
      <c r="G41" s="6"/>
      <c r="H41" s="6"/>
      <c r="I41" s="6"/>
      <c r="J41" s="6"/>
      <c r="K41" s="6"/>
      <c r="L41" s="6"/>
    </row>
    <row r="42" spans="1:13" x14ac:dyDescent="0.3">
      <c r="A42" s="6"/>
      <c r="B42" s="6"/>
      <c r="C42" s="6"/>
      <c r="D42" s="6"/>
      <c r="E42" s="6"/>
      <c r="F42" s="6"/>
      <c r="G42" s="6"/>
      <c r="H42" s="6"/>
      <c r="I42" s="6"/>
      <c r="J42" s="6"/>
      <c r="K42" s="6"/>
      <c r="L42" s="6"/>
    </row>
    <row r="43" spans="1:13" x14ac:dyDescent="0.3">
      <c r="B43" s="84" t="s">
        <v>234</v>
      </c>
      <c r="C43" s="6"/>
      <c r="D43" s="6"/>
      <c r="E43" s="6"/>
      <c r="F43" s="6"/>
      <c r="G43" s="6"/>
      <c r="H43" s="6"/>
      <c r="I43" s="6"/>
      <c r="J43" s="6"/>
      <c r="K43" s="6"/>
      <c r="L43" s="6"/>
    </row>
    <row r="44" spans="1:13" x14ac:dyDescent="0.3">
      <c r="B44" s="84"/>
      <c r="M44" s="6"/>
    </row>
    <row r="45" spans="1:13" x14ac:dyDescent="0.3">
      <c r="B45" s="84" t="s">
        <v>235</v>
      </c>
      <c r="M45" s="6"/>
    </row>
    <row r="47" spans="1:13" x14ac:dyDescent="0.3">
      <c r="A47" s="5" t="s">
        <v>0</v>
      </c>
      <c r="B47" s="8" t="s">
        <v>18</v>
      </c>
      <c r="C47" s="4"/>
      <c r="D47" s="4"/>
      <c r="E47" s="4"/>
      <c r="F47" s="4"/>
      <c r="G47" s="4"/>
      <c r="H47" s="4"/>
      <c r="I47" s="4"/>
      <c r="J47" s="4"/>
      <c r="K47" s="4"/>
      <c r="L47" s="4"/>
    </row>
    <row r="48" spans="1:13" x14ac:dyDescent="0.3">
      <c r="A48" s="6"/>
      <c r="B48" s="6"/>
      <c r="C48" s="6"/>
      <c r="D48" s="6"/>
      <c r="E48" s="6"/>
      <c r="F48" s="6"/>
      <c r="G48" s="6"/>
      <c r="H48" s="6"/>
      <c r="I48" s="6"/>
      <c r="J48" s="6"/>
      <c r="K48" s="6"/>
      <c r="L48" s="6"/>
    </row>
    <row r="49" spans="1:12" x14ac:dyDescent="0.3">
      <c r="A49" s="6" t="s">
        <v>1</v>
      </c>
      <c r="B49" s="6"/>
      <c r="C49" s="6"/>
      <c r="D49" s="6"/>
      <c r="E49" s="6"/>
      <c r="F49" s="6"/>
      <c r="G49" s="6"/>
      <c r="H49" s="6"/>
      <c r="I49" s="6"/>
      <c r="J49" s="6"/>
      <c r="K49" s="6"/>
      <c r="L49" s="6"/>
    </row>
    <row r="50" spans="1:12" x14ac:dyDescent="0.3">
      <c r="A50" s="6"/>
      <c r="B50" s="6"/>
      <c r="C50" s="6"/>
      <c r="D50" s="6"/>
      <c r="E50" s="6"/>
      <c r="F50" s="6"/>
      <c r="G50" s="6"/>
      <c r="H50" s="6"/>
      <c r="I50" s="6"/>
      <c r="J50" s="6"/>
      <c r="K50" s="6"/>
      <c r="L50" s="6"/>
    </row>
    <row r="51" spans="1:12" x14ac:dyDescent="0.3">
      <c r="A51" s="6"/>
      <c r="B51" s="85" t="s">
        <v>13</v>
      </c>
      <c r="C51" s="192" t="s">
        <v>236</v>
      </c>
      <c r="D51" s="192"/>
      <c r="E51" s="192"/>
      <c r="F51" s="192"/>
      <c r="G51" s="6"/>
      <c r="H51" s="6"/>
      <c r="I51" s="6"/>
      <c r="J51" s="6"/>
      <c r="K51" s="6"/>
      <c r="L51" s="6"/>
    </row>
    <row r="52" spans="1:12" x14ac:dyDescent="0.3">
      <c r="A52" s="6"/>
      <c r="B52" s="81" t="s">
        <v>15</v>
      </c>
      <c r="C52" s="81">
        <v>12</v>
      </c>
      <c r="D52" s="81">
        <f>C52+12</f>
        <v>24</v>
      </c>
      <c r="E52" s="81">
        <f t="shared" ref="E52:F52" si="0">D52+12</f>
        <v>36</v>
      </c>
      <c r="F52" s="81">
        <f t="shared" si="0"/>
        <v>48</v>
      </c>
      <c r="G52" s="6"/>
      <c r="H52" s="6"/>
      <c r="I52" s="6"/>
      <c r="J52" s="6"/>
      <c r="K52" s="6"/>
      <c r="L52" s="6"/>
    </row>
    <row r="53" spans="1:12" x14ac:dyDescent="0.3">
      <c r="A53" s="6"/>
      <c r="B53" s="85" t="str">
        <f>B21&amp;"-"&amp;B22</f>
        <v>2020-2021</v>
      </c>
      <c r="C53" s="86">
        <f>C22/C21-1</f>
        <v>8.0321285140563248E-3</v>
      </c>
      <c r="D53" s="86">
        <f>D22/D21-1</f>
        <v>7.0921985815601829E-3</v>
      </c>
      <c r="E53" s="86">
        <f>E22/E21-1</f>
        <v>-4.7675804529201393E-3</v>
      </c>
      <c r="F53" s="86">
        <f>F22/F21-1</f>
        <v>-1.0834236186348822E-2</v>
      </c>
      <c r="G53" s="6"/>
      <c r="H53" s="6"/>
      <c r="I53" s="6"/>
      <c r="J53" s="6"/>
      <c r="K53" s="6"/>
      <c r="L53" s="6"/>
    </row>
    <row r="54" spans="1:12" x14ac:dyDescent="0.3">
      <c r="A54" s="6"/>
      <c r="B54" s="85" t="str">
        <f t="shared" ref="B54:B56" si="1">B22&amp;"-"&amp;B23</f>
        <v>2021-2022</v>
      </c>
      <c r="C54" s="86">
        <f t="shared" ref="C54:D56" si="2">C23/C22-1</f>
        <v>2.3904382470119501E-2</v>
      </c>
      <c r="D54" s="86">
        <f t="shared" si="2"/>
        <v>-7.0422535211267512E-3</v>
      </c>
      <c r="E54" s="86">
        <f t="shared" ref="E54" si="3">E23/E22-1</f>
        <v>-2.7544910179640558E-2</v>
      </c>
      <c r="F54" s="85"/>
      <c r="G54" s="6"/>
      <c r="H54" s="6"/>
      <c r="I54" s="6"/>
      <c r="J54" s="6"/>
      <c r="K54" s="6"/>
      <c r="L54" s="6"/>
    </row>
    <row r="55" spans="1:12" x14ac:dyDescent="0.3">
      <c r="A55" s="6"/>
      <c r="B55" s="85" t="str">
        <f t="shared" si="1"/>
        <v>2022-2023</v>
      </c>
      <c r="C55" s="86">
        <f t="shared" si="2"/>
        <v>-2.9182879377431914E-2</v>
      </c>
      <c r="D55" s="86">
        <f t="shared" si="2"/>
        <v>-7.0921985815602717E-2</v>
      </c>
      <c r="E55" s="85"/>
      <c r="F55" s="85"/>
      <c r="G55" s="6"/>
      <c r="H55" s="6"/>
      <c r="I55" s="6"/>
      <c r="J55" s="6"/>
      <c r="K55" s="6"/>
      <c r="L55" s="6"/>
    </row>
    <row r="56" spans="1:12" x14ac:dyDescent="0.3">
      <c r="A56" s="6"/>
      <c r="B56" s="85" t="str">
        <f t="shared" si="1"/>
        <v>2023-2024</v>
      </c>
      <c r="C56" s="86">
        <f t="shared" si="2"/>
        <v>-7.4148296593186336E-2</v>
      </c>
      <c r="D56" s="85"/>
      <c r="E56" s="85"/>
      <c r="F56" s="85"/>
      <c r="G56" s="6"/>
      <c r="H56" s="6"/>
      <c r="I56" s="6"/>
      <c r="J56" s="6"/>
      <c r="K56" s="6"/>
      <c r="L56" s="6"/>
    </row>
    <row r="57" spans="1:12" x14ac:dyDescent="0.3">
      <c r="A57" s="6"/>
      <c r="B57" s="6"/>
      <c r="C57" s="6"/>
      <c r="D57" s="6"/>
      <c r="E57" s="6"/>
      <c r="F57" s="6"/>
      <c r="G57" s="6"/>
      <c r="H57" s="6"/>
      <c r="I57" s="6"/>
      <c r="J57" s="6"/>
      <c r="K57" s="6"/>
      <c r="L57" s="6"/>
    </row>
    <row r="58" spans="1:12" x14ac:dyDescent="0.3">
      <c r="A58" s="6"/>
      <c r="B58" s="6" t="s">
        <v>238</v>
      </c>
      <c r="C58" s="6"/>
      <c r="D58" s="6"/>
      <c r="E58" s="6"/>
      <c r="F58" s="6"/>
      <c r="G58" s="6"/>
      <c r="H58" s="6"/>
      <c r="I58" s="6"/>
      <c r="J58" s="6"/>
      <c r="K58" s="6"/>
      <c r="L58" s="6"/>
    </row>
    <row r="59" spans="1:12" x14ac:dyDescent="0.3">
      <c r="A59" s="6"/>
      <c r="B59" s="6"/>
      <c r="C59" s="6"/>
      <c r="D59" s="6"/>
      <c r="E59" s="6"/>
      <c r="F59" s="6"/>
      <c r="G59" s="6"/>
      <c r="H59" s="6"/>
      <c r="I59" s="6"/>
      <c r="J59" s="6"/>
      <c r="K59" s="6"/>
      <c r="L59" s="6"/>
    </row>
    <row r="60" spans="1:12" x14ac:dyDescent="0.3">
      <c r="A60" s="6"/>
      <c r="B60" s="85" t="s">
        <v>13</v>
      </c>
      <c r="C60" s="193" t="s">
        <v>237</v>
      </c>
      <c r="D60" s="193"/>
      <c r="E60" s="193"/>
      <c r="F60" s="193"/>
      <c r="G60" s="6"/>
      <c r="H60" s="6"/>
      <c r="I60" s="6"/>
      <c r="J60" s="6"/>
      <c r="K60" s="6"/>
      <c r="L60" s="6"/>
    </row>
    <row r="61" spans="1:12" x14ac:dyDescent="0.3">
      <c r="A61" s="6"/>
      <c r="B61" s="81" t="s">
        <v>15</v>
      </c>
      <c r="C61" s="81">
        <v>12</v>
      </c>
      <c r="D61" s="81">
        <f>C61+12</f>
        <v>24</v>
      </c>
      <c r="E61" s="81">
        <f t="shared" ref="E61:F61" si="4">D61+12</f>
        <v>36</v>
      </c>
      <c r="F61" s="81">
        <f t="shared" si="4"/>
        <v>48</v>
      </c>
      <c r="G61" s="6"/>
      <c r="H61" s="6"/>
      <c r="I61" s="6"/>
      <c r="J61" s="6"/>
      <c r="K61" s="6"/>
      <c r="L61" s="6"/>
    </row>
    <row r="62" spans="1:12" x14ac:dyDescent="0.3">
      <c r="A62" s="6"/>
      <c r="B62" s="85" t="str">
        <f>B29&amp;"-"&amp;B30</f>
        <v>2020-2021</v>
      </c>
      <c r="C62" s="86">
        <f>C30/C29-1</f>
        <v>1.7211703958691871E-2</v>
      </c>
      <c r="D62" s="86">
        <f>D30/D29-1</f>
        <v>8.4507042253521014E-3</v>
      </c>
      <c r="E62" s="86">
        <f>E30/E29-1</f>
        <v>-3.7878787878787845E-3</v>
      </c>
      <c r="F62" s="86">
        <f>F30/F29-1</f>
        <v>-1.179245283018826E-3</v>
      </c>
      <c r="G62" s="6"/>
      <c r="H62" s="6"/>
      <c r="I62" s="6"/>
      <c r="J62" s="6"/>
      <c r="K62" s="6"/>
      <c r="L62" s="6"/>
    </row>
    <row r="63" spans="1:12" x14ac:dyDescent="0.3">
      <c r="A63" s="6"/>
      <c r="B63" s="85" t="str">
        <f>B30&amp;"-"&amp;B31</f>
        <v>2021-2022</v>
      </c>
      <c r="C63" s="86">
        <f t="shared" ref="C63:E63" si="5">C31/C30-1</f>
        <v>-2.5380710659898553E-2</v>
      </c>
      <c r="D63" s="86">
        <f t="shared" si="5"/>
        <v>-9.7765363128491378E-3</v>
      </c>
      <c r="E63" s="86">
        <f t="shared" si="5"/>
        <v>1.2674271229404788E-3</v>
      </c>
      <c r="F63" s="85"/>
      <c r="G63" s="6"/>
      <c r="H63" s="6"/>
      <c r="I63" s="6"/>
      <c r="J63" s="6"/>
      <c r="K63" s="6"/>
      <c r="L63" s="6"/>
    </row>
    <row r="64" spans="1:12" x14ac:dyDescent="0.3">
      <c r="B64" s="85" t="str">
        <f>B31&amp;"-"&amp;B32</f>
        <v>2022-2023</v>
      </c>
      <c r="C64" s="86">
        <f t="shared" ref="C64:D64" si="6">C32/C31-1</f>
        <v>1.9097222222222321E-2</v>
      </c>
      <c r="D64" s="86">
        <f t="shared" si="6"/>
        <v>8.4626234132580969E-3</v>
      </c>
      <c r="E64" s="85"/>
      <c r="F64" s="85"/>
    </row>
    <row r="65" spans="1:14" x14ac:dyDescent="0.3">
      <c r="B65" s="85" t="str">
        <f>B32&amp;"-"&amp;B33</f>
        <v>2023-2024</v>
      </c>
      <c r="C65" s="86">
        <f t="shared" ref="C65" si="7">C33/C32-1</f>
        <v>-1.0221465076660996E-2</v>
      </c>
      <c r="D65" s="85"/>
      <c r="E65" s="85"/>
      <c r="F65" s="85"/>
    </row>
    <row r="66" spans="1:14" x14ac:dyDescent="0.3">
      <c r="M66" s="6"/>
      <c r="N66" s="6"/>
    </row>
    <row r="67" spans="1:14" x14ac:dyDescent="0.3">
      <c r="B67" s="1" t="s">
        <v>241</v>
      </c>
      <c r="M67" s="6"/>
      <c r="N67" s="6"/>
    </row>
    <row r="68" spans="1:14" x14ac:dyDescent="0.3">
      <c r="M68" s="6"/>
      <c r="N68" s="6"/>
    </row>
    <row r="69" spans="1:14" x14ac:dyDescent="0.3">
      <c r="A69" s="5" t="s">
        <v>2</v>
      </c>
      <c r="B69" s="8" t="s">
        <v>19</v>
      </c>
      <c r="C69" s="4"/>
      <c r="D69" s="4"/>
      <c r="E69" s="4"/>
      <c r="F69" s="4"/>
      <c r="G69" s="4"/>
      <c r="H69" s="4"/>
      <c r="I69" s="4"/>
      <c r="J69" s="4"/>
      <c r="K69" s="4"/>
      <c r="L69" s="4"/>
    </row>
    <row r="70" spans="1:14" x14ac:dyDescent="0.3">
      <c r="A70" s="6"/>
      <c r="B70" s="6"/>
      <c r="C70" s="6"/>
      <c r="D70" s="6"/>
      <c r="E70" s="6"/>
      <c r="F70" s="6"/>
      <c r="G70" s="6"/>
      <c r="H70" s="6"/>
      <c r="I70" s="6"/>
      <c r="J70" s="6"/>
      <c r="K70" s="6"/>
      <c r="L70" s="6"/>
    </row>
    <row r="71" spans="1:14" x14ac:dyDescent="0.3">
      <c r="A71" s="6" t="s">
        <v>1</v>
      </c>
      <c r="B71" s="6"/>
      <c r="C71" s="6"/>
      <c r="D71" s="6"/>
      <c r="E71" s="6"/>
      <c r="F71" s="6"/>
      <c r="G71" s="6"/>
      <c r="H71" s="6"/>
      <c r="I71" s="6"/>
      <c r="J71" s="6"/>
      <c r="K71" s="6"/>
      <c r="L71" s="6"/>
    </row>
    <row r="72" spans="1:14" x14ac:dyDescent="0.3">
      <c r="A72" s="6"/>
      <c r="B72" s="6"/>
      <c r="C72" s="6"/>
      <c r="D72" s="6"/>
      <c r="E72" s="6"/>
      <c r="F72" s="6"/>
      <c r="G72" s="6"/>
      <c r="H72" s="6"/>
      <c r="I72" s="6"/>
      <c r="J72" s="6"/>
      <c r="K72" s="6"/>
      <c r="L72" s="6"/>
    </row>
    <row r="73" spans="1:14" x14ac:dyDescent="0.3">
      <c r="A73" s="6"/>
      <c r="B73" s="6" t="s">
        <v>239</v>
      </c>
      <c r="C73" s="6"/>
      <c r="D73" s="6"/>
      <c r="E73" s="6"/>
      <c r="F73" s="6"/>
      <c r="G73" s="6"/>
      <c r="H73" s="6"/>
      <c r="I73" s="6"/>
      <c r="J73" s="6"/>
      <c r="K73" s="6"/>
      <c r="L73" s="6"/>
    </row>
    <row r="74" spans="1:14" x14ac:dyDescent="0.3">
      <c r="M74" s="6"/>
    </row>
    <row r="75" spans="1:14" x14ac:dyDescent="0.3">
      <c r="A75" s="8" t="s">
        <v>222</v>
      </c>
      <c r="B75" s="12"/>
      <c r="C75" s="12"/>
      <c r="D75" s="12"/>
      <c r="E75" s="12"/>
      <c r="F75" s="12"/>
      <c r="G75" s="12"/>
      <c r="H75" s="12"/>
      <c r="I75" s="12"/>
      <c r="J75" s="12"/>
      <c r="K75" s="12"/>
      <c r="L75" s="12"/>
      <c r="M75" s="6"/>
    </row>
    <row r="77" spans="1:14" x14ac:dyDescent="0.3">
      <c r="A77" s="5" t="s">
        <v>3</v>
      </c>
      <c r="B77" s="191" t="s">
        <v>20</v>
      </c>
      <c r="C77" s="191"/>
      <c r="D77" s="191"/>
      <c r="E77" s="191"/>
      <c r="F77" s="191"/>
      <c r="G77" s="191"/>
      <c r="H77" s="191"/>
      <c r="I77" s="191"/>
      <c r="J77" s="191"/>
      <c r="K77" s="191"/>
      <c r="L77" s="4"/>
    </row>
    <row r="78" spans="1:14" x14ac:dyDescent="0.3">
      <c r="A78" s="3"/>
      <c r="B78" s="191"/>
      <c r="C78" s="191"/>
      <c r="D78" s="191"/>
      <c r="E78" s="191"/>
      <c r="F78" s="191"/>
      <c r="G78" s="191"/>
      <c r="H78" s="191"/>
      <c r="I78" s="191"/>
      <c r="J78" s="191"/>
      <c r="K78" s="191"/>
      <c r="L78" s="4"/>
    </row>
    <row r="79" spans="1:14" x14ac:dyDescent="0.3">
      <c r="A79" s="6"/>
      <c r="B79" s="6"/>
      <c r="C79" s="6"/>
      <c r="D79" s="6"/>
      <c r="E79" s="6"/>
      <c r="F79" s="6"/>
      <c r="G79" s="6"/>
      <c r="H79" s="6"/>
      <c r="I79" s="6"/>
      <c r="J79" s="6"/>
      <c r="K79" s="6"/>
      <c r="L79" s="6"/>
    </row>
    <row r="80" spans="1:14" x14ac:dyDescent="0.3">
      <c r="A80" s="6" t="s">
        <v>1</v>
      </c>
      <c r="B80" s="6"/>
      <c r="C80" s="6"/>
      <c r="D80" s="6"/>
      <c r="E80" s="6"/>
      <c r="F80" s="6"/>
      <c r="G80" s="6"/>
      <c r="H80" s="6"/>
      <c r="I80" s="6"/>
      <c r="J80" s="6"/>
      <c r="K80" s="6"/>
      <c r="L80" s="6"/>
    </row>
    <row r="81" spans="1:12" x14ac:dyDescent="0.3">
      <c r="A81" s="6"/>
      <c r="B81" s="6"/>
      <c r="C81" s="6"/>
      <c r="D81" s="6"/>
      <c r="E81" s="6"/>
      <c r="F81" s="6"/>
      <c r="G81" s="6"/>
      <c r="H81" s="6"/>
      <c r="I81" s="6"/>
      <c r="J81" s="6"/>
      <c r="K81" s="6"/>
      <c r="L81" s="6"/>
    </row>
    <row r="82" spans="1:12" x14ac:dyDescent="0.3">
      <c r="A82" s="6"/>
      <c r="B82" s="6" t="s">
        <v>240</v>
      </c>
      <c r="C82" s="6"/>
      <c r="D82" s="6"/>
      <c r="E82" s="6"/>
      <c r="F82" s="6"/>
      <c r="G82" s="6"/>
      <c r="H82" s="6"/>
      <c r="I82" s="6"/>
      <c r="J82" s="6"/>
      <c r="K82" s="6"/>
      <c r="L82" s="6"/>
    </row>
  </sheetData>
  <mergeCells count="6">
    <mergeCell ref="C19:G19"/>
    <mergeCell ref="C27:G27"/>
    <mergeCell ref="B38:K39"/>
    <mergeCell ref="B77:K78"/>
    <mergeCell ref="C51:F51"/>
    <mergeCell ref="C60:F60"/>
  </mergeCell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769A-47C9-4F8E-8FA5-0286EBEB0863}">
  <dimension ref="A1:L4"/>
  <sheetViews>
    <sheetView zoomScaleNormal="100" workbookViewId="0"/>
  </sheetViews>
  <sheetFormatPr defaultRowHeight="15.6" x14ac:dyDescent="0.3"/>
  <cols>
    <col min="1" max="6" width="8.88671875" style="1" customWidth="1"/>
    <col min="7" max="7" width="8.88671875" style="1"/>
    <col min="8" max="8" width="8.88671875" style="1" customWidth="1"/>
    <col min="9" max="16384" width="8.88671875" style="1"/>
  </cols>
  <sheetData>
    <row r="1" spans="1:12" ht="17.399999999999999" x14ac:dyDescent="0.3">
      <c r="A1" s="2" t="s">
        <v>142</v>
      </c>
      <c r="B1" s="4"/>
      <c r="C1" s="8" t="s">
        <v>31</v>
      </c>
      <c r="D1" s="4"/>
      <c r="E1" s="4"/>
      <c r="F1" s="4"/>
      <c r="G1" s="4"/>
      <c r="H1" s="4"/>
      <c r="I1" s="4"/>
      <c r="J1" s="4"/>
      <c r="K1" s="4"/>
      <c r="L1" s="3"/>
    </row>
    <row r="2" spans="1:12" x14ac:dyDescent="0.3">
      <c r="A2" s="4"/>
      <c r="B2" s="4"/>
      <c r="C2" s="4"/>
      <c r="D2" s="4"/>
      <c r="E2" s="4"/>
      <c r="F2" s="4"/>
      <c r="G2" s="4"/>
      <c r="H2" s="4"/>
      <c r="I2" s="4"/>
      <c r="J2" s="4"/>
      <c r="K2" s="4"/>
      <c r="L2" s="3"/>
    </row>
    <row r="3" spans="1:12" ht="16.2" x14ac:dyDescent="0.35">
      <c r="A3" s="10" t="s">
        <v>143</v>
      </c>
      <c r="B3" s="4"/>
      <c r="C3" s="4"/>
      <c r="D3" s="4"/>
      <c r="E3" s="4"/>
      <c r="F3" s="4"/>
      <c r="G3" s="4"/>
      <c r="H3" s="8"/>
      <c r="I3" s="8"/>
      <c r="J3" s="8"/>
      <c r="K3" s="8"/>
      <c r="L3" s="8"/>
    </row>
    <row r="4" spans="1:12" x14ac:dyDescent="0.3">
      <c r="A4" s="4"/>
      <c r="B4" s="4"/>
      <c r="C4" s="4"/>
      <c r="D4" s="4"/>
      <c r="E4" s="4"/>
      <c r="F4" s="4"/>
      <c r="G4" s="4"/>
      <c r="H4" s="8"/>
      <c r="I4" s="8"/>
      <c r="J4" s="8"/>
      <c r="K4" s="8"/>
      <c r="L4" s="8"/>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F3ED5-1B57-4D82-AB1F-55DD2A493470}">
  <dimension ref="A1:R64"/>
  <sheetViews>
    <sheetView zoomScaleNormal="100" workbookViewId="0"/>
  </sheetViews>
  <sheetFormatPr defaultRowHeight="15.6" x14ac:dyDescent="0.3"/>
  <cols>
    <col min="1" max="1" width="14.44140625" style="1" customWidth="1"/>
    <col min="2" max="8" width="17.33203125" style="1" customWidth="1"/>
    <col min="9" max="16384" width="8.88671875" style="1"/>
  </cols>
  <sheetData>
    <row r="1" spans="1:18" ht="17.399999999999999" x14ac:dyDescent="0.3">
      <c r="A1" s="2" t="s">
        <v>144</v>
      </c>
      <c r="B1" s="4"/>
      <c r="C1" s="8" t="s">
        <v>45</v>
      </c>
      <c r="D1" s="4"/>
      <c r="E1" s="4"/>
      <c r="F1" s="4"/>
      <c r="G1" s="4"/>
      <c r="H1" s="4"/>
      <c r="I1" s="4"/>
      <c r="J1" s="4"/>
      <c r="K1" s="4"/>
      <c r="L1" s="3"/>
    </row>
    <row r="2" spans="1:18" x14ac:dyDescent="0.3">
      <c r="A2" s="8"/>
      <c r="B2" s="8"/>
      <c r="C2" s="8"/>
      <c r="D2" s="8"/>
      <c r="E2" s="4"/>
      <c r="F2" s="4"/>
      <c r="G2" s="4"/>
      <c r="H2" s="4"/>
      <c r="I2" s="4"/>
      <c r="J2" s="4"/>
      <c r="K2" s="4"/>
      <c r="L2" s="3"/>
    </row>
    <row r="3" spans="1:18" x14ac:dyDescent="0.3">
      <c r="A3" s="8" t="s">
        <v>145</v>
      </c>
      <c r="B3" s="8"/>
      <c r="C3" s="8"/>
      <c r="D3" s="8"/>
      <c r="E3" s="4"/>
      <c r="F3" s="4"/>
      <c r="G3" s="4"/>
      <c r="H3" s="4"/>
      <c r="I3" s="4"/>
      <c r="J3" s="4"/>
      <c r="K3" s="4"/>
      <c r="L3" s="3"/>
    </row>
    <row r="4" spans="1:18" x14ac:dyDescent="0.3">
      <c r="A4" s="6"/>
      <c r="B4" s="6"/>
      <c r="C4" s="6"/>
      <c r="D4" s="6"/>
      <c r="E4" s="6"/>
      <c r="F4" s="6"/>
      <c r="G4" s="6"/>
      <c r="H4" s="6"/>
      <c r="I4" s="6"/>
      <c r="J4" s="6"/>
      <c r="K4" s="6"/>
      <c r="L4" s="6"/>
    </row>
    <row r="5" spans="1:18" x14ac:dyDescent="0.3">
      <c r="A5" s="5" t="s">
        <v>4</v>
      </c>
      <c r="B5" s="8" t="s">
        <v>146</v>
      </c>
      <c r="C5" s="4"/>
      <c r="D5" s="4"/>
      <c r="E5" s="4"/>
      <c r="F5" s="4"/>
      <c r="G5" s="4"/>
      <c r="H5" s="4"/>
      <c r="I5" s="4"/>
      <c r="J5" s="4"/>
      <c r="K5" s="4"/>
      <c r="L5" s="4"/>
      <c r="M5" s="7"/>
      <c r="N5" s="7"/>
      <c r="O5" s="7"/>
      <c r="P5" s="7"/>
      <c r="Q5" s="7"/>
      <c r="R5" s="7"/>
    </row>
    <row r="6" spans="1:18" x14ac:dyDescent="0.3">
      <c r="A6" s="6"/>
      <c r="B6" s="6"/>
      <c r="C6" s="6"/>
      <c r="D6" s="6"/>
      <c r="E6" s="6"/>
      <c r="F6" s="6"/>
      <c r="G6" s="6"/>
      <c r="H6" s="6"/>
      <c r="I6" s="6"/>
      <c r="J6" s="6"/>
      <c r="K6" s="6"/>
      <c r="L6" s="6"/>
      <c r="M6" s="6"/>
    </row>
    <row r="7" spans="1:18" x14ac:dyDescent="0.3">
      <c r="A7" s="6" t="s">
        <v>1</v>
      </c>
      <c r="B7" s="6"/>
      <c r="C7" s="6"/>
      <c r="D7" s="6"/>
      <c r="E7" s="6"/>
      <c r="F7" s="6"/>
      <c r="G7" s="6"/>
      <c r="H7" s="6"/>
      <c r="I7" s="6"/>
      <c r="J7" s="6"/>
      <c r="K7" s="6"/>
      <c r="L7" s="6"/>
      <c r="M7" s="6"/>
      <c r="N7" s="7"/>
    </row>
    <row r="8" spans="1:18" x14ac:dyDescent="0.3">
      <c r="A8" s="6"/>
      <c r="B8" s="6"/>
      <c r="C8" s="6"/>
      <c r="D8" s="6"/>
      <c r="E8" s="6"/>
      <c r="F8" s="6"/>
      <c r="G8" s="6"/>
      <c r="H8" s="6"/>
      <c r="I8" s="6"/>
      <c r="J8" s="6"/>
      <c r="K8" s="6"/>
      <c r="L8" s="6"/>
      <c r="M8" s="6"/>
      <c r="N8" s="7"/>
    </row>
    <row r="9" spans="1:18" x14ac:dyDescent="0.3">
      <c r="A9" s="6" t="s">
        <v>391</v>
      </c>
      <c r="B9" s="6"/>
      <c r="C9" s="6"/>
      <c r="D9" s="6"/>
      <c r="E9" s="6"/>
      <c r="F9" s="6"/>
      <c r="G9" s="6"/>
      <c r="H9" s="6"/>
      <c r="I9" s="6"/>
      <c r="J9" s="6"/>
      <c r="K9" s="6"/>
      <c r="L9" s="6"/>
      <c r="M9" s="6"/>
      <c r="N9" s="7"/>
    </row>
    <row r="10" spans="1:18" x14ac:dyDescent="0.3">
      <c r="A10" s="1" t="s">
        <v>392</v>
      </c>
      <c r="M10" s="7"/>
      <c r="N10" s="7"/>
    </row>
    <row r="11" spans="1:18" x14ac:dyDescent="0.3">
      <c r="M11" s="7"/>
      <c r="N11" s="7"/>
    </row>
    <row r="12" spans="1:18" x14ac:dyDescent="0.3">
      <c r="A12" s="13" t="s">
        <v>12</v>
      </c>
      <c r="B12" s="8"/>
      <c r="C12" s="8"/>
      <c r="D12" s="8"/>
      <c r="E12" s="8"/>
      <c r="F12" s="8"/>
      <c r="G12" s="8"/>
      <c r="H12" s="8"/>
      <c r="I12" s="8"/>
      <c r="J12" s="8"/>
      <c r="K12" s="8"/>
      <c r="L12" s="8"/>
      <c r="M12" s="7"/>
      <c r="N12" s="7"/>
    </row>
    <row r="13" spans="1:18" ht="46.8" x14ac:dyDescent="0.3">
      <c r="A13" s="8"/>
      <c r="B13" s="32" t="s">
        <v>29</v>
      </c>
      <c r="C13" s="32" t="s">
        <v>34</v>
      </c>
      <c r="D13" s="32" t="s">
        <v>147</v>
      </c>
      <c r="E13" s="60" t="s">
        <v>148</v>
      </c>
      <c r="F13" s="8"/>
      <c r="G13" s="8"/>
      <c r="H13" s="8"/>
      <c r="I13" s="8"/>
      <c r="J13" s="8"/>
      <c r="K13" s="8"/>
      <c r="L13" s="8"/>
      <c r="M13" s="7"/>
      <c r="N13" s="7"/>
    </row>
    <row r="14" spans="1:18" x14ac:dyDescent="0.3">
      <c r="A14" s="8"/>
      <c r="B14" s="19">
        <v>2018</v>
      </c>
      <c r="C14" s="29">
        <v>24036</v>
      </c>
      <c r="D14" s="29">
        <v>9304916</v>
      </c>
      <c r="E14" s="19">
        <v>1.0549999999999999</v>
      </c>
      <c r="F14" s="8"/>
      <c r="G14" s="8"/>
      <c r="H14" s="8"/>
      <c r="I14" s="8"/>
      <c r="J14" s="8"/>
      <c r="K14" s="8"/>
      <c r="L14" s="8"/>
      <c r="M14" s="7"/>
      <c r="N14" s="7"/>
    </row>
    <row r="15" spans="1:18" x14ac:dyDescent="0.3">
      <c r="A15" s="8"/>
      <c r="B15" s="19">
        <v>2019</v>
      </c>
      <c r="C15" s="29">
        <v>24429</v>
      </c>
      <c r="D15" s="29">
        <v>9343805</v>
      </c>
      <c r="E15" s="19">
        <v>1.1140000000000001</v>
      </c>
      <c r="F15" s="8"/>
      <c r="G15" s="8"/>
      <c r="H15" s="8"/>
      <c r="I15" s="8"/>
      <c r="J15" s="8"/>
      <c r="K15" s="8"/>
      <c r="L15" s="8"/>
      <c r="M15" s="7"/>
      <c r="N15" s="7"/>
    </row>
    <row r="16" spans="1:18" x14ac:dyDescent="0.3">
      <c r="A16" s="8"/>
      <c r="B16" s="19">
        <v>2020</v>
      </c>
      <c r="C16" s="29">
        <v>24934</v>
      </c>
      <c r="D16" s="29">
        <v>9119571</v>
      </c>
      <c r="E16" s="19">
        <v>1.224</v>
      </c>
      <c r="F16" s="8"/>
      <c r="G16" s="8"/>
      <c r="H16" s="8"/>
      <c r="I16" s="8"/>
      <c r="J16" s="8"/>
      <c r="K16" s="8"/>
      <c r="L16" s="8"/>
      <c r="M16" s="7"/>
      <c r="N16" s="7"/>
    </row>
    <row r="17" spans="1:14" x14ac:dyDescent="0.3">
      <c r="A17" s="8"/>
      <c r="B17" s="19">
        <v>2021</v>
      </c>
      <c r="C17" s="29">
        <v>25042</v>
      </c>
      <c r="D17" s="29">
        <v>8456780</v>
      </c>
      <c r="E17" s="19">
        <v>1.421</v>
      </c>
      <c r="F17" s="8"/>
      <c r="G17" s="8"/>
      <c r="H17" s="8"/>
      <c r="I17" s="8"/>
      <c r="J17" s="8"/>
      <c r="K17" s="8"/>
      <c r="L17" s="8"/>
      <c r="M17" s="7"/>
      <c r="N17" s="7"/>
    </row>
    <row r="18" spans="1:14" x14ac:dyDescent="0.3">
      <c r="A18" s="8"/>
      <c r="B18" s="19">
        <v>2022</v>
      </c>
      <c r="C18" s="29">
        <v>25370</v>
      </c>
      <c r="D18" s="29">
        <v>7273955</v>
      </c>
      <c r="E18" s="19">
        <v>1.752</v>
      </c>
      <c r="F18" s="8"/>
      <c r="G18" s="8"/>
      <c r="H18" s="8"/>
      <c r="I18" s="8"/>
      <c r="J18" s="8"/>
      <c r="K18" s="8"/>
      <c r="L18" s="8"/>
      <c r="M18" s="7"/>
      <c r="N18" s="7"/>
    </row>
    <row r="19" spans="1:14" x14ac:dyDescent="0.3">
      <c r="A19" s="8"/>
      <c r="B19" s="19">
        <v>2023</v>
      </c>
      <c r="C19" s="29">
        <v>25914</v>
      </c>
      <c r="D19" s="29">
        <v>5693605</v>
      </c>
      <c r="E19" s="19">
        <v>2.3570000000000002</v>
      </c>
      <c r="F19" s="8"/>
      <c r="G19" s="8"/>
      <c r="H19" s="8"/>
      <c r="I19" s="8"/>
      <c r="J19" s="8"/>
      <c r="K19" s="8"/>
      <c r="L19" s="8"/>
      <c r="M19" s="7"/>
      <c r="N19" s="7"/>
    </row>
    <row r="20" spans="1:14" x14ac:dyDescent="0.3">
      <c r="A20" s="8"/>
      <c r="B20" s="19">
        <v>2024</v>
      </c>
      <c r="C20" s="29">
        <v>26312</v>
      </c>
      <c r="D20" s="29">
        <v>3976374</v>
      </c>
      <c r="E20" s="19">
        <v>3.661</v>
      </c>
      <c r="F20" s="8"/>
      <c r="G20" s="8"/>
      <c r="H20" s="8"/>
      <c r="I20" s="8"/>
      <c r="J20" s="8"/>
      <c r="K20" s="8"/>
      <c r="L20" s="8"/>
      <c r="M20" s="7"/>
      <c r="N20" s="7"/>
    </row>
    <row r="21" spans="1:14" x14ac:dyDescent="0.3">
      <c r="A21" s="8"/>
      <c r="B21" s="8"/>
      <c r="C21" s="8"/>
      <c r="D21" s="8"/>
      <c r="E21" s="8"/>
      <c r="F21" s="8"/>
      <c r="G21" s="8"/>
      <c r="H21" s="8"/>
      <c r="I21" s="8"/>
      <c r="J21" s="8"/>
      <c r="K21" s="8"/>
      <c r="L21" s="8"/>
      <c r="M21" s="7"/>
      <c r="N21" s="7"/>
    </row>
    <row r="22" spans="1:14" x14ac:dyDescent="0.3">
      <c r="A22" s="8"/>
      <c r="B22" s="20" t="s">
        <v>149</v>
      </c>
      <c r="C22" s="8"/>
      <c r="D22" s="8"/>
      <c r="E22" s="8"/>
      <c r="F22" s="8"/>
      <c r="G22" s="8"/>
      <c r="H22" s="8"/>
      <c r="I22" s="8"/>
      <c r="J22" s="8"/>
      <c r="K22" s="8"/>
      <c r="L22" s="8"/>
      <c r="M22" s="7"/>
      <c r="N22" s="7"/>
    </row>
    <row r="23" spans="1:14" x14ac:dyDescent="0.3">
      <c r="A23" s="8"/>
      <c r="B23" s="20" t="s">
        <v>150</v>
      </c>
      <c r="C23" s="8"/>
      <c r="D23" s="36">
        <v>6.3E-2</v>
      </c>
      <c r="E23" s="8"/>
      <c r="F23" s="8"/>
      <c r="G23" s="8"/>
      <c r="H23" s="8"/>
      <c r="I23" s="8"/>
      <c r="J23" s="8"/>
      <c r="K23" s="8"/>
      <c r="L23" s="8"/>
      <c r="M23" s="7"/>
      <c r="N23" s="7"/>
    </row>
    <row r="24" spans="1:14" x14ac:dyDescent="0.3">
      <c r="A24" s="8"/>
      <c r="B24" s="20" t="s">
        <v>151</v>
      </c>
      <c r="C24" s="8"/>
      <c r="D24" s="36">
        <v>-6.0000000000000001E-3</v>
      </c>
      <c r="E24" s="8"/>
      <c r="F24" s="8"/>
      <c r="G24" s="8"/>
      <c r="H24" s="8"/>
      <c r="I24" s="8"/>
      <c r="J24" s="8"/>
      <c r="K24" s="8"/>
      <c r="L24" s="8"/>
      <c r="M24" s="7"/>
      <c r="N24" s="7"/>
    </row>
    <row r="25" spans="1:14" x14ac:dyDescent="0.3">
      <c r="A25" s="8"/>
      <c r="B25" s="20" t="s">
        <v>152</v>
      </c>
      <c r="C25" s="8"/>
      <c r="D25" s="36">
        <v>1.4E-2</v>
      </c>
      <c r="E25" s="8"/>
      <c r="F25" s="8"/>
      <c r="G25" s="8"/>
      <c r="H25" s="8"/>
      <c r="I25" s="8"/>
      <c r="J25" s="8"/>
      <c r="K25" s="8"/>
      <c r="L25" s="8"/>
      <c r="M25" s="7"/>
      <c r="N25" s="7"/>
    </row>
    <row r="26" spans="1:14" x14ac:dyDescent="0.3">
      <c r="D26" s="61"/>
      <c r="M26" s="7"/>
      <c r="N26" s="7"/>
    </row>
    <row r="27" spans="1:14" x14ac:dyDescent="0.3">
      <c r="A27" s="5" t="s">
        <v>5</v>
      </c>
      <c r="B27" s="191" t="s">
        <v>153</v>
      </c>
      <c r="C27" s="191"/>
      <c r="D27" s="191"/>
      <c r="E27" s="191"/>
      <c r="F27" s="191"/>
      <c r="G27" s="191"/>
      <c r="H27" s="191"/>
      <c r="I27" s="191"/>
      <c r="J27" s="191"/>
      <c r="K27" s="191"/>
      <c r="L27" s="4"/>
    </row>
    <row r="28" spans="1:14" x14ac:dyDescent="0.3">
      <c r="A28" s="5"/>
      <c r="B28" s="191"/>
      <c r="C28" s="191"/>
      <c r="D28" s="191"/>
      <c r="E28" s="191"/>
      <c r="F28" s="191"/>
      <c r="G28" s="191"/>
      <c r="H28" s="191"/>
      <c r="I28" s="191"/>
      <c r="J28" s="191"/>
      <c r="K28" s="191"/>
      <c r="L28" s="4"/>
    </row>
    <row r="29" spans="1:14" x14ac:dyDescent="0.3">
      <c r="A29" s="6"/>
      <c r="B29" s="6"/>
      <c r="C29" s="6"/>
      <c r="D29" s="6"/>
      <c r="E29" s="6"/>
      <c r="F29" s="6"/>
      <c r="G29" s="6"/>
      <c r="H29" s="6"/>
      <c r="I29" s="6"/>
      <c r="J29" s="6"/>
      <c r="K29" s="6"/>
      <c r="L29" s="6"/>
    </row>
    <row r="30" spans="1:14" x14ac:dyDescent="0.3">
      <c r="A30" s="6" t="s">
        <v>1</v>
      </c>
      <c r="B30" s="6"/>
      <c r="C30" s="6"/>
      <c r="D30" s="6"/>
      <c r="E30" s="6"/>
      <c r="F30" s="6"/>
      <c r="G30" s="6"/>
      <c r="H30" s="6"/>
      <c r="I30" s="6"/>
      <c r="J30" s="6"/>
      <c r="K30" s="6"/>
      <c r="L30" s="6"/>
    </row>
    <row r="31" spans="1:14" x14ac:dyDescent="0.3">
      <c r="A31" s="6"/>
      <c r="B31" s="6"/>
      <c r="C31" s="6"/>
      <c r="D31" s="6"/>
      <c r="E31" s="6"/>
      <c r="F31" s="6"/>
      <c r="G31" s="6"/>
      <c r="H31" s="6"/>
      <c r="I31" s="6"/>
      <c r="J31" s="6"/>
      <c r="K31" s="6"/>
      <c r="L31" s="6"/>
    </row>
    <row r="32" spans="1:14" x14ac:dyDescent="0.3">
      <c r="A32" s="169" t="s">
        <v>402</v>
      </c>
      <c r="B32" s="85"/>
      <c r="C32" s="115"/>
      <c r="D32" s="115"/>
      <c r="E32" s="85"/>
      <c r="F32"/>
      <c r="G32"/>
      <c r="I32" s="6"/>
      <c r="J32" s="6"/>
      <c r="K32" s="6"/>
      <c r="L32" s="6"/>
    </row>
    <row r="33" spans="1:12" x14ac:dyDescent="0.3">
      <c r="A33" s="170" t="s">
        <v>403</v>
      </c>
      <c r="C33" s="115"/>
      <c r="D33" s="115"/>
      <c r="E33" s="85"/>
      <c r="F33"/>
      <c r="G33"/>
      <c r="I33" s="6"/>
      <c r="J33" s="6"/>
      <c r="K33" s="6"/>
      <c r="L33" s="6"/>
    </row>
    <row r="34" spans="1:12" x14ac:dyDescent="0.3">
      <c r="A34" s="85"/>
      <c r="B34" s="115"/>
      <c r="C34" s="115"/>
      <c r="D34" s="85"/>
      <c r="I34" s="6"/>
      <c r="J34" s="6"/>
      <c r="K34" s="6"/>
      <c r="L34" s="6"/>
    </row>
    <row r="35" spans="1:12" x14ac:dyDescent="0.3">
      <c r="A35" s="119" t="s">
        <v>393</v>
      </c>
      <c r="B35" s="115"/>
      <c r="C35" s="164">
        <f>(1+D23)*(1+D24)-1</f>
        <v>5.662199999999995E-2</v>
      </c>
      <c r="D35" s="85"/>
      <c r="I35" s="6"/>
      <c r="J35" s="6"/>
      <c r="K35" s="6"/>
      <c r="L35" s="6"/>
    </row>
    <row r="36" spans="1:12" x14ac:dyDescent="0.3">
      <c r="A36" s="85"/>
      <c r="B36" s="115"/>
      <c r="C36" s="115"/>
      <c r="D36" s="85"/>
      <c r="I36" s="6"/>
      <c r="J36" s="6"/>
      <c r="K36" s="6"/>
      <c r="L36" s="6"/>
    </row>
    <row r="37" spans="1:12" ht="31.2" x14ac:dyDescent="0.3">
      <c r="A37" s="118" t="s">
        <v>29</v>
      </c>
      <c r="B37" s="118" t="s">
        <v>394</v>
      </c>
      <c r="C37" s="118" t="s">
        <v>395</v>
      </c>
      <c r="D37" s="118" t="s">
        <v>396</v>
      </c>
      <c r="E37" s="118" t="s">
        <v>397</v>
      </c>
      <c r="F37" s="118" t="s">
        <v>398</v>
      </c>
      <c r="G37" s="118" t="s">
        <v>399</v>
      </c>
      <c r="H37" s="118" t="s">
        <v>400</v>
      </c>
      <c r="I37" s="6"/>
      <c r="J37" s="6"/>
      <c r="K37" s="6"/>
      <c r="L37" s="6"/>
    </row>
    <row r="38" spans="1:12" x14ac:dyDescent="0.3">
      <c r="A38" s="85">
        <v>2018</v>
      </c>
      <c r="B38" s="116">
        <f>1/E14</f>
        <v>0.94786729857819907</v>
      </c>
      <c r="C38" s="165">
        <f>C39*(1+$D$25)</f>
        <v>1.086995459474474</v>
      </c>
      <c r="D38" s="115">
        <f t="shared" ref="D38:D44" si="0">B38*C38*C14</f>
        <v>24764.950581922709</v>
      </c>
      <c r="E38" s="165">
        <f t="shared" ref="E38:E43" si="1">E39*(1+$C$35)</f>
        <v>1.3916111299358374</v>
      </c>
      <c r="F38" s="115">
        <f t="shared" ref="F38:F44" si="2">E38*D14</f>
        <v>12948824.668718051</v>
      </c>
      <c r="G38" s="115">
        <f t="shared" ref="G38:G44" si="3">$F$47*C14*C38/E38</f>
        <v>10007224.035050197</v>
      </c>
      <c r="H38" s="115">
        <f t="shared" ref="H38:H44" si="4">D14+G38*(1-1/E14)</f>
        <v>9826619.6226803418</v>
      </c>
      <c r="I38" s="6"/>
      <c r="J38" s="6"/>
      <c r="K38" s="6"/>
      <c r="L38" s="6"/>
    </row>
    <row r="39" spans="1:12" x14ac:dyDescent="0.3">
      <c r="A39" s="85">
        <v>2019</v>
      </c>
      <c r="B39" s="116">
        <f t="shared" ref="B39:B44" si="5">1/E15</f>
        <v>0.89766606822262107</v>
      </c>
      <c r="C39" s="165">
        <f t="shared" ref="C39:C43" si="6">C40*(1+$D$25)</f>
        <v>1.0719876326178244</v>
      </c>
      <c r="D39" s="115">
        <f t="shared" si="0"/>
        <v>23507.707250647061</v>
      </c>
      <c r="E39" s="165">
        <f t="shared" si="1"/>
        <v>1.3170378147869697</v>
      </c>
      <c r="F39" s="115">
        <f t="shared" si="2"/>
        <v>12306144.518995561</v>
      </c>
      <c r="G39" s="115">
        <f t="shared" si="3"/>
        <v>10598363.498211304</v>
      </c>
      <c r="H39" s="115">
        <f t="shared" si="4"/>
        <v>10428377.207177818</v>
      </c>
      <c r="I39" s="6"/>
      <c r="J39" s="6"/>
      <c r="K39" s="6"/>
      <c r="L39" s="6"/>
    </row>
    <row r="40" spans="1:12" x14ac:dyDescent="0.3">
      <c r="A40" s="85">
        <v>2020</v>
      </c>
      <c r="B40" s="116">
        <f t="shared" si="5"/>
        <v>0.81699346405228757</v>
      </c>
      <c r="C40" s="165">
        <f t="shared" si="6"/>
        <v>1.0571870144160003</v>
      </c>
      <c r="D40" s="115">
        <f t="shared" si="0"/>
        <v>21535.866844320713</v>
      </c>
      <c r="E40" s="165">
        <f t="shared" si="1"/>
        <v>1.2464607161188861</v>
      </c>
      <c r="F40" s="115">
        <f t="shared" si="2"/>
        <v>11367186.999357026</v>
      </c>
      <c r="G40" s="115">
        <f t="shared" si="3"/>
        <v>11272150.28242236</v>
      </c>
      <c r="H40" s="115">
        <f t="shared" si="4"/>
        <v>11182448.175868144</v>
      </c>
      <c r="I40" s="6"/>
      <c r="J40" s="6"/>
      <c r="K40" s="6"/>
      <c r="L40" s="6"/>
    </row>
    <row r="41" spans="1:12" x14ac:dyDescent="0.3">
      <c r="A41" s="85">
        <v>2021</v>
      </c>
      <c r="B41" s="116">
        <f t="shared" si="5"/>
        <v>0.70372976776917662</v>
      </c>
      <c r="C41" s="165">
        <f t="shared" si="6"/>
        <v>1.0425907440000002</v>
      </c>
      <c r="D41" s="115">
        <f t="shared" si="0"/>
        <v>18373.369043805775</v>
      </c>
      <c r="E41" s="165">
        <f t="shared" si="1"/>
        <v>1.1796656856651537</v>
      </c>
      <c r="F41" s="115">
        <f t="shared" si="2"/>
        <v>9976173.1772193592</v>
      </c>
      <c r="G41" s="115">
        <f t="shared" si="3"/>
        <v>11796835.411791744</v>
      </c>
      <c r="H41" s="115">
        <f t="shared" si="4"/>
        <v>11951831.167040341</v>
      </c>
      <c r="I41" s="6"/>
      <c r="J41" s="6"/>
      <c r="K41" s="6"/>
      <c r="L41" s="6"/>
    </row>
    <row r="42" spans="1:12" x14ac:dyDescent="0.3">
      <c r="A42" s="85">
        <v>2022</v>
      </c>
      <c r="B42" s="116">
        <f t="shared" si="5"/>
        <v>0.57077625570776258</v>
      </c>
      <c r="C42" s="165">
        <f t="shared" si="6"/>
        <v>1.0281960000000001</v>
      </c>
      <c r="D42" s="115">
        <f t="shared" si="0"/>
        <v>14888.888424657536</v>
      </c>
      <c r="E42" s="165">
        <f t="shared" si="1"/>
        <v>1.1164500508839998</v>
      </c>
      <c r="F42" s="115">
        <f t="shared" si="2"/>
        <v>8121007.4298779247</v>
      </c>
      <c r="G42" s="115">
        <f t="shared" si="3"/>
        <v>12453707.755891297</v>
      </c>
      <c r="H42" s="115">
        <f t="shared" si="4"/>
        <v>12619382.07330494</v>
      </c>
      <c r="I42" s="6"/>
      <c r="J42" s="6"/>
      <c r="K42" s="6"/>
      <c r="L42" s="6"/>
    </row>
    <row r="43" spans="1:12" x14ac:dyDescent="0.3">
      <c r="A43" s="85">
        <v>2023</v>
      </c>
      <c r="B43" s="116">
        <f t="shared" si="5"/>
        <v>0.4242681374628765</v>
      </c>
      <c r="C43" s="165">
        <f t="shared" si="6"/>
        <v>1.014</v>
      </c>
      <c r="D43" s="115">
        <f t="shared" si="0"/>
        <v>11148.407297411963</v>
      </c>
      <c r="E43" s="165">
        <f t="shared" si="1"/>
        <v>1.056622</v>
      </c>
      <c r="F43" s="115">
        <f t="shared" si="2"/>
        <v>6015988.3023100002</v>
      </c>
      <c r="G43" s="115">
        <f t="shared" si="3"/>
        <v>13255446.197472101</v>
      </c>
      <c r="H43" s="115">
        <f t="shared" si="4"/>
        <v>13325187.728031244</v>
      </c>
      <c r="I43" s="6"/>
      <c r="J43" s="6"/>
      <c r="K43" s="6"/>
      <c r="L43" s="6"/>
    </row>
    <row r="44" spans="1:12" x14ac:dyDescent="0.3">
      <c r="A44" s="81">
        <v>2024</v>
      </c>
      <c r="B44" s="166">
        <f t="shared" si="5"/>
        <v>0.27314941272876264</v>
      </c>
      <c r="C44" s="167">
        <v>1</v>
      </c>
      <c r="D44" s="143">
        <f t="shared" si="0"/>
        <v>7187.1073477192031</v>
      </c>
      <c r="E44" s="167">
        <v>1</v>
      </c>
      <c r="F44" s="143">
        <f t="shared" si="2"/>
        <v>3976374</v>
      </c>
      <c r="G44" s="143">
        <f t="shared" si="3"/>
        <v>14024760.425440907</v>
      </c>
      <c r="H44" s="143">
        <f t="shared" si="4"/>
        <v>14170279.351570133</v>
      </c>
      <c r="I44" s="6"/>
      <c r="J44" s="6"/>
      <c r="K44" s="6"/>
      <c r="L44" s="6"/>
    </row>
    <row r="45" spans="1:12" x14ac:dyDescent="0.3">
      <c r="D45" s="115">
        <f>SUM(D38:D44)</f>
        <v>121406.29679048496</v>
      </c>
      <c r="F45" s="115">
        <f>SUM(F38:F44)</f>
        <v>64711699.096477918</v>
      </c>
      <c r="H45" s="115">
        <f>SUM(H38:H44)</f>
        <v>83504125.325672969</v>
      </c>
      <c r="I45" s="6"/>
      <c r="J45" s="6"/>
      <c r="K45" s="6"/>
      <c r="L45" s="6"/>
    </row>
    <row r="46" spans="1:12" x14ac:dyDescent="0.3">
      <c r="I46" s="6"/>
      <c r="J46" s="6"/>
      <c r="K46" s="6"/>
      <c r="L46" s="6"/>
    </row>
    <row r="47" spans="1:12" x14ac:dyDescent="0.3">
      <c r="D47" s="1" t="s">
        <v>401</v>
      </c>
      <c r="F47" s="168">
        <f>F45/D45</f>
        <v>533.01765070845647</v>
      </c>
      <c r="I47" s="6"/>
      <c r="J47" s="6"/>
      <c r="K47" s="6"/>
      <c r="L47" s="6"/>
    </row>
    <row r="49" spans="1:12" x14ac:dyDescent="0.3">
      <c r="A49" s="5" t="s">
        <v>0</v>
      </c>
      <c r="B49" s="191" t="s">
        <v>154</v>
      </c>
      <c r="C49" s="191"/>
      <c r="D49" s="191"/>
      <c r="E49" s="191"/>
      <c r="F49" s="191"/>
      <c r="G49" s="191"/>
      <c r="H49" s="191"/>
      <c r="I49" s="191"/>
      <c r="J49" s="191"/>
      <c r="K49" s="191"/>
      <c r="L49" s="4"/>
    </row>
    <row r="50" spans="1:12" x14ac:dyDescent="0.3">
      <c r="A50" s="5"/>
      <c r="B50" s="191"/>
      <c r="C50" s="191"/>
      <c r="D50" s="191"/>
      <c r="E50" s="191"/>
      <c r="F50" s="191"/>
      <c r="G50" s="191"/>
      <c r="H50" s="191"/>
      <c r="I50" s="191"/>
      <c r="J50" s="191"/>
      <c r="K50" s="191"/>
      <c r="L50" s="4"/>
    </row>
    <row r="51" spans="1:12" x14ac:dyDescent="0.3">
      <c r="A51" s="6"/>
      <c r="B51" s="6"/>
      <c r="C51" s="6"/>
      <c r="D51" s="6"/>
      <c r="E51" s="6"/>
      <c r="F51" s="6"/>
      <c r="G51" s="6"/>
      <c r="H51" s="6"/>
      <c r="I51" s="6"/>
      <c r="J51" s="6"/>
      <c r="K51" s="6"/>
      <c r="L51" s="6"/>
    </row>
    <row r="52" spans="1:12" x14ac:dyDescent="0.3">
      <c r="A52" s="6" t="s">
        <v>1</v>
      </c>
      <c r="B52" s="6"/>
      <c r="C52" s="6"/>
      <c r="D52" s="6"/>
      <c r="E52" s="6"/>
      <c r="F52" s="6"/>
      <c r="G52" s="6"/>
      <c r="H52" s="6"/>
      <c r="I52" s="6"/>
      <c r="J52" s="6"/>
      <c r="K52" s="6"/>
      <c r="L52" s="6"/>
    </row>
    <row r="53" spans="1:12" x14ac:dyDescent="0.3">
      <c r="A53" s="6"/>
      <c r="B53" s="6"/>
      <c r="C53" s="6"/>
      <c r="D53" s="6"/>
      <c r="E53" s="6"/>
      <c r="F53" s="6"/>
      <c r="G53" s="6"/>
      <c r="H53" s="6"/>
      <c r="I53" s="6"/>
      <c r="J53" s="6"/>
      <c r="K53" s="6"/>
      <c r="L53" s="6"/>
    </row>
    <row r="54" spans="1:12" ht="31.2" x14ac:dyDescent="0.3">
      <c r="A54" s="118" t="s">
        <v>29</v>
      </c>
      <c r="B54" s="118" t="s">
        <v>396</v>
      </c>
      <c r="C54" s="118" t="s">
        <v>398</v>
      </c>
      <c r="D54" s="118" t="s">
        <v>399</v>
      </c>
      <c r="E54" s="118" t="s">
        <v>400</v>
      </c>
      <c r="I54" s="6"/>
      <c r="J54" s="6"/>
      <c r="K54" s="6"/>
      <c r="L54" s="6"/>
    </row>
    <row r="55" spans="1:12" x14ac:dyDescent="0.3">
      <c r="A55" s="85">
        <v>2018</v>
      </c>
      <c r="B55"/>
      <c r="C55"/>
      <c r="D55" s="115">
        <f t="shared" ref="D55:D61" si="7">$C$64*C14*C38/E38</f>
        <v>10220820.327587914</v>
      </c>
      <c r="E55" s="115">
        <f t="shared" ref="E55:E61" si="8">D14+D55*(1-1/E14)</f>
        <v>9837754.9744240139</v>
      </c>
      <c r="I55" s="6"/>
      <c r="J55" s="6"/>
      <c r="K55" s="6"/>
      <c r="L55" s="6"/>
    </row>
    <row r="56" spans="1:12" x14ac:dyDescent="0.3">
      <c r="A56" s="85">
        <v>2019</v>
      </c>
      <c r="B56"/>
      <c r="C56"/>
      <c r="D56" s="115">
        <f t="shared" si="7"/>
        <v>10824577.195661884</v>
      </c>
      <c r="E56" s="115">
        <f t="shared" si="8"/>
        <v>10451526.544259835</v>
      </c>
    </row>
    <row r="57" spans="1:12" x14ac:dyDescent="0.3">
      <c r="A57" s="85">
        <v>2020</v>
      </c>
      <c r="B57"/>
      <c r="C57"/>
      <c r="D57" s="115">
        <f t="shared" si="7"/>
        <v>11512745.426572276</v>
      </c>
      <c r="E57" s="115">
        <f t="shared" si="8"/>
        <v>11226478.659764862</v>
      </c>
    </row>
    <row r="58" spans="1:12" x14ac:dyDescent="0.3">
      <c r="A58" s="85">
        <v>2021</v>
      </c>
      <c r="B58" s="115">
        <f>D41</f>
        <v>18373.369043805775</v>
      </c>
      <c r="C58" s="115">
        <f>F41</f>
        <v>9976173.1772193592</v>
      </c>
      <c r="D58" s="115">
        <f t="shared" si="7"/>
        <v>12048629.545590581</v>
      </c>
      <c r="E58" s="115">
        <f t="shared" si="8"/>
        <v>12026430.273535281</v>
      </c>
    </row>
    <row r="59" spans="1:12" x14ac:dyDescent="0.3">
      <c r="A59" s="85">
        <v>2022</v>
      </c>
      <c r="B59" s="115">
        <f>D42</f>
        <v>14888.888424657536</v>
      </c>
      <c r="C59" s="115">
        <f>F42</f>
        <v>8121007.4298779247</v>
      </c>
      <c r="D59" s="115">
        <f t="shared" si="7"/>
        <v>12719522.311025642</v>
      </c>
      <c r="E59" s="115">
        <f t="shared" si="8"/>
        <v>12733475.991947079</v>
      </c>
    </row>
    <row r="60" spans="1:12" x14ac:dyDescent="0.3">
      <c r="A60" s="85">
        <v>2023</v>
      </c>
      <c r="B60" s="115">
        <f>D43</f>
        <v>11148.407297411963</v>
      </c>
      <c r="C60" s="115">
        <f>F43</f>
        <v>6015988.3023100002</v>
      </c>
      <c r="D60" s="115">
        <f t="shared" si="7"/>
        <v>13538373.226366088</v>
      </c>
      <c r="E60" s="115">
        <f t="shared" si="8"/>
        <v>13488077.833338473</v>
      </c>
    </row>
    <row r="61" spans="1:12" x14ac:dyDescent="0.3">
      <c r="A61" s="81">
        <v>2024</v>
      </c>
      <c r="B61" s="143">
        <f>D44</f>
        <v>7187.1073477192031</v>
      </c>
      <c r="C61" s="143">
        <f>F44</f>
        <v>3976374</v>
      </c>
      <c r="D61" s="143">
        <f t="shared" si="7"/>
        <v>14324107.85886617</v>
      </c>
      <c r="E61" s="143">
        <f t="shared" si="8"/>
        <v>14387860.209353423</v>
      </c>
    </row>
    <row r="62" spans="1:12" x14ac:dyDescent="0.3">
      <c r="A62"/>
      <c r="B62" s="115">
        <f>SUM(B58:B61)</f>
        <v>51597.772113594481</v>
      </c>
      <c r="C62" s="115">
        <f>SUM(C58:C61)</f>
        <v>28089542.909407284</v>
      </c>
      <c r="E62" s="115">
        <f>SUM(E55:E61)</f>
        <v>84151604.486622959</v>
      </c>
    </row>
    <row r="63" spans="1:12" x14ac:dyDescent="0.3">
      <c r="A63"/>
      <c r="B63"/>
      <c r="C63"/>
      <c r="D63"/>
      <c r="E63"/>
      <c r="F63"/>
      <c r="G63"/>
      <c r="H63"/>
    </row>
    <row r="64" spans="1:12" x14ac:dyDescent="0.3">
      <c r="A64" s="1" t="s">
        <v>401</v>
      </c>
      <c r="C64" s="168">
        <f>C62/B62</f>
        <v>544.39449144368234</v>
      </c>
      <c r="H64"/>
    </row>
  </sheetData>
  <mergeCells count="2">
    <mergeCell ref="B27:K28"/>
    <mergeCell ref="B49:K50"/>
  </mergeCell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BC54F-5AB1-44B6-ABA2-2C9B6027FA10}">
  <dimension ref="A1:R111"/>
  <sheetViews>
    <sheetView zoomScaleNormal="100" workbookViewId="0"/>
  </sheetViews>
  <sheetFormatPr defaultRowHeight="15.6" x14ac:dyDescent="0.3"/>
  <cols>
    <col min="1" max="1" width="8.88671875" style="1" customWidth="1"/>
    <col min="2" max="4" width="14.77734375" style="1" customWidth="1"/>
    <col min="5" max="5" width="18.77734375" style="1" customWidth="1"/>
    <col min="6" max="8" width="14.77734375" style="1" customWidth="1"/>
    <col min="9" max="16384" width="8.88671875" style="1"/>
  </cols>
  <sheetData>
    <row r="1" spans="1:12" ht="17.399999999999999" x14ac:dyDescent="0.3">
      <c r="A1" s="2" t="s">
        <v>155</v>
      </c>
      <c r="B1" s="4"/>
      <c r="C1" s="8" t="s">
        <v>45</v>
      </c>
      <c r="D1" s="4"/>
      <c r="E1" s="4"/>
      <c r="F1" s="4"/>
      <c r="G1" s="4"/>
      <c r="H1" s="4"/>
      <c r="I1" s="4"/>
      <c r="J1" s="4"/>
      <c r="K1" s="4"/>
      <c r="L1" s="3"/>
    </row>
    <row r="2" spans="1:12" x14ac:dyDescent="0.3">
      <c r="A2" s="4"/>
      <c r="B2" s="4"/>
      <c r="C2" s="4"/>
      <c r="D2" s="4"/>
      <c r="E2" s="4"/>
      <c r="F2" s="4"/>
      <c r="G2" s="4"/>
      <c r="H2" s="4"/>
      <c r="I2" s="4"/>
      <c r="J2" s="4"/>
      <c r="K2" s="4"/>
      <c r="L2" s="3"/>
    </row>
    <row r="3" spans="1:12" x14ac:dyDescent="0.3">
      <c r="A3" s="8" t="s">
        <v>156</v>
      </c>
      <c r="B3" s="8"/>
      <c r="C3" s="8"/>
      <c r="D3" s="8"/>
      <c r="E3" s="8"/>
      <c r="F3" s="8"/>
      <c r="G3" s="8"/>
      <c r="H3" s="8"/>
      <c r="I3" s="8"/>
      <c r="J3" s="8"/>
      <c r="K3" s="4"/>
      <c r="L3" s="3"/>
    </row>
    <row r="4" spans="1:12" x14ac:dyDescent="0.3">
      <c r="A4" s="21"/>
      <c r="B4" s="8"/>
      <c r="C4" s="8"/>
      <c r="D4" s="8"/>
      <c r="E4" s="8"/>
      <c r="F4" s="8"/>
      <c r="G4" s="8"/>
      <c r="H4" s="8"/>
      <c r="I4" s="8"/>
      <c r="J4" s="8"/>
      <c r="K4" s="8"/>
      <c r="L4" s="8"/>
    </row>
    <row r="5" spans="1:12" x14ac:dyDescent="0.3">
      <c r="A5" s="13" t="s">
        <v>157</v>
      </c>
      <c r="B5" s="8"/>
      <c r="C5" s="8"/>
      <c r="D5" s="8"/>
      <c r="E5" s="8"/>
      <c r="F5" s="8"/>
      <c r="G5" s="8"/>
      <c r="H5" s="8"/>
      <c r="I5" s="8"/>
      <c r="J5" s="8"/>
      <c r="K5" s="8"/>
      <c r="L5" s="8"/>
    </row>
    <row r="6" spans="1:12" x14ac:dyDescent="0.3">
      <c r="A6" s="21"/>
      <c r="B6" s="8"/>
      <c r="C6" s="8"/>
      <c r="D6" s="8"/>
      <c r="E6" s="8"/>
      <c r="F6" s="8"/>
      <c r="G6" s="8"/>
      <c r="H6" s="8"/>
      <c r="I6" s="8"/>
      <c r="J6" s="8"/>
      <c r="K6" s="8"/>
      <c r="L6" s="8"/>
    </row>
    <row r="7" spans="1:12" ht="46.8" x14ac:dyDescent="0.3">
      <c r="A7" s="21"/>
      <c r="B7" s="32" t="s">
        <v>158</v>
      </c>
      <c r="C7" s="32" t="s">
        <v>159</v>
      </c>
      <c r="D7" s="8"/>
      <c r="E7" s="8"/>
      <c r="F7" s="8"/>
      <c r="G7" s="8"/>
      <c r="H7" s="8"/>
      <c r="I7" s="8"/>
      <c r="J7" s="8"/>
      <c r="K7" s="8"/>
      <c r="L7" s="8"/>
    </row>
    <row r="8" spans="1:12" x14ac:dyDescent="0.3">
      <c r="A8" s="21"/>
      <c r="B8" s="19">
        <v>2025</v>
      </c>
      <c r="C8" s="29">
        <v>9500</v>
      </c>
      <c r="D8" s="8"/>
      <c r="E8" s="8"/>
      <c r="F8" s="8"/>
      <c r="G8" s="8"/>
      <c r="H8" s="8"/>
      <c r="I8" s="8"/>
      <c r="J8" s="8"/>
      <c r="K8" s="8"/>
      <c r="L8" s="8"/>
    </row>
    <row r="9" spans="1:12" x14ac:dyDescent="0.3">
      <c r="A9" s="8"/>
      <c r="B9" s="19">
        <v>2026</v>
      </c>
      <c r="C9" s="29">
        <v>9250</v>
      </c>
      <c r="D9" s="8"/>
      <c r="E9" s="8"/>
      <c r="F9" s="8"/>
      <c r="G9" s="8"/>
      <c r="H9" s="8"/>
      <c r="I9" s="8"/>
      <c r="J9" s="8"/>
      <c r="K9" s="8"/>
      <c r="L9" s="8"/>
    </row>
    <row r="10" spans="1:12" x14ac:dyDescent="0.3">
      <c r="A10" s="8"/>
      <c r="B10" s="19">
        <v>2027</v>
      </c>
      <c r="C10" s="29">
        <v>9180</v>
      </c>
      <c r="D10" s="8"/>
      <c r="E10" s="8"/>
      <c r="F10" s="8"/>
      <c r="G10" s="8"/>
      <c r="H10" s="8"/>
      <c r="I10" s="8"/>
      <c r="J10" s="8"/>
      <c r="K10" s="8"/>
      <c r="L10" s="8"/>
    </row>
    <row r="11" spans="1:12" x14ac:dyDescent="0.3">
      <c r="A11" s="21"/>
      <c r="B11" s="8"/>
      <c r="C11" s="8"/>
      <c r="D11" s="8"/>
      <c r="E11" s="8"/>
      <c r="F11" s="8"/>
      <c r="G11" s="8"/>
      <c r="H11" s="8"/>
      <c r="I11" s="8"/>
      <c r="J11" s="8"/>
      <c r="K11" s="8"/>
      <c r="L11" s="8"/>
    </row>
    <row r="12" spans="1:12" x14ac:dyDescent="0.3">
      <c r="A12" s="8"/>
      <c r="B12" s="65" t="s">
        <v>160</v>
      </c>
      <c r="C12" s="62"/>
      <c r="D12" s="62"/>
      <c r="E12" s="68">
        <v>1600</v>
      </c>
      <c r="F12" s="8"/>
      <c r="G12" s="8"/>
      <c r="H12" s="8"/>
      <c r="I12" s="8"/>
      <c r="J12" s="8"/>
      <c r="K12" s="8"/>
      <c r="L12" s="8"/>
    </row>
    <row r="13" spans="1:12" x14ac:dyDescent="0.3">
      <c r="A13" s="8"/>
      <c r="B13" s="66" t="s">
        <v>161</v>
      </c>
      <c r="C13" s="67"/>
      <c r="D13" s="67"/>
      <c r="E13" s="69">
        <v>0.01</v>
      </c>
      <c r="F13" s="8"/>
      <c r="G13" s="8"/>
      <c r="H13" s="8"/>
      <c r="I13" s="8"/>
      <c r="J13" s="8"/>
      <c r="K13" s="8"/>
      <c r="L13" s="8"/>
    </row>
    <row r="14" spans="1:12" x14ac:dyDescent="0.3">
      <c r="A14" s="8"/>
      <c r="B14" s="71" t="s">
        <v>162</v>
      </c>
      <c r="C14" s="8"/>
      <c r="D14" s="8"/>
      <c r="E14" s="72">
        <v>0.69</v>
      </c>
      <c r="F14" s="8"/>
      <c r="G14" s="8"/>
      <c r="H14" s="8"/>
      <c r="I14" s="8"/>
      <c r="J14" s="8"/>
      <c r="K14" s="8"/>
      <c r="L14" s="8"/>
    </row>
    <row r="15" spans="1:12" x14ac:dyDescent="0.3">
      <c r="A15" s="8"/>
      <c r="B15" s="66" t="s">
        <v>163</v>
      </c>
      <c r="C15" s="67"/>
      <c r="D15" s="67"/>
      <c r="E15" s="69">
        <v>-0.01</v>
      </c>
      <c r="F15" s="8"/>
      <c r="G15" s="8"/>
      <c r="H15" s="8"/>
      <c r="I15" s="8"/>
      <c r="J15" s="8"/>
      <c r="K15" s="8"/>
      <c r="L15" s="8"/>
    </row>
    <row r="16" spans="1:12" x14ac:dyDescent="0.3">
      <c r="A16" s="8"/>
      <c r="B16" s="71" t="s">
        <v>164</v>
      </c>
      <c r="C16" s="8"/>
      <c r="D16" s="8"/>
      <c r="E16" s="72">
        <v>0.06</v>
      </c>
      <c r="F16" s="8"/>
      <c r="G16" s="8"/>
      <c r="H16" s="8"/>
      <c r="I16" s="8"/>
      <c r="J16" s="8"/>
      <c r="K16" s="8"/>
      <c r="L16" s="8"/>
    </row>
    <row r="17" spans="1:18" x14ac:dyDescent="0.3">
      <c r="A17" s="8"/>
      <c r="B17" s="66" t="s">
        <v>165</v>
      </c>
      <c r="C17" s="67"/>
      <c r="D17" s="67"/>
      <c r="E17" s="73">
        <v>75</v>
      </c>
      <c r="F17" s="8"/>
      <c r="G17" s="8"/>
      <c r="H17" s="8"/>
      <c r="I17" s="8"/>
      <c r="J17" s="8"/>
      <c r="K17" s="8"/>
      <c r="L17" s="8"/>
    </row>
    <row r="18" spans="1:18" x14ac:dyDescent="0.3">
      <c r="A18" s="8"/>
      <c r="B18" s="71" t="s">
        <v>166</v>
      </c>
      <c r="C18" s="8"/>
      <c r="D18" s="8"/>
      <c r="E18" s="72">
        <v>0</v>
      </c>
      <c r="F18" s="8"/>
      <c r="G18" s="8"/>
      <c r="H18" s="8"/>
      <c r="I18" s="8"/>
      <c r="J18" s="8"/>
      <c r="K18" s="8"/>
      <c r="L18" s="8"/>
    </row>
    <row r="19" spans="1:18" x14ac:dyDescent="0.3">
      <c r="A19" s="8"/>
      <c r="B19" s="66" t="s">
        <v>167</v>
      </c>
      <c r="C19" s="67"/>
      <c r="D19" s="67"/>
      <c r="E19" s="69">
        <v>0.15</v>
      </c>
      <c r="F19" s="8"/>
      <c r="G19" s="8"/>
      <c r="H19" s="8"/>
      <c r="I19" s="8"/>
      <c r="J19" s="8"/>
      <c r="K19" s="8"/>
      <c r="L19" s="8"/>
    </row>
    <row r="20" spans="1:18" x14ac:dyDescent="0.3">
      <c r="A20" s="8"/>
      <c r="B20" s="63" t="s">
        <v>168</v>
      </c>
      <c r="C20" s="64"/>
      <c r="D20" s="64"/>
      <c r="E20" s="70">
        <v>7.0000000000000007E-2</v>
      </c>
      <c r="F20" s="8"/>
      <c r="G20" s="8"/>
      <c r="H20" s="8"/>
      <c r="I20" s="8"/>
      <c r="J20" s="8"/>
      <c r="K20" s="8"/>
      <c r="L20" s="8"/>
    </row>
    <row r="21" spans="1:18" x14ac:dyDescent="0.3">
      <c r="A21" s="8"/>
      <c r="B21" s="8"/>
      <c r="C21" s="8"/>
      <c r="D21" s="8"/>
      <c r="E21" s="8"/>
      <c r="F21" s="8"/>
      <c r="G21" s="8"/>
      <c r="H21" s="8"/>
      <c r="I21" s="8"/>
      <c r="J21" s="8"/>
      <c r="K21" s="8"/>
      <c r="L21" s="8"/>
    </row>
    <row r="22" spans="1:18" x14ac:dyDescent="0.3">
      <c r="A22" s="8"/>
      <c r="B22" s="13" t="s">
        <v>169</v>
      </c>
      <c r="C22" s="8"/>
      <c r="D22" s="8"/>
      <c r="E22" s="8"/>
      <c r="F22" s="8"/>
      <c r="G22" s="8"/>
      <c r="H22" s="8"/>
      <c r="I22" s="8"/>
      <c r="J22" s="8"/>
      <c r="K22" s="8"/>
      <c r="L22" s="8"/>
    </row>
    <row r="23" spans="1:18" x14ac:dyDescent="0.3">
      <c r="A23" s="6"/>
      <c r="B23" s="6"/>
      <c r="C23" s="6"/>
      <c r="D23" s="6"/>
      <c r="E23" s="6"/>
      <c r="F23" s="6"/>
      <c r="G23" s="6"/>
      <c r="H23" s="6"/>
      <c r="I23" s="6"/>
      <c r="J23" s="6"/>
      <c r="K23" s="6"/>
      <c r="L23" s="6"/>
    </row>
    <row r="24" spans="1:18" x14ac:dyDescent="0.3">
      <c r="A24" s="5" t="s">
        <v>4</v>
      </c>
      <c r="B24" s="8" t="s">
        <v>170</v>
      </c>
      <c r="C24" s="4"/>
      <c r="D24" s="4"/>
      <c r="E24" s="4"/>
      <c r="F24" s="4"/>
      <c r="G24" s="4"/>
      <c r="H24" s="4"/>
      <c r="I24" s="4"/>
      <c r="J24" s="4"/>
      <c r="K24" s="4"/>
      <c r="L24" s="4"/>
      <c r="M24" s="7"/>
      <c r="N24" s="7"/>
      <c r="O24" s="7"/>
      <c r="P24" s="7"/>
      <c r="Q24" s="7"/>
      <c r="R24" s="7"/>
    </row>
    <row r="25" spans="1:18" x14ac:dyDescent="0.3">
      <c r="A25" s="6"/>
      <c r="B25" s="6"/>
      <c r="C25" s="6"/>
      <c r="D25" s="6"/>
      <c r="E25" s="6"/>
      <c r="F25" s="6"/>
      <c r="G25" s="6"/>
      <c r="H25" s="6"/>
      <c r="I25" s="6"/>
      <c r="J25" s="6"/>
      <c r="K25" s="6"/>
      <c r="L25" s="6"/>
      <c r="M25" s="6"/>
    </row>
    <row r="26" spans="1:18" x14ac:dyDescent="0.3">
      <c r="A26" s="6" t="s">
        <v>1</v>
      </c>
      <c r="B26" s="6"/>
      <c r="C26" s="6"/>
      <c r="D26" s="6"/>
      <c r="E26" s="6"/>
      <c r="F26" s="6"/>
      <c r="G26" s="6"/>
      <c r="H26" s="6"/>
      <c r="I26" s="6"/>
      <c r="J26" s="6"/>
      <c r="K26" s="6"/>
      <c r="L26" s="6"/>
      <c r="M26" s="6"/>
      <c r="N26" s="7"/>
    </row>
    <row r="27" spans="1:18" x14ac:dyDescent="0.3">
      <c r="A27" s="122"/>
      <c r="B27"/>
      <c r="C27" s="6"/>
      <c r="D27" s="171"/>
      <c r="E27" s="6"/>
      <c r="F27" s="6"/>
      <c r="G27" s="6"/>
      <c r="H27" s="6"/>
      <c r="I27" s="6"/>
      <c r="J27" s="6"/>
      <c r="K27" s="6"/>
      <c r="L27" s="6"/>
      <c r="M27" s="6"/>
      <c r="N27" s="7"/>
    </row>
    <row r="28" spans="1:18" x14ac:dyDescent="0.3">
      <c r="D28" s="99" t="s">
        <v>404</v>
      </c>
      <c r="E28" s="99">
        <v>2024</v>
      </c>
      <c r="F28" s="99">
        <v>2027</v>
      </c>
      <c r="G28"/>
      <c r="I28" s="6"/>
      <c r="J28" s="6"/>
      <c r="K28" s="6"/>
      <c r="L28" s="6"/>
      <c r="M28" s="6"/>
      <c r="N28" s="7"/>
    </row>
    <row r="29" spans="1:18" x14ac:dyDescent="0.3">
      <c r="A29" s="171" t="s">
        <v>405</v>
      </c>
      <c r="D29" s="172">
        <f>E13</f>
        <v>0.01</v>
      </c>
      <c r="E29" s="173">
        <f>E12</f>
        <v>1600</v>
      </c>
      <c r="F29" s="173">
        <f>E29*(1+$D29)^3</f>
        <v>1648.4815999999998</v>
      </c>
      <c r="G29"/>
      <c r="J29" s="158"/>
      <c r="K29" s="6"/>
      <c r="L29" s="6"/>
      <c r="M29" s="6"/>
      <c r="N29" s="7"/>
    </row>
    <row r="30" spans="1:18" x14ac:dyDescent="0.3">
      <c r="A30" s="6" t="s">
        <v>421</v>
      </c>
      <c r="D30" s="171"/>
      <c r="E30" s="174"/>
      <c r="F30" s="103">
        <f>C10</f>
        <v>9180</v>
      </c>
      <c r="G30"/>
      <c r="I30" s="158"/>
      <c r="J30" s="158"/>
      <c r="K30" s="6"/>
      <c r="L30" s="6"/>
      <c r="M30" s="6"/>
      <c r="N30" s="7"/>
    </row>
    <row r="31" spans="1:18" x14ac:dyDescent="0.3">
      <c r="A31" s="6" t="s">
        <v>419</v>
      </c>
      <c r="D31" s="171"/>
      <c r="E31" s="174"/>
      <c r="F31" s="103">
        <f>F29*F30</f>
        <v>15133061.087999998</v>
      </c>
      <c r="G31"/>
      <c r="I31" s="158"/>
      <c r="J31" s="158"/>
      <c r="K31" s="6"/>
      <c r="L31" s="6"/>
      <c r="M31" s="6"/>
      <c r="N31" s="7"/>
    </row>
    <row r="32" spans="1:18" x14ac:dyDescent="0.3">
      <c r="A32" s="6" t="s">
        <v>422</v>
      </c>
      <c r="D32" s="153">
        <f>(1+E15)*(1+E16)-1</f>
        <v>4.940000000000011E-2</v>
      </c>
      <c r="E32" s="173">
        <f>E29*E14</f>
        <v>1104</v>
      </c>
      <c r="F32" s="173">
        <f>E32*(1+$D32)^3</f>
        <v>1275.8283636975364</v>
      </c>
      <c r="G32"/>
      <c r="I32" s="158"/>
      <c r="J32" s="158"/>
      <c r="K32" s="6"/>
      <c r="L32" s="6"/>
      <c r="M32" s="6"/>
      <c r="N32" s="7"/>
    </row>
    <row r="33" spans="1:14" x14ac:dyDescent="0.3">
      <c r="A33" s="6"/>
      <c r="D33" s="153"/>
      <c r="E33" s="173"/>
      <c r="F33" s="173"/>
      <c r="G33"/>
      <c r="I33" s="6"/>
      <c r="J33" s="6"/>
      <c r="K33" s="6"/>
      <c r="L33" s="6"/>
      <c r="M33" s="6"/>
      <c r="N33" s="7"/>
    </row>
    <row r="34" spans="1:14" x14ac:dyDescent="0.3">
      <c r="A34" s="6" t="s">
        <v>423</v>
      </c>
      <c r="D34" s="171"/>
      <c r="E34" s="174"/>
      <c r="F34" s="103">
        <f>F32*F30</f>
        <v>11712104.378743384</v>
      </c>
      <c r="G34"/>
      <c r="I34" s="158"/>
      <c r="J34" s="158"/>
      <c r="K34" s="6"/>
      <c r="L34" s="6"/>
      <c r="M34" s="6"/>
      <c r="N34" s="7"/>
    </row>
    <row r="35" spans="1:14" x14ac:dyDescent="0.3">
      <c r="A35" s="6" t="s">
        <v>424</v>
      </c>
      <c r="D35" s="171"/>
      <c r="E35" s="171"/>
      <c r="F35" s="103">
        <f>F34*(1+$E$20)</f>
        <v>12531951.685255421</v>
      </c>
      <c r="G35"/>
      <c r="I35" s="158"/>
      <c r="J35" s="158"/>
      <c r="K35" s="6"/>
      <c r="L35" s="6"/>
      <c r="M35" s="6"/>
      <c r="N35" s="7"/>
    </row>
    <row r="36" spans="1:14" x14ac:dyDescent="0.3">
      <c r="A36" s="6" t="s">
        <v>415</v>
      </c>
      <c r="D36" s="171"/>
      <c r="E36" s="6"/>
      <c r="F36" s="103">
        <f>$E$17*F30</f>
        <v>688500</v>
      </c>
      <c r="G36"/>
      <c r="I36" s="158"/>
      <c r="J36" s="158"/>
      <c r="K36" s="6"/>
      <c r="L36" s="6"/>
      <c r="M36" s="6"/>
      <c r="N36" s="7"/>
    </row>
    <row r="37" spans="1:14" x14ac:dyDescent="0.3">
      <c r="A37" s="6" t="s">
        <v>416</v>
      </c>
      <c r="D37" s="171"/>
      <c r="E37" s="6"/>
      <c r="F37" s="103">
        <f>F31*$E$19</f>
        <v>2269959.1631999994</v>
      </c>
      <c r="G37"/>
      <c r="I37" s="158"/>
      <c r="J37" s="6"/>
      <c r="K37" s="6"/>
      <c r="L37" s="6"/>
      <c r="M37" s="6"/>
      <c r="N37" s="7"/>
    </row>
    <row r="38" spans="1:14" x14ac:dyDescent="0.3">
      <c r="A38" s="6" t="s">
        <v>417</v>
      </c>
      <c r="D38" s="171"/>
      <c r="E38" s="6"/>
      <c r="F38" s="103">
        <f>F31-F35-F36-F37</f>
        <v>-357349.76045542303</v>
      </c>
      <c r="G38"/>
      <c r="J38" s="6"/>
      <c r="K38" s="6"/>
      <c r="L38" s="6"/>
      <c r="M38" s="6"/>
      <c r="N38" s="7"/>
    </row>
    <row r="39" spans="1:14" x14ac:dyDescent="0.3">
      <c r="A39" s="6"/>
      <c r="D39" s="171"/>
      <c r="E39" s="6"/>
      <c r="F39" s="103"/>
      <c r="G39"/>
      <c r="J39" s="6"/>
      <c r="K39" s="6"/>
      <c r="L39" s="6"/>
      <c r="M39" s="6"/>
      <c r="N39" s="7"/>
    </row>
    <row r="40" spans="1:14" x14ac:dyDescent="0.3">
      <c r="A40" s="112" t="s">
        <v>449</v>
      </c>
      <c r="D40" s="171"/>
      <c r="E40" s="103"/>
      <c r="F40" s="103"/>
      <c r="G40"/>
      <c r="J40" s="6"/>
      <c r="K40" s="6"/>
      <c r="L40" s="6"/>
      <c r="M40" s="6"/>
      <c r="N40" s="7"/>
    </row>
    <row r="41" spans="1:14" x14ac:dyDescent="0.3">
      <c r="A41" s="6"/>
      <c r="D41" s="171"/>
      <c r="E41" s="103"/>
      <c r="F41" s="103"/>
      <c r="G41"/>
      <c r="J41" s="6"/>
      <c r="K41" s="6"/>
      <c r="L41" s="6"/>
      <c r="M41" s="6"/>
      <c r="N41" s="7"/>
    </row>
    <row r="42" spans="1:14" x14ac:dyDescent="0.3">
      <c r="A42" s="6"/>
      <c r="B42" s="138" t="s">
        <v>450</v>
      </c>
      <c r="D42" s="171"/>
      <c r="E42" s="103"/>
      <c r="F42" s="103"/>
      <c r="G42"/>
      <c r="J42" s="6"/>
      <c r="K42" s="6"/>
      <c r="L42" s="6"/>
      <c r="M42" s="6"/>
      <c r="N42" s="7"/>
    </row>
    <row r="43" spans="1:14" x14ac:dyDescent="0.3">
      <c r="A43" s="6"/>
      <c r="B43" s="1" t="s">
        <v>451</v>
      </c>
      <c r="E43" s="153">
        <f>(1+E16)*(1+E15)/(1+E13)-1</f>
        <v>3.9009900990099045E-2</v>
      </c>
      <c r="F43" s="103"/>
      <c r="G43"/>
      <c r="J43" s="6"/>
      <c r="K43" s="6"/>
      <c r="L43" s="6"/>
      <c r="M43" s="6"/>
      <c r="N43" s="7"/>
    </row>
    <row r="44" spans="1:14" x14ac:dyDescent="0.3">
      <c r="A44" s="6"/>
      <c r="B44" s="1" t="s">
        <v>452</v>
      </c>
      <c r="E44" s="153">
        <f>E14*(1+$E$43)^3</f>
        <v>0.77394152515717252</v>
      </c>
      <c r="F44" s="103"/>
      <c r="G44"/>
      <c r="J44" s="6"/>
      <c r="K44" s="6"/>
      <c r="L44" s="6"/>
      <c r="M44" s="6"/>
      <c r="N44" s="7"/>
    </row>
    <row r="45" spans="1:14" x14ac:dyDescent="0.3">
      <c r="A45" s="6"/>
      <c r="B45" s="6" t="s">
        <v>423</v>
      </c>
      <c r="E45" s="103">
        <f>E44*F31</f>
        <v>11712104.378743378</v>
      </c>
      <c r="F45" s="103"/>
      <c r="G45"/>
      <c r="J45" s="6"/>
      <c r="K45" s="6"/>
      <c r="L45" s="6"/>
      <c r="M45" s="6"/>
      <c r="N45" s="7"/>
    </row>
    <row r="46" spans="1:14" x14ac:dyDescent="0.3">
      <c r="A46" s="6"/>
      <c r="B46" s="138" t="s">
        <v>453</v>
      </c>
      <c r="D46" s="171"/>
      <c r="E46" s="103"/>
      <c r="F46" s="103"/>
      <c r="G46"/>
      <c r="J46" s="6"/>
      <c r="K46" s="6"/>
      <c r="L46" s="6"/>
      <c r="M46" s="6"/>
      <c r="N46" s="7"/>
    </row>
    <row r="47" spans="1:14" x14ac:dyDescent="0.3">
      <c r="A47" s="6"/>
      <c r="D47" s="171"/>
      <c r="E47" s="103"/>
      <c r="F47" s="103"/>
      <c r="G47"/>
      <c r="J47" s="6"/>
      <c r="K47" s="6"/>
      <c r="L47" s="6"/>
      <c r="M47" s="6"/>
      <c r="N47" s="7"/>
    </row>
    <row r="48" spans="1:14" x14ac:dyDescent="0.3">
      <c r="A48" s="6"/>
      <c r="B48" s="138" t="s">
        <v>454</v>
      </c>
      <c r="D48" s="171"/>
      <c r="E48" s="103"/>
      <c r="F48" s="103"/>
      <c r="G48"/>
      <c r="J48" s="6"/>
      <c r="K48" s="6"/>
      <c r="L48" s="6"/>
      <c r="M48" s="6"/>
      <c r="N48" s="7"/>
    </row>
    <row r="49" spans="1:14" x14ac:dyDescent="0.3">
      <c r="A49" s="6"/>
      <c r="B49" s="1" t="s">
        <v>455</v>
      </c>
      <c r="D49" s="171"/>
      <c r="E49" s="153">
        <f>E44*(1+E20)</f>
        <v>0.82811743191817466</v>
      </c>
      <c r="F49" s="103"/>
      <c r="G49"/>
      <c r="J49" s="6"/>
      <c r="K49" s="6"/>
      <c r="L49" s="6"/>
      <c r="M49" s="6"/>
      <c r="N49" s="7"/>
    </row>
    <row r="50" spans="1:14" x14ac:dyDescent="0.3">
      <c r="A50" s="6"/>
      <c r="B50" s="1" t="s">
        <v>456</v>
      </c>
      <c r="D50" s="171"/>
      <c r="E50" s="153">
        <f>E17*C10/F31</f>
        <v>4.5496413184108339E-2</v>
      </c>
      <c r="F50" s="103"/>
      <c r="G50"/>
      <c r="J50" s="6"/>
      <c r="K50" s="6"/>
      <c r="L50" s="6"/>
      <c r="M50" s="6"/>
      <c r="N50" s="7"/>
    </row>
    <row r="51" spans="1:14" x14ac:dyDescent="0.3">
      <c r="A51" s="6"/>
      <c r="B51" s="1" t="s">
        <v>457</v>
      </c>
      <c r="D51" s="171"/>
      <c r="E51" s="153">
        <f>E19</f>
        <v>0.15</v>
      </c>
      <c r="F51" s="103"/>
      <c r="G51"/>
      <c r="J51" s="6"/>
      <c r="K51" s="6"/>
      <c r="L51" s="6"/>
      <c r="M51" s="6"/>
      <c r="N51" s="7"/>
    </row>
    <row r="52" spans="1:14" x14ac:dyDescent="0.3">
      <c r="A52" s="6"/>
      <c r="B52" s="1" t="s">
        <v>458</v>
      </c>
      <c r="D52" s="171"/>
      <c r="E52" s="153">
        <f>1-E49-E50-E51</f>
        <v>-2.361384510228301E-2</v>
      </c>
      <c r="F52" s="103"/>
      <c r="G52"/>
      <c r="J52" s="6"/>
      <c r="K52" s="6"/>
      <c r="L52" s="6"/>
      <c r="M52" s="6"/>
      <c r="N52" s="7"/>
    </row>
    <row r="53" spans="1:14" x14ac:dyDescent="0.3">
      <c r="A53" s="6"/>
      <c r="B53" s="1" t="s">
        <v>459</v>
      </c>
      <c r="D53" s="171"/>
      <c r="E53" s="103">
        <f>E52*F31</f>
        <v>-357349.76045541832</v>
      </c>
      <c r="F53" s="103"/>
      <c r="G53"/>
      <c r="J53" s="6"/>
      <c r="K53" s="6"/>
      <c r="L53" s="6"/>
      <c r="M53" s="6"/>
      <c r="N53" s="7"/>
    </row>
    <row r="54" spans="1:14" x14ac:dyDescent="0.3">
      <c r="A54" s="6"/>
      <c r="D54" s="171"/>
      <c r="E54" s="103"/>
      <c r="F54" s="103"/>
      <c r="G54"/>
      <c r="J54" s="6"/>
      <c r="K54" s="6"/>
      <c r="L54" s="6"/>
      <c r="M54" s="6"/>
      <c r="N54" s="7"/>
    </row>
    <row r="55" spans="1:14" x14ac:dyDescent="0.3">
      <c r="A55" s="6"/>
      <c r="B55" s="138" t="s">
        <v>460</v>
      </c>
      <c r="D55" s="171"/>
      <c r="E55" s="103"/>
      <c r="F55" s="103"/>
      <c r="G55"/>
      <c r="J55" s="6"/>
      <c r="K55" s="6"/>
      <c r="L55" s="6"/>
      <c r="M55" s="6"/>
      <c r="N55" s="7"/>
    </row>
    <row r="56" spans="1:14" x14ac:dyDescent="0.3">
      <c r="A56" s="6"/>
      <c r="B56" s="1" t="s">
        <v>405</v>
      </c>
      <c r="D56" s="171"/>
      <c r="E56" s="173">
        <f>F29</f>
        <v>1648.4815999999998</v>
      </c>
      <c r="F56" s="103"/>
      <c r="G56"/>
      <c r="J56" s="6"/>
      <c r="K56" s="6"/>
      <c r="L56" s="6"/>
      <c r="M56" s="6"/>
      <c r="N56" s="7"/>
    </row>
    <row r="57" spans="1:14" x14ac:dyDescent="0.3">
      <c r="A57" s="6"/>
      <c r="B57" s="1" t="s">
        <v>461</v>
      </c>
      <c r="D57" s="171"/>
      <c r="E57" s="173">
        <f>F32</f>
        <v>1275.8283636975364</v>
      </c>
      <c r="F57" s="103"/>
      <c r="G57"/>
      <c r="J57" s="6"/>
      <c r="K57" s="6"/>
      <c r="L57" s="6"/>
      <c r="M57" s="6"/>
      <c r="N57" s="7"/>
    </row>
    <row r="58" spans="1:14" x14ac:dyDescent="0.3">
      <c r="A58" s="6"/>
      <c r="B58" s="1" t="s">
        <v>462</v>
      </c>
      <c r="D58" s="171"/>
      <c r="E58" s="173">
        <f>E57*(1+E20)</f>
        <v>1365.1363491563641</v>
      </c>
      <c r="F58" s="103"/>
      <c r="G58"/>
      <c r="J58" s="6"/>
      <c r="K58" s="6"/>
      <c r="L58" s="6"/>
      <c r="M58" s="6"/>
      <c r="N58" s="7"/>
    </row>
    <row r="59" spans="1:14" x14ac:dyDescent="0.3">
      <c r="A59" s="6"/>
      <c r="B59" s="1" t="s">
        <v>463</v>
      </c>
      <c r="D59" s="171"/>
      <c r="E59" s="173">
        <f>E17</f>
        <v>75</v>
      </c>
      <c r="F59" s="103"/>
      <c r="G59"/>
      <c r="J59" s="6"/>
      <c r="K59" s="6"/>
      <c r="L59" s="6"/>
      <c r="M59" s="6"/>
      <c r="N59" s="7"/>
    </row>
    <row r="60" spans="1:14" x14ac:dyDescent="0.3">
      <c r="A60" s="6"/>
      <c r="B60" s="1" t="s">
        <v>464</v>
      </c>
      <c r="D60" s="171"/>
      <c r="E60" s="173">
        <f>E19*E56</f>
        <v>247.27223999999995</v>
      </c>
      <c r="F60" s="103"/>
      <c r="G60"/>
      <c r="J60" s="6"/>
      <c r="K60" s="6"/>
      <c r="L60" s="6"/>
      <c r="M60" s="6"/>
      <c r="N60" s="7"/>
    </row>
    <row r="61" spans="1:14" x14ac:dyDescent="0.3">
      <c r="A61" s="6"/>
      <c r="B61" s="1" t="s">
        <v>465</v>
      </c>
      <c r="D61" s="171"/>
      <c r="E61" s="173">
        <f>E56-E58-E59-E60</f>
        <v>-38.926989156364186</v>
      </c>
      <c r="F61" s="103"/>
      <c r="G61"/>
      <c r="J61" s="6"/>
      <c r="K61" s="6"/>
      <c r="L61" s="6"/>
      <c r="M61" s="6"/>
      <c r="N61" s="7"/>
    </row>
    <row r="62" spans="1:14" x14ac:dyDescent="0.3">
      <c r="A62" s="6"/>
      <c r="B62" s="1" t="s">
        <v>466</v>
      </c>
      <c r="D62" s="171"/>
      <c r="E62" s="103">
        <f>E61*C10</f>
        <v>-357349.76045542321</v>
      </c>
      <c r="F62" s="103"/>
      <c r="G62"/>
      <c r="J62" s="6"/>
      <c r="K62" s="6"/>
      <c r="L62" s="6"/>
      <c r="M62" s="6"/>
      <c r="N62" s="7"/>
    </row>
    <row r="63" spans="1:14" x14ac:dyDescent="0.3">
      <c r="M63" s="7"/>
      <c r="N63" s="7"/>
    </row>
    <row r="64" spans="1:14" x14ac:dyDescent="0.3">
      <c r="A64" s="13" t="s">
        <v>220</v>
      </c>
      <c r="B64" s="8"/>
      <c r="C64" s="8"/>
      <c r="D64" s="8"/>
      <c r="E64" s="8"/>
      <c r="F64" s="8"/>
      <c r="G64" s="8"/>
      <c r="H64" s="8"/>
      <c r="I64" s="12"/>
      <c r="J64" s="12"/>
      <c r="K64" s="12"/>
      <c r="L64" s="12"/>
      <c r="M64" s="7"/>
      <c r="N64" s="7"/>
    </row>
    <row r="65" spans="1:14" x14ac:dyDescent="0.3">
      <c r="A65" s="8"/>
      <c r="B65" s="8"/>
      <c r="C65" s="8"/>
      <c r="D65" s="8"/>
      <c r="E65" s="8"/>
      <c r="F65" s="8"/>
      <c r="G65" s="8"/>
      <c r="H65" s="8"/>
      <c r="I65" s="12"/>
      <c r="J65" s="12"/>
      <c r="K65" s="12"/>
      <c r="L65" s="12"/>
      <c r="M65" s="7"/>
      <c r="N65" s="7"/>
    </row>
    <row r="66" spans="1:14" x14ac:dyDescent="0.3">
      <c r="A66" s="8"/>
      <c r="B66" s="65" t="s">
        <v>171</v>
      </c>
      <c r="C66" s="62"/>
      <c r="D66" s="62"/>
      <c r="E66" s="68">
        <v>7500000</v>
      </c>
      <c r="F66" s="8"/>
      <c r="G66" s="8"/>
      <c r="H66" s="8"/>
      <c r="I66" s="12"/>
      <c r="J66" s="12"/>
      <c r="K66" s="12"/>
      <c r="L66" s="12"/>
      <c r="M66" s="7"/>
      <c r="N66" s="7"/>
    </row>
    <row r="67" spans="1:14" x14ac:dyDescent="0.3">
      <c r="A67" s="8"/>
      <c r="B67" s="65" t="s">
        <v>172</v>
      </c>
      <c r="C67" s="62"/>
      <c r="D67" s="62"/>
      <c r="E67" s="68">
        <v>6190000</v>
      </c>
      <c r="F67" s="8"/>
      <c r="G67" s="8"/>
      <c r="H67" s="8"/>
      <c r="I67" s="12"/>
      <c r="J67" s="12"/>
      <c r="K67" s="12"/>
      <c r="L67" s="12"/>
      <c r="M67" s="7"/>
      <c r="N67" s="7"/>
    </row>
    <row r="68" spans="1:14" x14ac:dyDescent="0.3">
      <c r="A68" s="8"/>
      <c r="B68" s="65" t="s">
        <v>173</v>
      </c>
      <c r="C68" s="62"/>
      <c r="D68" s="62"/>
      <c r="E68" s="68">
        <v>475000</v>
      </c>
      <c r="F68" s="8"/>
      <c r="G68" s="8"/>
      <c r="H68" s="8"/>
      <c r="I68" s="12"/>
      <c r="J68" s="12"/>
      <c r="K68" s="12"/>
      <c r="L68" s="12"/>
      <c r="M68" s="7"/>
      <c r="N68" s="7"/>
    </row>
    <row r="69" spans="1:14" x14ac:dyDescent="0.3">
      <c r="A69" s="8"/>
      <c r="B69" s="66" t="s">
        <v>174</v>
      </c>
      <c r="C69" s="67"/>
      <c r="D69" s="67"/>
      <c r="E69" s="56">
        <v>975000</v>
      </c>
      <c r="F69" s="8"/>
      <c r="G69" s="8"/>
      <c r="H69" s="8"/>
      <c r="I69" s="12"/>
      <c r="J69" s="12"/>
      <c r="K69" s="12"/>
      <c r="L69" s="12"/>
      <c r="M69" s="7"/>
      <c r="N69" s="7"/>
    </row>
    <row r="70" spans="1:14" x14ac:dyDescent="0.3">
      <c r="A70" s="8"/>
      <c r="B70" s="8"/>
      <c r="C70" s="8"/>
      <c r="D70" s="8"/>
      <c r="E70" s="8"/>
      <c r="F70" s="8"/>
      <c r="G70" s="8"/>
      <c r="H70" s="8"/>
      <c r="I70" s="12"/>
      <c r="J70" s="12"/>
      <c r="K70" s="12"/>
      <c r="L70" s="12"/>
      <c r="M70" s="7"/>
      <c r="N70" s="7"/>
    </row>
    <row r="71" spans="1:14" x14ac:dyDescent="0.3">
      <c r="A71" s="8"/>
      <c r="B71" s="20" t="s">
        <v>177</v>
      </c>
      <c r="C71" s="8"/>
      <c r="D71" s="8"/>
      <c r="E71" s="34">
        <v>0.05</v>
      </c>
      <c r="F71" s="8" t="s">
        <v>178</v>
      </c>
      <c r="G71" s="8"/>
      <c r="H71" s="8"/>
      <c r="I71" s="12"/>
      <c r="J71" s="12"/>
      <c r="K71" s="12"/>
      <c r="L71" s="12"/>
      <c r="M71" s="7"/>
      <c r="N71" s="7"/>
    </row>
    <row r="72" spans="1:14" x14ac:dyDescent="0.3">
      <c r="A72" s="8"/>
      <c r="B72" s="20"/>
      <c r="C72" s="8" t="s">
        <v>179</v>
      </c>
      <c r="D72" s="8"/>
      <c r="E72" s="57">
        <v>46266</v>
      </c>
      <c r="F72" s="8"/>
      <c r="G72" s="8"/>
      <c r="H72" s="8"/>
      <c r="I72" s="12"/>
      <c r="J72" s="12"/>
      <c r="K72" s="12"/>
      <c r="L72" s="12"/>
      <c r="M72" s="7"/>
      <c r="N72" s="7"/>
    </row>
    <row r="73" spans="1:14" x14ac:dyDescent="0.3">
      <c r="A73" s="8"/>
      <c r="B73" s="20" t="s">
        <v>175</v>
      </c>
      <c r="C73" s="8"/>
      <c r="D73" s="8"/>
      <c r="E73" s="8"/>
      <c r="F73" s="8"/>
      <c r="G73" s="8"/>
      <c r="H73" s="8"/>
      <c r="I73" s="12"/>
      <c r="J73" s="12"/>
      <c r="K73" s="12"/>
      <c r="L73" s="12"/>
      <c r="M73" s="7"/>
      <c r="N73" s="7"/>
    </row>
    <row r="74" spans="1:14" x14ac:dyDescent="0.3">
      <c r="A74" s="8"/>
      <c r="B74" s="20" t="s">
        <v>176</v>
      </c>
      <c r="C74" s="8"/>
      <c r="D74" s="8"/>
      <c r="E74" s="8"/>
      <c r="F74" s="8"/>
      <c r="G74" s="8"/>
      <c r="H74" s="8"/>
      <c r="I74" s="12"/>
      <c r="J74" s="12"/>
      <c r="K74" s="12"/>
      <c r="L74" s="12"/>
      <c r="M74" s="7"/>
      <c r="N74" s="7"/>
    </row>
    <row r="75" spans="1:14" x14ac:dyDescent="0.3">
      <c r="M75" s="7"/>
      <c r="N75" s="7"/>
    </row>
    <row r="76" spans="1:14" x14ac:dyDescent="0.3">
      <c r="A76" s="5" t="s">
        <v>5</v>
      </c>
      <c r="B76" s="8" t="s">
        <v>180</v>
      </c>
      <c r="C76" s="4"/>
      <c r="D76" s="4"/>
      <c r="E76" s="4"/>
      <c r="F76" s="4"/>
      <c r="G76" s="4"/>
      <c r="H76" s="4"/>
      <c r="I76" s="4"/>
      <c r="J76" s="4"/>
      <c r="K76" s="4"/>
      <c r="L76" s="4"/>
    </row>
    <row r="77" spans="1:14" x14ac:dyDescent="0.3">
      <c r="A77" s="6"/>
      <c r="B77" s="6"/>
      <c r="C77" s="6"/>
      <c r="D77" s="6"/>
      <c r="E77" s="6"/>
      <c r="F77" s="6"/>
      <c r="G77" s="6"/>
      <c r="H77" s="6"/>
      <c r="I77" s="6"/>
      <c r="J77" s="6"/>
      <c r="K77" s="6"/>
      <c r="L77" s="6"/>
    </row>
    <row r="78" spans="1:14" x14ac:dyDescent="0.3">
      <c r="A78" s="6" t="s">
        <v>1</v>
      </c>
      <c r="B78" s="6"/>
      <c r="C78" s="6"/>
      <c r="D78" s="6"/>
      <c r="E78" s="6"/>
      <c r="F78" s="6"/>
      <c r="G78" s="6"/>
      <c r="H78" s="6"/>
      <c r="I78" s="6"/>
      <c r="J78" s="6"/>
      <c r="K78" s="6"/>
      <c r="L78" s="6"/>
    </row>
    <row r="79" spans="1:14" x14ac:dyDescent="0.3">
      <c r="A79" s="6"/>
      <c r="B79" s="6"/>
      <c r="C79" s="6"/>
      <c r="D79" s="6"/>
      <c r="E79" s="6"/>
      <c r="F79" s="6"/>
      <c r="G79" s="6"/>
      <c r="H79" s="6"/>
      <c r="I79" s="6"/>
      <c r="J79" s="6"/>
      <c r="K79" s="6"/>
      <c r="L79" s="6"/>
    </row>
    <row r="80" spans="1:14" x14ac:dyDescent="0.3">
      <c r="A80" s="169" t="s">
        <v>402</v>
      </c>
      <c r="H80" s="6"/>
      <c r="I80" s="6"/>
      <c r="J80" s="6"/>
      <c r="K80" s="6"/>
      <c r="L80" s="6"/>
    </row>
    <row r="81" spans="1:13" x14ac:dyDescent="0.3">
      <c r="A81" s="112" t="s">
        <v>413</v>
      </c>
      <c r="B81" s="6"/>
      <c r="C81" s="6"/>
      <c r="D81" s="6"/>
      <c r="E81" s="6"/>
      <c r="F81" s="6"/>
      <c r="G81" s="6"/>
      <c r="H81" s="6"/>
      <c r="I81" s="6"/>
      <c r="J81" s="6"/>
      <c r="K81" s="6"/>
      <c r="L81" s="6"/>
      <c r="M81" s="6"/>
    </row>
    <row r="82" spans="1:13" x14ac:dyDescent="0.3">
      <c r="A82" s="112" t="s">
        <v>414</v>
      </c>
      <c r="B82" s="6"/>
      <c r="C82" s="6"/>
      <c r="D82" s="6"/>
      <c r="E82" s="6"/>
      <c r="F82" s="6"/>
      <c r="G82" s="6"/>
      <c r="H82" s="6"/>
      <c r="I82" s="6"/>
      <c r="J82" s="6"/>
      <c r="K82" s="6"/>
      <c r="L82" s="6"/>
      <c r="M82" s="6"/>
    </row>
    <row r="83" spans="1:13" x14ac:dyDescent="0.3">
      <c r="A83" s="6"/>
      <c r="B83" s="6"/>
      <c r="C83" s="6"/>
      <c r="D83" s="6"/>
      <c r="E83" s="6"/>
      <c r="F83" s="6"/>
      <c r="G83" s="6"/>
      <c r="H83" s="6"/>
      <c r="I83" s="6"/>
      <c r="J83" s="6"/>
      <c r="K83" s="6"/>
      <c r="L83" s="6"/>
      <c r="M83" s="6"/>
    </row>
    <row r="84" spans="1:13" x14ac:dyDescent="0.3">
      <c r="A84" s="1" t="s">
        <v>412</v>
      </c>
      <c r="D84" s="103">
        <f>13-MONTH(E72)</f>
        <v>4</v>
      </c>
      <c r="H84" s="6"/>
      <c r="I84" s="6"/>
      <c r="J84" s="6"/>
      <c r="K84" s="6"/>
      <c r="L84" s="6"/>
    </row>
    <row r="85" spans="1:13" x14ac:dyDescent="0.3">
      <c r="H85" s="6"/>
      <c r="I85" s="6"/>
      <c r="J85" s="6"/>
      <c r="K85" s="6"/>
      <c r="L85" s="6"/>
    </row>
    <row r="86" spans="1:13" ht="31.2" x14ac:dyDescent="0.3">
      <c r="A86"/>
      <c r="B86" s="50" t="s">
        <v>406</v>
      </c>
      <c r="C86" s="118" t="s">
        <v>407</v>
      </c>
      <c r="H86" s="6"/>
      <c r="I86" s="6"/>
      <c r="J86" s="6"/>
      <c r="K86" s="6"/>
      <c r="L86" s="6"/>
    </row>
    <row r="87" spans="1:13" x14ac:dyDescent="0.3">
      <c r="A87"/>
      <c r="B87" s="141">
        <v>1</v>
      </c>
      <c r="C87" s="116">
        <f>0.5*(D84/12)^2</f>
        <v>5.5555555555555552E-2</v>
      </c>
      <c r="H87" s="6"/>
      <c r="I87" s="6"/>
      <c r="J87" s="6"/>
      <c r="K87" s="6"/>
      <c r="L87" s="6"/>
    </row>
    <row r="88" spans="1:13" x14ac:dyDescent="0.3">
      <c r="A88"/>
      <c r="B88" s="141">
        <f>B87*(1+E71)</f>
        <v>1.05</v>
      </c>
      <c r="C88" s="116">
        <f>1-C87</f>
        <v>0.94444444444444442</v>
      </c>
      <c r="H88" s="6"/>
      <c r="I88" s="6"/>
      <c r="J88" s="6"/>
      <c r="K88" s="6"/>
      <c r="L88" s="6"/>
    </row>
    <row r="89" spans="1:13" x14ac:dyDescent="0.3">
      <c r="A89" s="1" t="s">
        <v>378</v>
      </c>
      <c r="B89" s="125">
        <f>SUMPRODUCT(B87:B88,C87:C88)</f>
        <v>1.0472222222222223</v>
      </c>
      <c r="H89" s="6"/>
      <c r="I89" s="6"/>
      <c r="J89" s="6"/>
      <c r="K89" s="6"/>
      <c r="L89" s="6"/>
    </row>
    <row r="90" spans="1:13" x14ac:dyDescent="0.3">
      <c r="B90" s="125"/>
      <c r="H90" s="6"/>
      <c r="I90" s="6"/>
      <c r="J90" s="6"/>
      <c r="K90" s="6"/>
      <c r="L90" s="6"/>
    </row>
    <row r="91" spans="1:13" x14ac:dyDescent="0.3">
      <c r="A91" s="1" t="s">
        <v>408</v>
      </c>
      <c r="B91" s="125"/>
      <c r="D91" s="175">
        <f>E69/E66</f>
        <v>0.13</v>
      </c>
      <c r="H91" s="6"/>
      <c r="I91" s="6"/>
      <c r="J91" s="6"/>
      <c r="K91" s="6"/>
      <c r="L91" s="6"/>
    </row>
    <row r="92" spans="1:13" x14ac:dyDescent="0.3">
      <c r="B92" s="125"/>
      <c r="H92" s="6"/>
      <c r="I92" s="6"/>
      <c r="J92" s="6"/>
      <c r="K92" s="6"/>
      <c r="L92" s="6"/>
    </row>
    <row r="93" spans="1:13" x14ac:dyDescent="0.3">
      <c r="E93" s="81">
        <f>F28</f>
        <v>2027</v>
      </c>
      <c r="H93" s="6"/>
      <c r="I93" s="6"/>
      <c r="J93" s="6"/>
      <c r="K93" s="6"/>
      <c r="L93" s="6"/>
    </row>
    <row r="94" spans="1:13" x14ac:dyDescent="0.3">
      <c r="A94" s="1" t="s">
        <v>419</v>
      </c>
      <c r="E94" s="103">
        <f>E66*B89</f>
        <v>7854166.666666667</v>
      </c>
      <c r="F94" s="158"/>
      <c r="H94" s="6"/>
      <c r="I94" s="6"/>
      <c r="J94" s="6"/>
      <c r="K94" s="6"/>
      <c r="L94" s="6"/>
    </row>
    <row r="95" spans="1:13" x14ac:dyDescent="0.3">
      <c r="A95" s="1" t="s">
        <v>420</v>
      </c>
      <c r="E95" s="103">
        <f>E67</f>
        <v>6190000</v>
      </c>
      <c r="F95" s="158"/>
      <c r="H95" s="6"/>
      <c r="I95" s="6"/>
      <c r="J95" s="6"/>
      <c r="K95" s="6"/>
      <c r="L95" s="6"/>
    </row>
    <row r="96" spans="1:13" x14ac:dyDescent="0.3">
      <c r="A96" s="1" t="s">
        <v>409</v>
      </c>
      <c r="E96" s="103">
        <f>E68</f>
        <v>475000</v>
      </c>
      <c r="F96" s="158"/>
      <c r="H96" s="6"/>
      <c r="I96" s="6"/>
      <c r="J96" s="6"/>
      <c r="K96" s="6"/>
      <c r="L96" s="6"/>
    </row>
    <row r="97" spans="1:14" x14ac:dyDescent="0.3">
      <c r="A97" s="6" t="s">
        <v>418</v>
      </c>
      <c r="E97" s="103">
        <f>E94*D91</f>
        <v>1021041.6666666667</v>
      </c>
      <c r="F97" s="158"/>
      <c r="H97" s="6"/>
      <c r="I97" s="6"/>
      <c r="J97" s="6"/>
      <c r="K97" s="6"/>
      <c r="L97" s="6"/>
    </row>
    <row r="98" spans="1:14" x14ac:dyDescent="0.3">
      <c r="A98" s="6" t="s">
        <v>417</v>
      </c>
      <c r="E98" s="103">
        <f>E94-E95-E96-E97</f>
        <v>168125.00000000023</v>
      </c>
      <c r="H98" s="6"/>
      <c r="I98" s="6"/>
      <c r="J98" s="6"/>
      <c r="K98" s="6"/>
      <c r="L98" s="6"/>
    </row>
    <row r="99" spans="1:14" x14ac:dyDescent="0.3">
      <c r="A99" s="1" t="s">
        <v>410</v>
      </c>
      <c r="E99" s="116">
        <f>E98/E94</f>
        <v>2.1405835543766606E-2</v>
      </c>
      <c r="H99" s="6"/>
      <c r="I99" s="6"/>
      <c r="J99" s="6"/>
      <c r="K99" s="6"/>
      <c r="L99" s="6"/>
    </row>
    <row r="100" spans="1:14" x14ac:dyDescent="0.3">
      <c r="M100" s="6"/>
    </row>
    <row r="101" spans="1:14" x14ac:dyDescent="0.3">
      <c r="A101" s="8" t="s">
        <v>181</v>
      </c>
      <c r="B101" s="12"/>
      <c r="C101" s="12"/>
      <c r="D101" s="12"/>
      <c r="E101" s="12"/>
      <c r="F101" s="12"/>
      <c r="G101" s="12"/>
      <c r="H101" s="12"/>
      <c r="I101" s="12"/>
      <c r="J101" s="12"/>
      <c r="K101" s="12"/>
      <c r="L101" s="12"/>
      <c r="M101" s="6"/>
    </row>
    <row r="103" spans="1:14" x14ac:dyDescent="0.3">
      <c r="A103" s="5" t="s">
        <v>0</v>
      </c>
      <c r="B103" s="8" t="s">
        <v>182</v>
      </c>
      <c r="C103" s="4"/>
      <c r="D103" s="4"/>
      <c r="E103" s="4"/>
      <c r="F103" s="4"/>
      <c r="G103" s="4"/>
      <c r="H103" s="4"/>
      <c r="I103" s="4"/>
      <c r="J103" s="4"/>
      <c r="K103" s="4"/>
      <c r="L103" s="4"/>
    </row>
    <row r="104" spans="1:14" x14ac:dyDescent="0.3">
      <c r="A104" s="6"/>
      <c r="B104" s="6"/>
      <c r="C104" s="6"/>
      <c r="D104" s="6"/>
      <c r="E104" s="6"/>
      <c r="F104" s="6"/>
      <c r="G104" s="6"/>
      <c r="H104" s="6"/>
      <c r="I104" s="6"/>
      <c r="J104" s="6"/>
      <c r="K104" s="6"/>
      <c r="L104" s="6"/>
    </row>
    <row r="105" spans="1:14" x14ac:dyDescent="0.3">
      <c r="A105" s="6" t="s">
        <v>1</v>
      </c>
      <c r="B105" s="6"/>
      <c r="C105" s="6"/>
      <c r="D105" s="6"/>
      <c r="E105" s="6"/>
      <c r="F105" s="6"/>
      <c r="G105" s="6"/>
      <c r="H105" s="6"/>
      <c r="I105" s="6"/>
      <c r="J105" s="6"/>
      <c r="K105" s="6"/>
      <c r="L105" s="6"/>
    </row>
    <row r="106" spans="1:14" x14ac:dyDescent="0.3">
      <c r="A106" s="6"/>
      <c r="B106" s="6"/>
      <c r="C106" s="6"/>
      <c r="D106" s="6"/>
      <c r="E106" s="6"/>
      <c r="F106" s="6"/>
      <c r="G106" s="6"/>
      <c r="H106" s="6"/>
      <c r="I106" s="6"/>
      <c r="J106" s="6"/>
      <c r="K106" s="6"/>
      <c r="L106" s="6"/>
    </row>
    <row r="107" spans="1:14" x14ac:dyDescent="0.3">
      <c r="A107" s="6" t="s">
        <v>411</v>
      </c>
      <c r="B107" s="6"/>
      <c r="C107" s="6"/>
      <c r="D107" s="6"/>
      <c r="E107" s="6"/>
      <c r="F107" s="6"/>
      <c r="G107" s="6"/>
      <c r="H107" s="6"/>
      <c r="I107" s="6"/>
      <c r="J107" s="6"/>
      <c r="K107" s="6"/>
      <c r="L107" s="6"/>
    </row>
    <row r="110" spans="1:14" x14ac:dyDescent="0.3">
      <c r="M110" s="6"/>
      <c r="N110" s="6"/>
    </row>
    <row r="111" spans="1:14" x14ac:dyDescent="0.3">
      <c r="M111" s="6"/>
      <c r="N111" s="6"/>
    </row>
  </sheetData>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F2CAC-4180-4FC0-AC38-DB1607E6E123}">
  <dimension ref="A1:L26"/>
  <sheetViews>
    <sheetView zoomScaleNormal="100" workbookViewId="0"/>
  </sheetViews>
  <sheetFormatPr defaultRowHeight="15.6" x14ac:dyDescent="0.3"/>
  <cols>
    <col min="1" max="1" width="8.88671875" style="1" customWidth="1"/>
    <col min="2" max="2" width="12.77734375" style="1" customWidth="1"/>
    <col min="3" max="4" width="15.77734375" style="1" customWidth="1"/>
    <col min="5" max="5" width="18.77734375" style="1" customWidth="1"/>
    <col min="6" max="7" width="15.77734375" style="1" customWidth="1"/>
    <col min="8" max="8" width="8.88671875" style="1" customWidth="1"/>
    <col min="9" max="16384" width="8.88671875" style="1"/>
  </cols>
  <sheetData>
    <row r="1" spans="1:12" ht="17.399999999999999" x14ac:dyDescent="0.3">
      <c r="A1" s="2" t="s">
        <v>183</v>
      </c>
      <c r="B1" s="4"/>
      <c r="C1" s="8" t="s">
        <v>31</v>
      </c>
      <c r="D1" s="4"/>
      <c r="E1" s="4"/>
      <c r="F1" s="4"/>
      <c r="G1" s="4"/>
      <c r="H1" s="4"/>
      <c r="I1" s="4"/>
      <c r="J1" s="4"/>
      <c r="K1" s="4"/>
      <c r="L1" s="3"/>
    </row>
    <row r="2" spans="1:12" x14ac:dyDescent="0.3">
      <c r="A2" s="4"/>
      <c r="B2" s="4"/>
      <c r="C2" s="4"/>
      <c r="D2" s="4"/>
      <c r="E2" s="4"/>
      <c r="F2" s="4"/>
      <c r="G2" s="4"/>
      <c r="H2" s="4"/>
      <c r="I2" s="4"/>
      <c r="J2" s="4"/>
      <c r="K2" s="4"/>
      <c r="L2" s="3"/>
    </row>
    <row r="3" spans="1:12" ht="15.6" customHeight="1" x14ac:dyDescent="0.35">
      <c r="A3" s="10" t="s">
        <v>188</v>
      </c>
      <c r="B3" s="52"/>
      <c r="C3" s="52"/>
      <c r="D3" s="52"/>
      <c r="E3" s="52"/>
      <c r="F3" s="52"/>
      <c r="G3" s="52"/>
      <c r="H3" s="52"/>
      <c r="I3" s="52"/>
      <c r="J3" s="52"/>
      <c r="K3" s="52"/>
      <c r="L3" s="8"/>
    </row>
    <row r="4" spans="1:12" ht="15.6" customHeight="1" x14ac:dyDescent="0.35">
      <c r="A4" s="52"/>
      <c r="B4" s="52"/>
      <c r="C4" s="52"/>
      <c r="D4" s="52"/>
      <c r="E4" s="52"/>
      <c r="F4" s="52"/>
      <c r="G4" s="52"/>
      <c r="H4" s="52"/>
      <c r="I4" s="52"/>
      <c r="J4" s="52"/>
      <c r="K4" s="52"/>
      <c r="L4" s="8"/>
    </row>
    <row r="5" spans="1:12" ht="16.2" x14ac:dyDescent="0.35">
      <c r="A5" s="10"/>
      <c r="B5" s="14" t="s">
        <v>13</v>
      </c>
      <c r="C5" s="14" t="s">
        <v>184</v>
      </c>
      <c r="D5" s="14" t="s">
        <v>185</v>
      </c>
      <c r="E5" s="8"/>
      <c r="F5" s="8"/>
      <c r="G5" s="8"/>
      <c r="H5" s="8"/>
      <c r="I5" s="8"/>
      <c r="J5" s="8"/>
      <c r="K5" s="8"/>
      <c r="L5" s="8"/>
    </row>
    <row r="6" spans="1:12" ht="16.2" x14ac:dyDescent="0.35">
      <c r="A6" s="10"/>
      <c r="B6" s="15" t="s">
        <v>186</v>
      </c>
      <c r="C6" s="15" t="s">
        <v>187</v>
      </c>
      <c r="D6" s="15" t="s">
        <v>187</v>
      </c>
      <c r="E6" s="8"/>
      <c r="F6" s="8"/>
      <c r="G6" s="8"/>
      <c r="H6" s="8"/>
      <c r="I6" s="8"/>
      <c r="J6" s="8"/>
      <c r="K6" s="8"/>
      <c r="L6" s="8"/>
    </row>
    <row r="7" spans="1:12" ht="16.2" x14ac:dyDescent="0.35">
      <c r="A7" s="10"/>
      <c r="B7" s="59">
        <v>2018</v>
      </c>
      <c r="C7" s="29">
        <v>9358</v>
      </c>
      <c r="D7" s="29">
        <v>9476</v>
      </c>
      <c r="E7" s="8"/>
      <c r="F7" s="8"/>
      <c r="G7" s="8"/>
      <c r="H7" s="8"/>
      <c r="I7" s="8"/>
      <c r="J7" s="8"/>
      <c r="K7" s="8"/>
      <c r="L7" s="8"/>
    </row>
    <row r="8" spans="1:12" ht="16.2" x14ac:dyDescent="0.35">
      <c r="A8" s="10"/>
      <c r="B8" s="19">
        <v>2019</v>
      </c>
      <c r="C8" s="29">
        <v>8896</v>
      </c>
      <c r="D8" s="29">
        <v>9438</v>
      </c>
      <c r="E8" s="8"/>
      <c r="F8" s="8"/>
      <c r="G8" s="8"/>
      <c r="H8" s="8"/>
      <c r="I8" s="8"/>
      <c r="J8" s="8"/>
      <c r="K8" s="8"/>
      <c r="L8" s="8"/>
    </row>
    <row r="9" spans="1:12" ht="16.2" x14ac:dyDescent="0.35">
      <c r="A9" s="10"/>
      <c r="B9" s="19">
        <v>2020</v>
      </c>
      <c r="C9" s="29">
        <v>8370</v>
      </c>
      <c r="D9" s="29">
        <v>9350</v>
      </c>
      <c r="E9" s="8"/>
      <c r="F9" s="8"/>
      <c r="G9" s="8"/>
      <c r="H9" s="8"/>
      <c r="I9" s="8"/>
      <c r="J9" s="8"/>
      <c r="K9" s="8"/>
      <c r="L9" s="8"/>
    </row>
    <row r="10" spans="1:12" ht="16.2" x14ac:dyDescent="0.35">
      <c r="A10" s="10"/>
      <c r="B10" s="19">
        <v>2021</v>
      </c>
      <c r="C10" s="29">
        <v>7061</v>
      </c>
      <c r="D10" s="29">
        <v>9446</v>
      </c>
      <c r="E10" s="8"/>
      <c r="F10" s="8"/>
      <c r="G10" s="8"/>
      <c r="H10" s="8"/>
      <c r="I10" s="8"/>
      <c r="J10" s="8"/>
      <c r="K10" s="8"/>
      <c r="L10" s="8"/>
    </row>
    <row r="11" spans="1:12" ht="16.2" x14ac:dyDescent="0.35">
      <c r="A11" s="10"/>
      <c r="B11" s="19">
        <v>2022</v>
      </c>
      <c r="C11" s="29">
        <v>5475</v>
      </c>
      <c r="D11" s="29">
        <v>7191</v>
      </c>
      <c r="E11" s="8"/>
      <c r="F11" s="8"/>
      <c r="G11" s="8"/>
      <c r="H11" s="8"/>
      <c r="I11" s="8"/>
      <c r="J11" s="8"/>
      <c r="K11" s="8"/>
      <c r="L11" s="8"/>
    </row>
    <row r="12" spans="1:12" ht="16.2" x14ac:dyDescent="0.35">
      <c r="A12" s="10"/>
      <c r="B12" s="19">
        <v>2023</v>
      </c>
      <c r="C12" s="29">
        <v>3583</v>
      </c>
      <c r="D12" s="29">
        <v>5547</v>
      </c>
      <c r="E12" s="8"/>
      <c r="F12" s="8"/>
      <c r="G12" s="8"/>
      <c r="H12" s="8"/>
      <c r="I12" s="8"/>
      <c r="J12" s="8"/>
      <c r="K12" s="8"/>
      <c r="L12" s="8"/>
    </row>
    <row r="13" spans="1:12" ht="16.2" x14ac:dyDescent="0.35">
      <c r="A13" s="10"/>
      <c r="B13" s="19">
        <v>2024</v>
      </c>
      <c r="C13" s="29">
        <v>1805</v>
      </c>
      <c r="D13" s="29">
        <v>3804</v>
      </c>
      <c r="E13" s="8"/>
      <c r="F13" s="8"/>
      <c r="G13" s="8"/>
      <c r="H13" s="8"/>
      <c r="I13" s="8"/>
      <c r="J13" s="8"/>
      <c r="K13" s="8"/>
      <c r="L13" s="8"/>
    </row>
    <row r="14" spans="1:12" ht="16.2" x14ac:dyDescent="0.35">
      <c r="A14" s="10"/>
      <c r="B14" s="18" t="s">
        <v>86</v>
      </c>
      <c r="C14" s="53">
        <v>44548</v>
      </c>
      <c r="D14" s="53">
        <v>54252</v>
      </c>
      <c r="E14" s="8"/>
      <c r="F14" s="8"/>
      <c r="G14" s="8"/>
      <c r="H14" s="8"/>
      <c r="I14" s="8"/>
      <c r="J14" s="8"/>
      <c r="K14" s="8"/>
      <c r="L14" s="8"/>
    </row>
    <row r="15" spans="1:12" ht="16.2" x14ac:dyDescent="0.35">
      <c r="A15" s="10"/>
      <c r="B15" s="8"/>
      <c r="C15" s="8"/>
      <c r="D15" s="8"/>
      <c r="E15" s="8"/>
      <c r="F15" s="8"/>
      <c r="G15" s="8"/>
      <c r="H15" s="8"/>
      <c r="I15" s="8"/>
      <c r="J15" s="8"/>
      <c r="K15" s="8"/>
      <c r="L15" s="8"/>
    </row>
    <row r="16" spans="1:12" ht="16.2" x14ac:dyDescent="0.35">
      <c r="A16" s="10"/>
      <c r="B16" s="74"/>
      <c r="C16" s="207" t="s">
        <v>221</v>
      </c>
      <c r="D16" s="190"/>
      <c r="E16" s="209"/>
      <c r="F16" s="190"/>
      <c r="G16" s="190"/>
      <c r="H16" s="8"/>
      <c r="I16" s="8"/>
      <c r="J16" s="8"/>
      <c r="K16" s="8"/>
      <c r="L16" s="8"/>
    </row>
    <row r="17" spans="1:12" ht="16.2" x14ac:dyDescent="0.35">
      <c r="A17" s="10"/>
      <c r="B17" s="75" t="s">
        <v>13</v>
      </c>
      <c r="C17" s="207" t="s">
        <v>189</v>
      </c>
      <c r="D17" s="208"/>
      <c r="E17" s="14" t="s">
        <v>190</v>
      </c>
      <c r="F17" s="207" t="s">
        <v>191</v>
      </c>
      <c r="G17" s="190"/>
      <c r="H17" s="8"/>
      <c r="I17" s="8"/>
      <c r="J17" s="8"/>
      <c r="K17" s="8"/>
      <c r="L17" s="8"/>
    </row>
    <row r="18" spans="1:12" ht="16.2" x14ac:dyDescent="0.35">
      <c r="A18" s="10"/>
      <c r="B18" s="15" t="s">
        <v>186</v>
      </c>
      <c r="C18" s="58" t="s">
        <v>184</v>
      </c>
      <c r="D18" s="76" t="s">
        <v>185</v>
      </c>
      <c r="E18" s="15" t="s">
        <v>192</v>
      </c>
      <c r="F18" s="58" t="s">
        <v>184</v>
      </c>
      <c r="G18" s="18" t="s">
        <v>185</v>
      </c>
      <c r="H18" s="8"/>
      <c r="I18" s="8"/>
      <c r="J18" s="8"/>
      <c r="K18" s="8"/>
      <c r="L18" s="8"/>
    </row>
    <row r="19" spans="1:12" ht="16.2" x14ac:dyDescent="0.35">
      <c r="A19" s="10"/>
      <c r="B19" s="59">
        <v>2018</v>
      </c>
      <c r="C19" s="29">
        <v>10197</v>
      </c>
      <c r="D19" s="29">
        <v>9947</v>
      </c>
      <c r="E19" s="77">
        <v>9900</v>
      </c>
      <c r="F19" s="29">
        <v>10173</v>
      </c>
      <c r="G19" s="29">
        <v>9945</v>
      </c>
      <c r="H19" s="8"/>
      <c r="I19" s="8"/>
      <c r="J19" s="8"/>
      <c r="K19" s="8"/>
      <c r="L19" s="8"/>
    </row>
    <row r="20" spans="1:12" ht="16.2" x14ac:dyDescent="0.35">
      <c r="A20" s="10"/>
      <c r="B20" s="19">
        <v>2019</v>
      </c>
      <c r="C20" s="29">
        <v>10562</v>
      </c>
      <c r="D20" s="29">
        <v>10399</v>
      </c>
      <c r="E20" s="29">
        <v>10775</v>
      </c>
      <c r="F20" s="29">
        <v>10596</v>
      </c>
      <c r="G20" s="29">
        <v>10434</v>
      </c>
      <c r="H20" s="8"/>
      <c r="I20" s="8"/>
      <c r="J20" s="8"/>
      <c r="K20" s="8"/>
      <c r="L20" s="8"/>
    </row>
    <row r="21" spans="1:12" ht="16.2" x14ac:dyDescent="0.35">
      <c r="A21" s="10"/>
      <c r="B21" s="19">
        <v>2020</v>
      </c>
      <c r="C21" s="29">
        <v>11605</v>
      </c>
      <c r="D21" s="29">
        <v>11501</v>
      </c>
      <c r="E21" s="29">
        <v>11709</v>
      </c>
      <c r="F21" s="29">
        <v>11634</v>
      </c>
      <c r="G21" s="29">
        <v>11540</v>
      </c>
      <c r="H21" s="8"/>
      <c r="I21" s="8"/>
      <c r="J21" s="8"/>
      <c r="K21" s="8"/>
      <c r="L21" s="8"/>
    </row>
    <row r="22" spans="1:12" ht="16.2" x14ac:dyDescent="0.35">
      <c r="A22" s="10"/>
      <c r="B22" s="19">
        <v>2021</v>
      </c>
      <c r="C22" s="78">
        <v>12487</v>
      </c>
      <c r="D22" s="78">
        <v>13515</v>
      </c>
      <c r="E22" s="29">
        <v>12553</v>
      </c>
      <c r="F22" s="29">
        <v>12515</v>
      </c>
      <c r="G22" s="29">
        <v>13527</v>
      </c>
      <c r="H22" s="8"/>
      <c r="I22" s="8"/>
      <c r="J22" s="8"/>
      <c r="K22" s="8"/>
      <c r="L22" s="8"/>
    </row>
    <row r="23" spans="1:12" ht="16.2" x14ac:dyDescent="0.35">
      <c r="A23" s="10"/>
      <c r="B23" s="19">
        <v>2022</v>
      </c>
      <c r="C23" s="29">
        <v>13695</v>
      </c>
      <c r="D23" s="29">
        <v>13867</v>
      </c>
      <c r="E23" s="29">
        <v>13586</v>
      </c>
      <c r="F23" s="29">
        <v>13630</v>
      </c>
      <c r="G23" s="29">
        <v>13670</v>
      </c>
      <c r="H23" s="8"/>
      <c r="I23" s="8"/>
      <c r="J23" s="8"/>
      <c r="K23" s="8"/>
      <c r="L23" s="8"/>
    </row>
    <row r="24" spans="1:12" ht="16.2" x14ac:dyDescent="0.35">
      <c r="A24" s="10"/>
      <c r="B24" s="19">
        <v>2023</v>
      </c>
      <c r="C24" s="29">
        <v>14509</v>
      </c>
      <c r="D24" s="29">
        <v>15102</v>
      </c>
      <c r="E24" s="29">
        <v>14568</v>
      </c>
      <c r="F24" s="78">
        <v>14554</v>
      </c>
      <c r="G24" s="29">
        <v>14660</v>
      </c>
      <c r="H24" s="8"/>
      <c r="I24" s="8"/>
      <c r="J24" s="8"/>
      <c r="K24" s="8"/>
      <c r="L24" s="8"/>
    </row>
    <row r="25" spans="1:12" ht="16.2" x14ac:dyDescent="0.35">
      <c r="A25" s="10"/>
      <c r="B25" s="19">
        <v>2024</v>
      </c>
      <c r="C25" s="29">
        <v>15719</v>
      </c>
      <c r="D25" s="29">
        <v>17079</v>
      </c>
      <c r="E25" s="78">
        <v>15916</v>
      </c>
      <c r="F25" s="29">
        <v>15893</v>
      </c>
      <c r="G25" s="29">
        <v>16040</v>
      </c>
      <c r="H25" s="8"/>
      <c r="I25" s="8"/>
      <c r="J25" s="8"/>
      <c r="K25" s="8"/>
      <c r="L25" s="8"/>
    </row>
    <row r="26" spans="1:12" ht="16.2" x14ac:dyDescent="0.35">
      <c r="A26" s="10"/>
      <c r="B26" s="18" t="s">
        <v>86</v>
      </c>
      <c r="C26" s="53">
        <v>88774</v>
      </c>
      <c r="D26" s="53">
        <v>91410</v>
      </c>
      <c r="E26" s="53">
        <v>89007</v>
      </c>
      <c r="F26" s="53">
        <v>88995</v>
      </c>
      <c r="G26" s="53">
        <v>89816</v>
      </c>
      <c r="H26" s="8"/>
      <c r="I26" s="8"/>
      <c r="J26" s="8"/>
      <c r="K26" s="8"/>
      <c r="L26" s="8"/>
    </row>
  </sheetData>
  <mergeCells count="3">
    <mergeCell ref="C17:D17"/>
    <mergeCell ref="F17:G17"/>
    <mergeCell ref="C16:G16"/>
  </mergeCells>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5E498-65DC-4F5E-B3AF-84A42AF563B8}">
  <dimension ref="A1:R54"/>
  <sheetViews>
    <sheetView zoomScaleNormal="100" workbookViewId="0"/>
  </sheetViews>
  <sheetFormatPr defaultRowHeight="15.6" x14ac:dyDescent="0.3"/>
  <cols>
    <col min="1" max="1" width="8.88671875" style="1" customWidth="1"/>
    <col min="2" max="4" width="15.77734375" style="1" customWidth="1"/>
    <col min="5" max="6" width="8.88671875" style="1" customWidth="1"/>
    <col min="7" max="7" width="8.88671875" style="1"/>
    <col min="8" max="8" width="8.88671875" style="1" customWidth="1"/>
    <col min="9" max="16384" width="8.88671875" style="1"/>
  </cols>
  <sheetData>
    <row r="1" spans="1:12" ht="17.399999999999999" x14ac:dyDescent="0.3">
      <c r="A1" s="2" t="s">
        <v>193</v>
      </c>
      <c r="B1" s="4"/>
      <c r="C1" s="8" t="s">
        <v>31</v>
      </c>
      <c r="D1" s="4"/>
      <c r="E1" s="4"/>
      <c r="F1" s="4"/>
      <c r="G1" s="4"/>
      <c r="H1" s="4"/>
      <c r="I1" s="4"/>
      <c r="J1" s="4"/>
      <c r="K1" s="4"/>
      <c r="L1" s="3"/>
    </row>
    <row r="2" spans="1:12" x14ac:dyDescent="0.3">
      <c r="A2" s="4"/>
      <c r="B2" s="4"/>
      <c r="C2" s="4"/>
      <c r="D2" s="4"/>
      <c r="E2" s="4"/>
      <c r="F2" s="4"/>
      <c r="G2" s="4"/>
      <c r="H2" s="4"/>
      <c r="I2" s="4"/>
      <c r="J2" s="4"/>
      <c r="K2" s="4"/>
      <c r="L2" s="3"/>
    </row>
    <row r="3" spans="1:12" x14ac:dyDescent="0.3">
      <c r="A3" s="8" t="s">
        <v>194</v>
      </c>
      <c r="B3" s="8"/>
      <c r="C3" s="8"/>
      <c r="D3" s="8"/>
      <c r="E3" s="8"/>
      <c r="F3" s="4"/>
      <c r="G3" s="4"/>
      <c r="H3" s="4"/>
      <c r="I3" s="4"/>
      <c r="J3" s="4"/>
      <c r="K3" s="4"/>
      <c r="L3" s="3"/>
    </row>
    <row r="4" spans="1:12" x14ac:dyDescent="0.3">
      <c r="A4" s="21"/>
      <c r="B4" s="8"/>
      <c r="C4" s="8"/>
      <c r="D4" s="8"/>
      <c r="E4" s="8"/>
      <c r="F4" s="4"/>
      <c r="G4" s="4"/>
      <c r="H4" s="8"/>
      <c r="I4" s="8"/>
      <c r="J4" s="8"/>
      <c r="K4" s="8"/>
      <c r="L4" s="8"/>
    </row>
    <row r="5" spans="1:12" ht="31.2" x14ac:dyDescent="0.3">
      <c r="A5" s="21"/>
      <c r="B5" s="30" t="s">
        <v>195</v>
      </c>
      <c r="C5" s="196" t="s">
        <v>196</v>
      </c>
      <c r="D5" s="196"/>
      <c r="E5" s="8"/>
      <c r="F5" s="4"/>
      <c r="G5" s="4"/>
      <c r="H5" s="8"/>
      <c r="I5" s="8"/>
      <c r="J5" s="8"/>
      <c r="K5" s="8"/>
      <c r="L5" s="8"/>
    </row>
    <row r="6" spans="1:12" x14ac:dyDescent="0.3">
      <c r="A6" s="21"/>
      <c r="B6" s="19" t="s">
        <v>197</v>
      </c>
      <c r="C6" s="210">
        <v>0.14499999999999999</v>
      </c>
      <c r="D6" s="210"/>
      <c r="E6" s="8"/>
      <c r="F6" s="4"/>
      <c r="G6" s="4"/>
      <c r="H6" s="8"/>
      <c r="I6" s="8"/>
      <c r="J6" s="8"/>
      <c r="K6" s="8"/>
      <c r="L6" s="8"/>
    </row>
    <row r="7" spans="1:12" x14ac:dyDescent="0.3">
      <c r="A7" s="21"/>
      <c r="B7" s="19" t="s">
        <v>198</v>
      </c>
      <c r="C7" s="210">
        <v>0.15160000000000001</v>
      </c>
      <c r="D7" s="210"/>
      <c r="E7" s="8"/>
      <c r="F7" s="4"/>
      <c r="G7" s="4"/>
      <c r="H7" s="8"/>
      <c r="I7" s="8"/>
      <c r="J7" s="8"/>
      <c r="K7" s="8"/>
      <c r="L7" s="8"/>
    </row>
    <row r="8" spans="1:12" x14ac:dyDescent="0.3">
      <c r="A8" s="21"/>
      <c r="B8" s="19" t="s">
        <v>199</v>
      </c>
      <c r="C8" s="210">
        <v>0.158</v>
      </c>
      <c r="D8" s="210"/>
      <c r="E8" s="8"/>
      <c r="F8" s="4"/>
      <c r="G8" s="4"/>
      <c r="H8" s="8"/>
      <c r="I8" s="8"/>
      <c r="J8" s="8"/>
      <c r="K8" s="8"/>
      <c r="L8" s="8"/>
    </row>
    <row r="9" spans="1:12" x14ac:dyDescent="0.3">
      <c r="A9" s="8"/>
      <c r="B9" s="19" t="s">
        <v>200</v>
      </c>
      <c r="C9" s="210">
        <v>0.16450000000000001</v>
      </c>
      <c r="D9" s="210"/>
      <c r="E9" s="8"/>
      <c r="F9" s="4"/>
      <c r="G9" s="4"/>
      <c r="H9" s="8"/>
      <c r="I9" s="8"/>
      <c r="J9" s="8"/>
      <c r="K9" s="8"/>
      <c r="L9" s="8"/>
    </row>
    <row r="10" spans="1:12" x14ac:dyDescent="0.3">
      <c r="A10" s="8"/>
      <c r="B10" s="19" t="s">
        <v>201</v>
      </c>
      <c r="C10" s="210">
        <v>0.18790000000000001</v>
      </c>
      <c r="D10" s="210"/>
      <c r="E10" s="8"/>
      <c r="F10" s="4"/>
      <c r="G10" s="4"/>
      <c r="H10" s="8"/>
      <c r="I10" s="8"/>
      <c r="J10" s="8"/>
      <c r="K10" s="8"/>
      <c r="L10" s="8"/>
    </row>
    <row r="11" spans="1:12" x14ac:dyDescent="0.3">
      <c r="A11" s="21"/>
      <c r="B11" s="19" t="s">
        <v>202</v>
      </c>
      <c r="C11" s="210">
        <v>0.19850000000000001</v>
      </c>
      <c r="D11" s="210"/>
      <c r="E11" s="8"/>
      <c r="F11" s="4"/>
      <c r="G11" s="4"/>
      <c r="H11" s="8"/>
      <c r="I11" s="8"/>
      <c r="J11" s="8"/>
      <c r="K11" s="8"/>
      <c r="L11" s="8"/>
    </row>
    <row r="12" spans="1:12" x14ac:dyDescent="0.3">
      <c r="A12" s="8"/>
      <c r="B12" s="19" t="s">
        <v>203</v>
      </c>
      <c r="C12" s="210">
        <v>0.20860000000000001</v>
      </c>
      <c r="D12" s="210"/>
      <c r="E12" s="8"/>
      <c r="F12" s="4"/>
      <c r="G12" s="4"/>
      <c r="H12" s="8"/>
      <c r="I12" s="8"/>
      <c r="J12" s="8"/>
      <c r="K12" s="8"/>
      <c r="L12" s="8"/>
    </row>
    <row r="13" spans="1:12" x14ac:dyDescent="0.3">
      <c r="A13" s="8"/>
      <c r="B13" s="19" t="s">
        <v>204</v>
      </c>
      <c r="C13" s="210">
        <v>0.2195</v>
      </c>
      <c r="D13" s="210"/>
      <c r="E13" s="8"/>
      <c r="F13" s="4"/>
      <c r="G13" s="4"/>
      <c r="H13" s="8"/>
      <c r="I13" s="8"/>
      <c r="J13" s="8"/>
      <c r="K13" s="8"/>
      <c r="L13" s="8"/>
    </row>
    <row r="14" spans="1:12" x14ac:dyDescent="0.3">
      <c r="A14" s="8"/>
      <c r="B14" s="19" t="s">
        <v>205</v>
      </c>
      <c r="C14" s="210">
        <v>0.2301</v>
      </c>
      <c r="D14" s="210"/>
      <c r="E14" s="8"/>
      <c r="F14" s="4"/>
      <c r="G14" s="4"/>
      <c r="H14" s="8"/>
      <c r="I14" s="8"/>
      <c r="J14" s="8"/>
      <c r="K14" s="8"/>
      <c r="L14" s="8"/>
    </row>
    <row r="15" spans="1:12" x14ac:dyDescent="0.3">
      <c r="A15" s="8"/>
      <c r="B15" s="19" t="s">
        <v>206</v>
      </c>
      <c r="C15" s="210">
        <v>0.2402</v>
      </c>
      <c r="D15" s="210"/>
      <c r="E15" s="8"/>
      <c r="F15" s="4"/>
      <c r="G15" s="4"/>
      <c r="H15" s="8"/>
      <c r="I15" s="8"/>
      <c r="J15" s="8"/>
      <c r="K15" s="8"/>
      <c r="L15" s="8"/>
    </row>
    <row r="16" spans="1:12" x14ac:dyDescent="0.3">
      <c r="A16" s="6"/>
      <c r="B16" s="6"/>
      <c r="C16" s="6"/>
      <c r="D16" s="6"/>
      <c r="E16" s="6"/>
      <c r="F16" s="6"/>
      <c r="G16" s="6"/>
      <c r="H16" s="6"/>
      <c r="I16" s="6"/>
      <c r="J16" s="6"/>
      <c r="K16" s="6"/>
      <c r="L16" s="6"/>
    </row>
    <row r="17" spans="1:18" x14ac:dyDescent="0.3">
      <c r="A17" s="5" t="s">
        <v>4</v>
      </c>
      <c r="B17" s="191" t="s">
        <v>207</v>
      </c>
      <c r="C17" s="191"/>
      <c r="D17" s="191"/>
      <c r="E17" s="191"/>
      <c r="F17" s="191"/>
      <c r="G17" s="191"/>
      <c r="H17" s="191"/>
      <c r="I17" s="191"/>
      <c r="J17" s="191"/>
      <c r="K17" s="191"/>
      <c r="L17" s="4"/>
      <c r="M17" s="7"/>
      <c r="N17" s="7"/>
      <c r="O17" s="7"/>
      <c r="P17" s="7"/>
      <c r="Q17" s="7"/>
      <c r="R17" s="7"/>
    </row>
    <row r="18" spans="1:18" x14ac:dyDescent="0.3">
      <c r="A18" s="5"/>
      <c r="B18" s="191"/>
      <c r="C18" s="191"/>
      <c r="D18" s="191"/>
      <c r="E18" s="191"/>
      <c r="F18" s="191"/>
      <c r="G18" s="191"/>
      <c r="H18" s="191"/>
      <c r="I18" s="191"/>
      <c r="J18" s="191"/>
      <c r="K18" s="191"/>
      <c r="L18" s="4"/>
      <c r="M18" s="7"/>
      <c r="N18" s="7"/>
      <c r="O18" s="7"/>
      <c r="P18" s="7"/>
      <c r="Q18" s="7"/>
      <c r="R18" s="7"/>
    </row>
    <row r="19" spans="1:18" x14ac:dyDescent="0.3">
      <c r="A19" s="6"/>
      <c r="B19" s="6"/>
      <c r="C19" s="6"/>
      <c r="D19" s="6"/>
      <c r="E19" s="6"/>
      <c r="F19" s="6"/>
      <c r="G19" s="6"/>
      <c r="H19" s="6"/>
      <c r="I19" s="6"/>
      <c r="J19" s="6"/>
      <c r="K19" s="6"/>
      <c r="L19" s="6"/>
      <c r="M19" s="6"/>
    </row>
    <row r="20" spans="1:18" x14ac:dyDescent="0.3">
      <c r="A20" s="6" t="s">
        <v>1</v>
      </c>
      <c r="B20" s="6"/>
      <c r="C20" s="6"/>
      <c r="D20" s="6"/>
      <c r="E20" s="6"/>
      <c r="F20" s="6"/>
      <c r="G20" s="6"/>
      <c r="H20" s="6"/>
      <c r="I20" s="6"/>
      <c r="J20" s="6"/>
      <c r="K20" s="6"/>
      <c r="L20" s="6"/>
      <c r="M20" s="6"/>
      <c r="N20" s="7"/>
    </row>
    <row r="21" spans="1:18" x14ac:dyDescent="0.3">
      <c r="A21" s="6"/>
      <c r="B21" s="6"/>
      <c r="C21" s="6"/>
      <c r="D21" s="6"/>
      <c r="E21" s="6"/>
      <c r="F21" s="6"/>
      <c r="G21" s="6"/>
      <c r="H21" s="6"/>
      <c r="I21" s="6"/>
      <c r="J21" s="6"/>
      <c r="K21" s="6"/>
      <c r="L21" s="6"/>
      <c r="M21" s="6"/>
      <c r="N21" s="7"/>
    </row>
    <row r="22" spans="1:18" x14ac:dyDescent="0.3">
      <c r="A22" s="6"/>
      <c r="B22" s="6" t="s">
        <v>427</v>
      </c>
      <c r="C22" s="171">
        <v>0.15</v>
      </c>
      <c r="D22" s="6"/>
      <c r="E22" s="6"/>
      <c r="F22" s="6"/>
      <c r="G22" s="6"/>
      <c r="H22" s="6"/>
      <c r="I22" s="6"/>
      <c r="J22" s="6"/>
      <c r="K22" s="6"/>
      <c r="L22" s="6"/>
      <c r="M22" s="6"/>
      <c r="N22" s="7"/>
    </row>
    <row r="23" spans="1:18" x14ac:dyDescent="0.3">
      <c r="A23" s="6"/>
      <c r="B23" s="6"/>
      <c r="C23" s="6"/>
      <c r="D23" s="6"/>
      <c r="E23" s="6"/>
      <c r="F23" s="6"/>
      <c r="G23" s="6"/>
      <c r="H23" s="6"/>
      <c r="I23" s="6"/>
      <c r="J23" s="6"/>
      <c r="K23" s="6"/>
      <c r="L23" s="6"/>
      <c r="M23" s="6"/>
      <c r="N23" s="7"/>
    </row>
    <row r="24" spans="1:18" ht="46.8" x14ac:dyDescent="0.3">
      <c r="A24" s="6"/>
      <c r="B24" s="176" t="s">
        <v>195</v>
      </c>
      <c r="C24" s="178" t="s">
        <v>425</v>
      </c>
      <c r="D24" s="178" t="s">
        <v>426</v>
      </c>
      <c r="E24" s="6"/>
      <c r="F24" s="6"/>
      <c r="G24" s="6"/>
      <c r="H24" s="6"/>
      <c r="I24" s="6"/>
      <c r="J24" s="6"/>
      <c r="K24" s="6"/>
      <c r="L24" s="6"/>
      <c r="M24" s="6"/>
      <c r="N24" s="7"/>
    </row>
    <row r="25" spans="1:18" x14ac:dyDescent="0.3">
      <c r="A25" s="6"/>
      <c r="B25" s="177" t="s">
        <v>197</v>
      </c>
      <c r="C25" s="179">
        <f>(1-C6)+C6*(1-$C$22)</f>
        <v>0.97824999999999995</v>
      </c>
      <c r="D25" s="163"/>
      <c r="E25" s="6"/>
      <c r="F25" s="6"/>
      <c r="G25" s="6"/>
      <c r="H25" s="6"/>
      <c r="I25" s="6"/>
      <c r="J25" s="6"/>
      <c r="K25" s="6"/>
      <c r="L25" s="6"/>
      <c r="M25" s="6"/>
      <c r="N25" s="7"/>
    </row>
    <row r="26" spans="1:18" x14ac:dyDescent="0.3">
      <c r="A26" s="6"/>
      <c r="B26" s="177" t="s">
        <v>198</v>
      </c>
      <c r="C26" s="179">
        <f t="shared" ref="C26:C34" si="0">(1-C7)+C7*(1-$C$22)</f>
        <v>0.97726000000000002</v>
      </c>
      <c r="D26" s="180">
        <f>C26/C25-1</f>
        <v>-1.0120112445692886E-3</v>
      </c>
      <c r="E26" s="6"/>
      <c r="F26" s="6"/>
      <c r="G26" s="6"/>
      <c r="H26" s="6"/>
      <c r="I26" s="6"/>
      <c r="J26" s="6"/>
      <c r="K26" s="6"/>
      <c r="L26" s="6"/>
      <c r="M26" s="6"/>
      <c r="N26" s="7"/>
    </row>
    <row r="27" spans="1:18" x14ac:dyDescent="0.3">
      <c r="A27" s="6"/>
      <c r="B27" s="177" t="s">
        <v>199</v>
      </c>
      <c r="C27" s="179">
        <f t="shared" si="0"/>
        <v>0.97629999999999995</v>
      </c>
      <c r="D27" s="180">
        <f t="shared" ref="D27:D34" si="1">C27/C26-1</f>
        <v>-9.8233837463934659E-4</v>
      </c>
      <c r="E27" s="6"/>
      <c r="F27" s="6"/>
      <c r="G27" s="6"/>
      <c r="H27" s="6"/>
      <c r="I27" s="6"/>
      <c r="J27" s="6"/>
      <c r="K27" s="6"/>
      <c r="L27" s="6"/>
      <c r="M27" s="6"/>
      <c r="N27" s="7"/>
    </row>
    <row r="28" spans="1:18" x14ac:dyDescent="0.3">
      <c r="A28" s="6"/>
      <c r="B28" s="177" t="s">
        <v>200</v>
      </c>
      <c r="C28" s="179">
        <f t="shared" si="0"/>
        <v>0.975325</v>
      </c>
      <c r="D28" s="180">
        <f t="shared" si="1"/>
        <v>-9.9866844207718852E-4</v>
      </c>
      <c r="E28" s="6"/>
      <c r="F28" s="6"/>
      <c r="G28" s="6"/>
      <c r="H28" s="6"/>
      <c r="I28" s="6"/>
      <c r="J28" s="6"/>
      <c r="K28" s="6"/>
      <c r="L28" s="6"/>
      <c r="M28" s="6"/>
      <c r="N28" s="7"/>
    </row>
    <row r="29" spans="1:18" x14ac:dyDescent="0.3">
      <c r="A29" s="6"/>
      <c r="B29" s="177" t="s">
        <v>201</v>
      </c>
      <c r="C29" s="179">
        <f t="shared" si="0"/>
        <v>0.9718150000000001</v>
      </c>
      <c r="D29" s="180">
        <f t="shared" si="1"/>
        <v>-3.5988003998665974E-3</v>
      </c>
      <c r="E29" s="6"/>
      <c r="F29" s="6"/>
      <c r="G29" s="6"/>
      <c r="H29" s="6"/>
      <c r="I29" s="6"/>
      <c r="J29" s="6"/>
      <c r="K29" s="6"/>
      <c r="L29" s="6"/>
      <c r="M29" s="6"/>
      <c r="N29" s="7"/>
    </row>
    <row r="30" spans="1:18" x14ac:dyDescent="0.3">
      <c r="A30" s="6"/>
      <c r="B30" s="177" t="s">
        <v>202</v>
      </c>
      <c r="C30" s="179">
        <f t="shared" si="0"/>
        <v>0.970225</v>
      </c>
      <c r="D30" s="180">
        <f t="shared" si="1"/>
        <v>-1.6361138694094279E-3</v>
      </c>
      <c r="E30" s="6"/>
      <c r="F30" s="6"/>
      <c r="G30" s="6"/>
      <c r="H30" s="6"/>
      <c r="I30" s="6"/>
      <c r="J30" s="6"/>
      <c r="K30" s="6"/>
      <c r="L30" s="6"/>
      <c r="M30" s="6"/>
      <c r="N30" s="7"/>
    </row>
    <row r="31" spans="1:18" x14ac:dyDescent="0.3">
      <c r="A31" s="6"/>
      <c r="B31" s="177" t="s">
        <v>203</v>
      </c>
      <c r="C31" s="179">
        <f t="shared" si="0"/>
        <v>0.96870999999999996</v>
      </c>
      <c r="D31" s="180">
        <f t="shared" si="1"/>
        <v>-1.5614934680100445E-3</v>
      </c>
      <c r="E31" s="6"/>
      <c r="F31" s="6"/>
      <c r="G31" s="6"/>
      <c r="H31" s="6"/>
      <c r="I31" s="6"/>
      <c r="J31" s="6"/>
      <c r="K31" s="6"/>
      <c r="L31" s="6"/>
      <c r="M31" s="6"/>
      <c r="N31" s="7"/>
    </row>
    <row r="32" spans="1:18" x14ac:dyDescent="0.3">
      <c r="A32" s="6"/>
      <c r="B32" s="177" t="s">
        <v>204</v>
      </c>
      <c r="C32" s="179">
        <f t="shared" si="0"/>
        <v>0.96707499999999991</v>
      </c>
      <c r="D32" s="180">
        <f t="shared" si="1"/>
        <v>-1.6878116257703635E-3</v>
      </c>
      <c r="E32" s="6"/>
      <c r="F32" s="6"/>
      <c r="G32" s="6"/>
      <c r="H32" s="6"/>
      <c r="I32" s="6"/>
      <c r="J32" s="6"/>
      <c r="K32" s="6"/>
      <c r="L32" s="6"/>
      <c r="M32" s="6"/>
      <c r="N32" s="7"/>
    </row>
    <row r="33" spans="1:14" x14ac:dyDescent="0.3">
      <c r="A33" s="6"/>
      <c r="B33" s="177" t="s">
        <v>205</v>
      </c>
      <c r="C33" s="179">
        <f t="shared" si="0"/>
        <v>0.96548500000000004</v>
      </c>
      <c r="D33" s="180">
        <f t="shared" si="1"/>
        <v>-1.6441330817152933E-3</v>
      </c>
      <c r="E33" s="6"/>
      <c r="F33" s="6"/>
      <c r="G33" s="6"/>
      <c r="H33" s="6"/>
      <c r="I33" s="6"/>
      <c r="J33" s="6"/>
      <c r="K33" s="6"/>
      <c r="L33" s="6"/>
      <c r="M33" s="6"/>
      <c r="N33" s="7"/>
    </row>
    <row r="34" spans="1:14" x14ac:dyDescent="0.3">
      <c r="A34" s="6"/>
      <c r="B34" s="177" t="s">
        <v>206</v>
      </c>
      <c r="C34" s="179">
        <f t="shared" si="0"/>
        <v>0.96396999999999999</v>
      </c>
      <c r="D34" s="180">
        <f t="shared" si="1"/>
        <v>-1.5691595415775472E-3</v>
      </c>
      <c r="E34" s="6"/>
      <c r="F34" s="6"/>
      <c r="G34" s="6"/>
      <c r="H34" s="6"/>
      <c r="I34" s="6"/>
      <c r="J34" s="6"/>
      <c r="K34" s="6"/>
      <c r="L34" s="6"/>
      <c r="M34" s="6"/>
      <c r="N34" s="7"/>
    </row>
    <row r="35" spans="1:14" x14ac:dyDescent="0.3">
      <c r="A35" s="6"/>
      <c r="B35" s="6"/>
      <c r="C35" s="6"/>
      <c r="D35" s="6"/>
      <c r="E35" s="6"/>
      <c r="F35" s="6"/>
      <c r="G35" s="6"/>
      <c r="H35" s="6"/>
      <c r="I35" s="6"/>
      <c r="J35" s="6"/>
      <c r="K35" s="6"/>
      <c r="L35" s="6"/>
      <c r="M35" s="6"/>
      <c r="N35" s="7"/>
    </row>
    <row r="36" spans="1:14" x14ac:dyDescent="0.3">
      <c r="A36" s="6"/>
      <c r="B36" s="6" t="s">
        <v>428</v>
      </c>
      <c r="C36" s="6"/>
      <c r="D36" s="153">
        <f>AVERAGE(D30:D34)</f>
        <v>-1.6197423172965354E-3</v>
      </c>
      <c r="E36" s="6"/>
      <c r="F36" s="6"/>
      <c r="G36" s="6"/>
      <c r="H36" s="6"/>
      <c r="I36" s="6"/>
      <c r="J36" s="6"/>
      <c r="K36" s="6"/>
      <c r="L36" s="6"/>
      <c r="M36" s="6"/>
      <c r="N36" s="7"/>
    </row>
    <row r="37" spans="1:14" x14ac:dyDescent="0.3">
      <c r="A37" s="6"/>
      <c r="B37" s="6" t="s">
        <v>429</v>
      </c>
      <c r="C37" s="6"/>
      <c r="D37" s="6"/>
      <c r="E37" s="6"/>
      <c r="F37" s="6"/>
      <c r="G37" s="6"/>
      <c r="H37" s="6"/>
      <c r="I37" s="6"/>
      <c r="J37" s="6"/>
      <c r="K37" s="6"/>
      <c r="L37" s="6"/>
      <c r="M37" s="6"/>
      <c r="N37" s="7"/>
    </row>
    <row r="38" spans="1:14" x14ac:dyDescent="0.3">
      <c r="M38" s="7"/>
      <c r="N38" s="7"/>
    </row>
    <row r="39" spans="1:14" x14ac:dyDescent="0.3">
      <c r="A39" s="8" t="s">
        <v>208</v>
      </c>
      <c r="B39" s="8"/>
      <c r="C39" s="8"/>
      <c r="D39" s="8"/>
      <c r="E39" s="8"/>
      <c r="F39" s="8"/>
      <c r="G39" s="8"/>
      <c r="H39" s="8"/>
      <c r="I39" s="8"/>
      <c r="J39" s="8"/>
      <c r="K39" s="8"/>
      <c r="L39" s="8"/>
      <c r="M39" s="7"/>
      <c r="N39" s="7"/>
    </row>
    <row r="40" spans="1:14" x14ac:dyDescent="0.3">
      <c r="M40" s="7"/>
      <c r="N40" s="7"/>
    </row>
    <row r="41" spans="1:14" x14ac:dyDescent="0.3">
      <c r="A41" s="5" t="s">
        <v>5</v>
      </c>
      <c r="B41" s="191" t="s">
        <v>209</v>
      </c>
      <c r="C41" s="191"/>
      <c r="D41" s="191"/>
      <c r="E41" s="191"/>
      <c r="F41" s="191"/>
      <c r="G41" s="191"/>
      <c r="H41" s="191"/>
      <c r="I41" s="191"/>
      <c r="J41" s="191"/>
      <c r="K41" s="191"/>
      <c r="L41" s="4"/>
    </row>
    <row r="42" spans="1:14" x14ac:dyDescent="0.3">
      <c r="A42" s="5"/>
      <c r="B42" s="191"/>
      <c r="C42" s="191"/>
      <c r="D42" s="191"/>
      <c r="E42" s="191"/>
      <c r="F42" s="191"/>
      <c r="G42" s="191"/>
      <c r="H42" s="191"/>
      <c r="I42" s="191"/>
      <c r="J42" s="191"/>
      <c r="K42" s="191"/>
      <c r="L42" s="4"/>
    </row>
    <row r="43" spans="1:14" x14ac:dyDescent="0.3">
      <c r="A43" s="6"/>
      <c r="B43" s="6"/>
      <c r="C43" s="6"/>
      <c r="D43" s="6"/>
      <c r="E43" s="6"/>
      <c r="F43" s="6"/>
      <c r="G43" s="6"/>
      <c r="H43" s="6"/>
      <c r="I43" s="6"/>
      <c r="J43" s="6"/>
      <c r="K43" s="6"/>
      <c r="L43" s="6"/>
    </row>
    <row r="44" spans="1:14" x14ac:dyDescent="0.3">
      <c r="A44" s="6" t="s">
        <v>1</v>
      </c>
      <c r="B44" s="6"/>
      <c r="C44" s="6"/>
      <c r="D44" s="6"/>
      <c r="E44" s="6"/>
      <c r="F44" s="6"/>
      <c r="G44" s="6"/>
      <c r="H44" s="6"/>
      <c r="I44" s="6"/>
      <c r="J44" s="6"/>
      <c r="K44" s="6"/>
      <c r="L44" s="6"/>
    </row>
    <row r="45" spans="1:14" x14ac:dyDescent="0.3">
      <c r="A45" s="6"/>
      <c r="B45" s="6"/>
      <c r="C45" s="6"/>
      <c r="D45" s="6"/>
      <c r="E45" s="6"/>
      <c r="F45" s="6"/>
      <c r="G45" s="6"/>
      <c r="H45" s="6"/>
      <c r="I45" s="6"/>
      <c r="J45" s="6"/>
      <c r="K45" s="6"/>
      <c r="L45" s="6"/>
    </row>
    <row r="46" spans="1:14" x14ac:dyDescent="0.3">
      <c r="A46" s="6" t="s">
        <v>430</v>
      </c>
      <c r="B46" s="6"/>
      <c r="C46" s="6"/>
      <c r="D46" s="186">
        <v>45901</v>
      </c>
      <c r="E46" s="6"/>
      <c r="F46" s="6"/>
      <c r="G46" s="6"/>
      <c r="H46" s="6"/>
      <c r="I46" s="6"/>
      <c r="J46" s="6"/>
      <c r="K46" s="6"/>
      <c r="L46" s="6"/>
    </row>
    <row r="47" spans="1:14" x14ac:dyDescent="0.3">
      <c r="A47" s="6"/>
      <c r="B47" s="6"/>
      <c r="C47" s="6"/>
      <c r="D47" s="186"/>
      <c r="M47" s="6"/>
    </row>
    <row r="48" spans="1:14" x14ac:dyDescent="0.3">
      <c r="A48" s="6" t="s">
        <v>431</v>
      </c>
      <c r="B48" s="6"/>
      <c r="C48" s="6"/>
      <c r="D48" s="186">
        <v>44743</v>
      </c>
    </row>
    <row r="49" spans="1:4" x14ac:dyDescent="0.3">
      <c r="A49" s="6" t="s">
        <v>432</v>
      </c>
      <c r="B49" s="6"/>
      <c r="C49" s="6"/>
      <c r="D49" s="186">
        <f>DATE(1+YEAR(D46),MONTH(D46)-6,1)</f>
        <v>46082</v>
      </c>
    </row>
    <row r="50" spans="1:4" x14ac:dyDescent="0.3">
      <c r="A50" s="6"/>
      <c r="B50" s="182" t="s">
        <v>436</v>
      </c>
      <c r="C50" s="6"/>
      <c r="D50" s="181"/>
    </row>
    <row r="51" spans="1:4" x14ac:dyDescent="0.3">
      <c r="A51" s="6" t="s">
        <v>433</v>
      </c>
      <c r="B51" s="6"/>
      <c r="C51" s="6"/>
      <c r="D51" s="6">
        <f>(12*YEAR(D49)+MONTH(D49))-(12*YEAR(D48)+MONTH(D48))</f>
        <v>44</v>
      </c>
    </row>
    <row r="52" spans="1:4" x14ac:dyDescent="0.3">
      <c r="A52" s="6" t="s">
        <v>434</v>
      </c>
      <c r="B52" s="6"/>
      <c r="C52" s="6"/>
      <c r="D52" s="183">
        <f>D51/12</f>
        <v>3.6666666666666665</v>
      </c>
    </row>
    <row r="53" spans="1:4" x14ac:dyDescent="0.3">
      <c r="A53" s="6" t="s">
        <v>435</v>
      </c>
      <c r="B53" s="6"/>
      <c r="C53" s="6"/>
      <c r="D53" s="184">
        <f>(1+D36)^2-1</f>
        <v>-3.2368610694186728E-3</v>
      </c>
    </row>
    <row r="54" spans="1:4" x14ac:dyDescent="0.3">
      <c r="A54" s="6" t="s">
        <v>437</v>
      </c>
      <c r="B54" s="6"/>
      <c r="C54" s="6"/>
      <c r="D54" s="185">
        <f>(1+D53)^D52</f>
        <v>0.9881826395580342</v>
      </c>
    </row>
  </sheetData>
  <mergeCells count="13">
    <mergeCell ref="C10:D10"/>
    <mergeCell ref="C5:D5"/>
    <mergeCell ref="C6:D6"/>
    <mergeCell ref="C7:D7"/>
    <mergeCell ref="C8:D8"/>
    <mergeCell ref="C9:D9"/>
    <mergeCell ref="B41:K42"/>
    <mergeCell ref="C11:D11"/>
    <mergeCell ref="C12:D12"/>
    <mergeCell ref="C13:D13"/>
    <mergeCell ref="C14:D14"/>
    <mergeCell ref="C15:D15"/>
    <mergeCell ref="B17:K18"/>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49805-1CD6-4D64-9FC0-EE12AF57EBC4}">
  <dimension ref="A1:R115"/>
  <sheetViews>
    <sheetView zoomScaleNormal="100" workbookViewId="0"/>
  </sheetViews>
  <sheetFormatPr defaultRowHeight="15.6" x14ac:dyDescent="0.3"/>
  <cols>
    <col min="1" max="1" width="10.77734375" style="1" customWidth="1"/>
    <col min="2" max="9" width="13.77734375" style="1" customWidth="1"/>
    <col min="10" max="12" width="10.77734375" style="1" customWidth="1"/>
    <col min="13" max="16384" width="8.88671875" style="1"/>
  </cols>
  <sheetData>
    <row r="1" spans="1:12" ht="17.399999999999999" x14ac:dyDescent="0.3">
      <c r="A1" s="2" t="s">
        <v>21</v>
      </c>
      <c r="B1" s="4"/>
      <c r="C1" s="8" t="s">
        <v>22</v>
      </c>
      <c r="D1" s="4"/>
      <c r="E1" s="4"/>
      <c r="F1" s="4"/>
      <c r="G1" s="4"/>
      <c r="H1" s="4"/>
      <c r="I1" s="4"/>
      <c r="J1" s="4"/>
      <c r="K1" s="4"/>
      <c r="L1" s="3"/>
    </row>
    <row r="2" spans="1:12" x14ac:dyDescent="0.3">
      <c r="A2" s="4"/>
      <c r="B2" s="4"/>
      <c r="C2" s="4"/>
      <c r="D2" s="4"/>
      <c r="E2" s="4"/>
      <c r="F2" s="4"/>
      <c r="G2" s="4"/>
      <c r="H2" s="4"/>
      <c r="I2" s="4"/>
      <c r="J2" s="4"/>
      <c r="K2" s="4"/>
      <c r="L2" s="3"/>
    </row>
    <row r="3" spans="1:12" x14ac:dyDescent="0.3">
      <c r="A3" s="8" t="s">
        <v>12</v>
      </c>
      <c r="B3" s="8"/>
      <c r="C3" s="8"/>
      <c r="D3" s="8"/>
      <c r="E3" s="8"/>
      <c r="F3" s="8"/>
      <c r="G3" s="8"/>
      <c r="H3" s="8"/>
      <c r="I3" s="8"/>
      <c r="J3" s="8"/>
      <c r="K3" s="4"/>
      <c r="L3" s="3"/>
    </row>
    <row r="4" spans="1:12" x14ac:dyDescent="0.3">
      <c r="A4" s="21"/>
      <c r="B4" s="8"/>
      <c r="C4" s="8"/>
      <c r="D4" s="8"/>
      <c r="E4" s="8"/>
      <c r="F4" s="8"/>
      <c r="G4" s="8"/>
      <c r="H4" s="8"/>
      <c r="I4" s="8"/>
      <c r="J4" s="8"/>
      <c r="K4" s="8"/>
      <c r="L4" s="8"/>
    </row>
    <row r="5" spans="1:12" x14ac:dyDescent="0.3">
      <c r="A5" s="21"/>
      <c r="B5" s="16" t="s">
        <v>13</v>
      </c>
      <c r="C5" s="195" t="s">
        <v>23</v>
      </c>
      <c r="D5" s="195"/>
      <c r="E5" s="195"/>
      <c r="F5" s="195"/>
      <c r="G5" s="195"/>
      <c r="H5" s="195"/>
      <c r="I5" s="195"/>
      <c r="J5" s="8"/>
      <c r="K5" s="8"/>
      <c r="L5" s="8"/>
    </row>
    <row r="6" spans="1:12" x14ac:dyDescent="0.3">
      <c r="A6" s="21"/>
      <c r="B6" s="17" t="s">
        <v>15</v>
      </c>
      <c r="C6" s="23">
        <v>12</v>
      </c>
      <c r="D6" s="23">
        <v>24</v>
      </c>
      <c r="E6" s="23">
        <v>36</v>
      </c>
      <c r="F6" s="23">
        <v>48</v>
      </c>
      <c r="G6" s="23">
        <v>60</v>
      </c>
      <c r="H6" s="23">
        <v>72</v>
      </c>
      <c r="I6" s="23">
        <v>84</v>
      </c>
      <c r="J6" s="8"/>
      <c r="K6" s="8"/>
      <c r="L6" s="8"/>
    </row>
    <row r="7" spans="1:12" x14ac:dyDescent="0.3">
      <c r="A7" s="21"/>
      <c r="B7" s="22">
        <v>2018</v>
      </c>
      <c r="C7" s="24">
        <v>1379364</v>
      </c>
      <c r="D7" s="24">
        <v>2782417</v>
      </c>
      <c r="E7" s="24">
        <v>4430621</v>
      </c>
      <c r="F7" s="24">
        <v>5902221</v>
      </c>
      <c r="G7" s="24">
        <v>7307442</v>
      </c>
      <c r="H7" s="24">
        <v>8616782</v>
      </c>
      <c r="I7" s="24">
        <v>9269896</v>
      </c>
      <c r="J7" s="8"/>
      <c r="K7" s="8"/>
      <c r="L7" s="8"/>
    </row>
    <row r="8" spans="1:12" x14ac:dyDescent="0.3">
      <c r="A8" s="21"/>
      <c r="B8" s="22">
        <v>2019</v>
      </c>
      <c r="C8" s="24">
        <v>1436979</v>
      </c>
      <c r="D8" s="24">
        <v>3158601</v>
      </c>
      <c r="E8" s="24">
        <v>4719732</v>
      </c>
      <c r="F8" s="24">
        <v>6462499</v>
      </c>
      <c r="G8" s="24">
        <v>7837333</v>
      </c>
      <c r="H8" s="24">
        <v>8885445</v>
      </c>
      <c r="I8" s="25"/>
      <c r="J8" s="8"/>
      <c r="K8" s="8"/>
      <c r="L8" s="8"/>
    </row>
    <row r="9" spans="1:12" x14ac:dyDescent="0.3">
      <c r="A9" s="8"/>
      <c r="B9" s="22">
        <v>2020</v>
      </c>
      <c r="C9" s="24">
        <v>1566440</v>
      </c>
      <c r="D9" s="24">
        <v>3241372</v>
      </c>
      <c r="E9" s="24">
        <v>5104234</v>
      </c>
      <c r="F9" s="24">
        <v>6755984</v>
      </c>
      <c r="G9" s="24">
        <v>8106189</v>
      </c>
      <c r="H9" s="25"/>
      <c r="I9" s="25"/>
      <c r="J9" s="8"/>
      <c r="K9" s="8"/>
      <c r="L9" s="8"/>
    </row>
    <row r="10" spans="1:12" x14ac:dyDescent="0.3">
      <c r="A10" s="8"/>
      <c r="B10" s="22">
        <v>2021</v>
      </c>
      <c r="C10" s="24">
        <v>1621033</v>
      </c>
      <c r="D10" s="24">
        <v>3468672</v>
      </c>
      <c r="E10" s="24">
        <v>5345638</v>
      </c>
      <c r="F10" s="24">
        <v>7217780</v>
      </c>
      <c r="G10" s="25"/>
      <c r="H10" s="25"/>
      <c r="I10" s="25"/>
      <c r="J10" s="8"/>
      <c r="K10" s="8"/>
      <c r="L10" s="8"/>
    </row>
    <row r="11" spans="1:12" x14ac:dyDescent="0.3">
      <c r="A11" s="21"/>
      <c r="B11" s="22">
        <v>2022</v>
      </c>
      <c r="C11" s="24">
        <v>2012287</v>
      </c>
      <c r="D11" s="24">
        <v>3648224</v>
      </c>
      <c r="E11" s="24">
        <v>5583814</v>
      </c>
      <c r="F11" s="25"/>
      <c r="G11" s="25"/>
      <c r="H11" s="25"/>
      <c r="I11" s="25"/>
      <c r="J11" s="8"/>
      <c r="K11" s="8"/>
      <c r="L11" s="8"/>
    </row>
    <row r="12" spans="1:12" x14ac:dyDescent="0.3">
      <c r="A12" s="8"/>
      <c r="B12" s="25">
        <v>2023</v>
      </c>
      <c r="C12" s="24">
        <v>1851044</v>
      </c>
      <c r="D12" s="24">
        <v>4117247</v>
      </c>
      <c r="E12" s="25"/>
      <c r="F12" s="25"/>
      <c r="G12" s="25"/>
      <c r="H12" s="25"/>
      <c r="I12" s="25"/>
      <c r="J12" s="8"/>
      <c r="K12" s="8"/>
      <c r="L12" s="8"/>
    </row>
    <row r="13" spans="1:12" x14ac:dyDescent="0.3">
      <c r="A13" s="8"/>
      <c r="B13" s="25">
        <v>2024</v>
      </c>
      <c r="C13" s="24">
        <v>2078097</v>
      </c>
      <c r="D13" s="25"/>
      <c r="E13" s="25"/>
      <c r="F13" s="25"/>
      <c r="G13" s="25"/>
      <c r="H13" s="25"/>
      <c r="I13" s="26"/>
      <c r="J13" s="8"/>
      <c r="K13" s="8"/>
      <c r="L13" s="8"/>
    </row>
    <row r="14" spans="1:12" x14ac:dyDescent="0.3">
      <c r="A14" s="8"/>
      <c r="B14" s="8"/>
      <c r="C14" s="8"/>
      <c r="D14" s="8"/>
      <c r="E14" s="8"/>
      <c r="F14" s="8"/>
      <c r="G14" s="8"/>
      <c r="H14" s="8"/>
      <c r="I14" s="8"/>
      <c r="J14" s="8"/>
      <c r="K14" s="8"/>
      <c r="L14" s="8"/>
    </row>
    <row r="15" spans="1:12" x14ac:dyDescent="0.3">
      <c r="A15" s="8"/>
      <c r="B15" s="16" t="s">
        <v>13</v>
      </c>
      <c r="C15" s="195" t="s">
        <v>24</v>
      </c>
      <c r="D15" s="195"/>
      <c r="E15" s="195"/>
      <c r="F15" s="195"/>
      <c r="G15" s="195"/>
      <c r="H15" s="195"/>
      <c r="I15" s="195"/>
      <c r="J15" s="8"/>
      <c r="K15" s="8"/>
      <c r="L15" s="8"/>
    </row>
    <row r="16" spans="1:12" x14ac:dyDescent="0.3">
      <c r="A16" s="8"/>
      <c r="B16" s="17" t="s">
        <v>15</v>
      </c>
      <c r="C16" s="23">
        <v>12</v>
      </c>
      <c r="D16" s="23">
        <v>24</v>
      </c>
      <c r="E16" s="23">
        <v>36</v>
      </c>
      <c r="F16" s="23">
        <v>48</v>
      </c>
      <c r="G16" s="23">
        <v>60</v>
      </c>
      <c r="H16" s="23">
        <v>72</v>
      </c>
      <c r="I16" s="23">
        <v>84</v>
      </c>
      <c r="J16" s="8"/>
      <c r="K16" s="8"/>
      <c r="L16" s="8"/>
    </row>
    <row r="17" spans="1:18" x14ac:dyDescent="0.3">
      <c r="A17" s="8"/>
      <c r="B17" s="22">
        <v>2018</v>
      </c>
      <c r="C17" s="24">
        <v>3132659</v>
      </c>
      <c r="D17" s="24">
        <v>4422985</v>
      </c>
      <c r="E17" s="24">
        <v>5875165</v>
      </c>
      <c r="F17" s="24">
        <v>7086391</v>
      </c>
      <c r="G17" s="24">
        <v>8162156</v>
      </c>
      <c r="H17" s="24">
        <v>9097359</v>
      </c>
      <c r="I17" s="24">
        <v>9391874</v>
      </c>
      <c r="J17" s="8"/>
      <c r="K17" s="8"/>
      <c r="L17" s="8"/>
    </row>
    <row r="18" spans="1:18" x14ac:dyDescent="0.3">
      <c r="A18" s="8"/>
      <c r="B18" s="22">
        <v>2019</v>
      </c>
      <c r="C18" s="24">
        <v>3205344</v>
      </c>
      <c r="D18" s="24">
        <v>4837781</v>
      </c>
      <c r="E18" s="24">
        <v>6238525</v>
      </c>
      <c r="F18" s="24">
        <v>7702789</v>
      </c>
      <c r="G18" s="24">
        <v>8746908</v>
      </c>
      <c r="H18" s="24">
        <v>9423176</v>
      </c>
      <c r="I18" s="25"/>
      <c r="J18" s="8"/>
      <c r="K18" s="8"/>
      <c r="L18" s="8"/>
    </row>
    <row r="19" spans="1:18" x14ac:dyDescent="0.3">
      <c r="A19" s="8"/>
      <c r="B19" s="22">
        <v>2020</v>
      </c>
      <c r="C19" s="24">
        <v>3470580</v>
      </c>
      <c r="D19" s="24">
        <v>5088185</v>
      </c>
      <c r="E19" s="24">
        <v>6751756</v>
      </c>
      <c r="F19" s="24">
        <v>8119190</v>
      </c>
      <c r="G19" s="24">
        <v>9086519</v>
      </c>
      <c r="H19" s="25"/>
      <c r="I19" s="25"/>
      <c r="J19" s="8"/>
      <c r="K19" s="8"/>
      <c r="L19" s="8"/>
    </row>
    <row r="20" spans="1:18" x14ac:dyDescent="0.3">
      <c r="A20" s="8"/>
      <c r="B20" s="22">
        <v>2021</v>
      </c>
      <c r="C20" s="24">
        <v>3790273</v>
      </c>
      <c r="D20" s="24">
        <v>5523899</v>
      </c>
      <c r="E20" s="24">
        <v>7115668</v>
      </c>
      <c r="F20" s="24">
        <v>8653058</v>
      </c>
      <c r="G20" s="25"/>
      <c r="H20" s="25"/>
      <c r="I20" s="25"/>
      <c r="J20" s="8"/>
      <c r="K20" s="8"/>
      <c r="L20" s="8"/>
    </row>
    <row r="21" spans="1:18" x14ac:dyDescent="0.3">
      <c r="A21" s="8"/>
      <c r="B21" s="22">
        <v>2022</v>
      </c>
      <c r="C21" s="24">
        <v>4045586</v>
      </c>
      <c r="D21" s="24">
        <v>5725217</v>
      </c>
      <c r="E21" s="24">
        <v>7498246</v>
      </c>
      <c r="F21" s="25"/>
      <c r="G21" s="25"/>
      <c r="H21" s="25"/>
      <c r="I21" s="25"/>
      <c r="J21" s="8"/>
      <c r="K21" s="8"/>
      <c r="L21" s="8"/>
    </row>
    <row r="22" spans="1:18" x14ac:dyDescent="0.3">
      <c r="A22" s="8"/>
      <c r="B22" s="25">
        <v>2023</v>
      </c>
      <c r="C22" s="24">
        <v>4185696</v>
      </c>
      <c r="D22" s="24">
        <v>6281172</v>
      </c>
      <c r="E22" s="25"/>
      <c r="F22" s="25"/>
      <c r="G22" s="25"/>
      <c r="H22" s="25"/>
      <c r="I22" s="25"/>
      <c r="J22" s="8"/>
      <c r="K22" s="8"/>
      <c r="L22" s="8"/>
    </row>
    <row r="23" spans="1:18" x14ac:dyDescent="0.3">
      <c r="A23" s="8"/>
      <c r="B23" s="25">
        <v>2024</v>
      </c>
      <c r="C23" s="24">
        <v>4585964</v>
      </c>
      <c r="D23" s="25"/>
      <c r="E23" s="25"/>
      <c r="F23" s="25"/>
      <c r="G23" s="25"/>
      <c r="H23" s="25"/>
      <c r="I23" s="26"/>
      <c r="J23" s="8"/>
      <c r="K23" s="8"/>
      <c r="L23" s="8"/>
    </row>
    <row r="24" spans="1:18" x14ac:dyDescent="0.3">
      <c r="A24" s="6"/>
      <c r="F24" s="6"/>
      <c r="G24" s="6"/>
      <c r="H24" s="6"/>
      <c r="I24" s="6"/>
      <c r="J24" s="6"/>
      <c r="K24" s="6"/>
      <c r="L24" s="6"/>
    </row>
    <row r="25" spans="1:18" x14ac:dyDescent="0.3">
      <c r="A25" s="27" t="s">
        <v>4</v>
      </c>
      <c r="B25" s="8" t="s">
        <v>25</v>
      </c>
      <c r="C25" s="8"/>
      <c r="D25" s="8"/>
      <c r="E25" s="8"/>
      <c r="F25" s="8"/>
      <c r="G25" s="8"/>
      <c r="H25" s="8"/>
      <c r="I25" s="4"/>
      <c r="J25" s="4"/>
      <c r="K25" s="4"/>
      <c r="L25" s="4"/>
      <c r="M25" s="7"/>
      <c r="N25" s="7"/>
      <c r="O25" s="7"/>
      <c r="P25" s="7"/>
      <c r="Q25" s="7"/>
      <c r="R25" s="7"/>
    </row>
    <row r="26" spans="1:18" x14ac:dyDescent="0.3">
      <c r="A26" s="27"/>
      <c r="B26" s="8"/>
      <c r="C26" s="8"/>
      <c r="D26" s="8"/>
      <c r="E26" s="8"/>
      <c r="F26" s="8"/>
      <c r="G26" s="8"/>
      <c r="H26" s="8"/>
      <c r="I26" s="4"/>
      <c r="J26" s="4"/>
      <c r="K26" s="4"/>
      <c r="L26" s="4"/>
      <c r="M26" s="7"/>
      <c r="N26" s="7"/>
      <c r="O26" s="7"/>
      <c r="P26" s="7"/>
      <c r="Q26" s="7"/>
      <c r="R26" s="7"/>
    </row>
    <row r="27" spans="1:18" x14ac:dyDescent="0.3">
      <c r="A27" s="27"/>
      <c r="B27" s="8"/>
      <c r="C27" s="28" t="s">
        <v>210</v>
      </c>
      <c r="D27" s="8"/>
      <c r="E27" s="8"/>
      <c r="F27" s="8"/>
      <c r="G27" s="8"/>
      <c r="H27" s="8"/>
      <c r="I27" s="4"/>
      <c r="J27" s="4"/>
      <c r="K27" s="4"/>
      <c r="L27" s="4"/>
      <c r="M27" s="7"/>
      <c r="N27" s="7"/>
      <c r="O27" s="7"/>
      <c r="P27" s="7"/>
      <c r="Q27" s="7"/>
      <c r="R27" s="7"/>
    </row>
    <row r="28" spans="1:18" x14ac:dyDescent="0.3">
      <c r="A28" s="27"/>
      <c r="B28" s="8"/>
      <c r="C28" s="8"/>
      <c r="D28" s="8"/>
      <c r="E28" s="8"/>
      <c r="F28" s="8"/>
      <c r="G28" s="8"/>
      <c r="H28" s="8"/>
      <c r="I28" s="4"/>
      <c r="J28" s="4"/>
      <c r="K28" s="4"/>
      <c r="L28" s="4"/>
      <c r="M28" s="7"/>
      <c r="N28" s="7"/>
      <c r="O28" s="7"/>
      <c r="P28" s="7"/>
      <c r="Q28" s="7"/>
      <c r="R28" s="7"/>
    </row>
    <row r="29" spans="1:18" x14ac:dyDescent="0.3">
      <c r="A29" s="27"/>
      <c r="B29" s="8"/>
      <c r="C29" s="13" t="s">
        <v>211</v>
      </c>
      <c r="D29" s="8"/>
      <c r="E29" s="8"/>
      <c r="F29" s="8"/>
      <c r="G29" s="8"/>
      <c r="H29" s="8"/>
      <c r="I29" s="4"/>
      <c r="J29" s="4"/>
      <c r="K29" s="4"/>
      <c r="L29" s="4"/>
      <c r="M29" s="7"/>
      <c r="N29" s="7"/>
      <c r="O29" s="7"/>
      <c r="P29" s="7"/>
      <c r="Q29" s="7"/>
      <c r="R29" s="7"/>
    </row>
    <row r="30" spans="1:18" x14ac:dyDescent="0.3">
      <c r="A30" s="6"/>
      <c r="B30" s="6"/>
      <c r="C30" s="6"/>
      <c r="D30" s="6"/>
      <c r="E30" s="6"/>
      <c r="F30" s="6"/>
      <c r="G30" s="6"/>
      <c r="H30" s="6"/>
      <c r="I30" s="6"/>
      <c r="J30" s="6"/>
      <c r="K30" s="6"/>
      <c r="L30" s="6"/>
      <c r="M30" s="6"/>
    </row>
    <row r="31" spans="1:18" x14ac:dyDescent="0.3">
      <c r="A31" s="6" t="s">
        <v>1</v>
      </c>
      <c r="B31" s="6"/>
      <c r="C31" s="6"/>
      <c r="D31" s="6"/>
      <c r="E31" s="6"/>
      <c r="F31" s="6"/>
      <c r="G31" s="6"/>
      <c r="H31" s="6"/>
      <c r="I31" s="6"/>
      <c r="J31" s="6"/>
      <c r="K31" s="6"/>
      <c r="L31" s="6"/>
      <c r="M31" s="6"/>
      <c r="N31" s="7"/>
    </row>
    <row r="32" spans="1:18" x14ac:dyDescent="0.3">
      <c r="A32" s="6"/>
      <c r="B32" s="6"/>
      <c r="C32" s="6"/>
      <c r="D32" s="6"/>
      <c r="E32" s="6"/>
      <c r="F32" s="6"/>
      <c r="G32" s="6"/>
      <c r="H32" s="6"/>
      <c r="I32" s="6"/>
      <c r="J32" s="6"/>
      <c r="K32" s="6"/>
      <c r="L32" s="6"/>
      <c r="M32" s="6"/>
      <c r="N32" s="7"/>
    </row>
    <row r="33" spans="1:14" x14ac:dyDescent="0.3">
      <c r="A33" s="6"/>
      <c r="B33" s="87" t="s">
        <v>242</v>
      </c>
      <c r="E33" s="88">
        <f>C13+D12+E11+F10+G9+H8+I7-H7-G8-F9-E10-D11-C12</f>
        <v>11203463</v>
      </c>
      <c r="F33" s="6"/>
      <c r="G33" s="6"/>
      <c r="H33" s="6"/>
      <c r="I33" s="6"/>
      <c r="J33" s="6"/>
      <c r="K33" s="6"/>
      <c r="L33" s="6"/>
      <c r="M33" s="6"/>
      <c r="N33" s="7"/>
    </row>
    <row r="34" spans="1:14" x14ac:dyDescent="0.3">
      <c r="A34" s="6"/>
      <c r="B34" s="6"/>
      <c r="C34" s="6"/>
      <c r="D34" s="6"/>
      <c r="E34" s="6"/>
      <c r="F34" s="6"/>
      <c r="G34" s="6"/>
      <c r="H34" s="6"/>
      <c r="I34" s="6"/>
      <c r="J34" s="6"/>
      <c r="K34" s="6"/>
      <c r="L34" s="6"/>
      <c r="M34" s="6"/>
      <c r="N34" s="7"/>
    </row>
    <row r="35" spans="1:14" x14ac:dyDescent="0.3">
      <c r="A35" s="6"/>
      <c r="B35" s="87" t="s">
        <v>443</v>
      </c>
      <c r="E35" s="88">
        <f>C23+D22+E21+F20+G19+H18+I17-H17-G18-F19-E20-D21-C22</f>
        <v>11929971</v>
      </c>
      <c r="F35" s="6"/>
      <c r="G35" s="6"/>
      <c r="H35" s="6"/>
      <c r="I35" s="6"/>
      <c r="J35" s="6"/>
      <c r="K35" s="6"/>
      <c r="L35" s="6"/>
      <c r="M35" s="6"/>
      <c r="N35" s="7"/>
    </row>
    <row r="36" spans="1:14" x14ac:dyDescent="0.3">
      <c r="A36" s="6"/>
      <c r="F36" s="6"/>
      <c r="G36" s="6"/>
      <c r="H36" s="6"/>
      <c r="I36" s="6"/>
      <c r="J36" s="6"/>
      <c r="K36" s="6"/>
      <c r="L36" s="6"/>
      <c r="M36" s="6"/>
      <c r="N36" s="7"/>
    </row>
    <row r="37" spans="1:14" x14ac:dyDescent="0.3">
      <c r="A37" s="6"/>
      <c r="B37" s="1" t="s">
        <v>276</v>
      </c>
      <c r="E37" s="88">
        <f>E35-E33</f>
        <v>726508</v>
      </c>
      <c r="F37" s="6"/>
      <c r="G37" s="6"/>
      <c r="H37" s="6"/>
      <c r="I37" s="6"/>
      <c r="J37" s="6"/>
      <c r="K37" s="6"/>
      <c r="L37" s="6"/>
      <c r="M37" s="6"/>
      <c r="N37" s="7"/>
    </row>
    <row r="38" spans="1:14" x14ac:dyDescent="0.3">
      <c r="M38" s="7"/>
      <c r="N38" s="7"/>
    </row>
    <row r="39" spans="1:14" x14ac:dyDescent="0.3">
      <c r="A39" s="5" t="s">
        <v>5</v>
      </c>
      <c r="B39" s="8" t="s">
        <v>26</v>
      </c>
      <c r="C39" s="4"/>
      <c r="D39" s="4"/>
      <c r="E39" s="4"/>
      <c r="F39" s="4"/>
      <c r="G39" s="4"/>
      <c r="H39" s="4"/>
      <c r="I39" s="4"/>
      <c r="J39" s="4"/>
      <c r="K39" s="4"/>
      <c r="L39" s="4"/>
    </row>
    <row r="40" spans="1:14" x14ac:dyDescent="0.3">
      <c r="A40" s="6"/>
      <c r="B40" s="6"/>
      <c r="C40" s="6"/>
      <c r="D40" s="6"/>
      <c r="E40" s="6"/>
      <c r="F40" s="6"/>
      <c r="G40" s="6"/>
      <c r="H40" s="6"/>
      <c r="I40" s="6"/>
      <c r="J40" s="6"/>
      <c r="K40" s="6"/>
      <c r="L40" s="6"/>
    </row>
    <row r="41" spans="1:14" x14ac:dyDescent="0.3">
      <c r="A41" s="6" t="s">
        <v>1</v>
      </c>
      <c r="B41" s="6"/>
      <c r="C41" s="6"/>
      <c r="D41" s="6"/>
      <c r="E41" s="6"/>
      <c r="F41" s="6"/>
      <c r="G41" s="6"/>
      <c r="H41" s="6"/>
      <c r="I41" s="6"/>
      <c r="J41" s="6"/>
      <c r="K41" s="6"/>
      <c r="L41" s="6"/>
    </row>
    <row r="42" spans="1:14" x14ac:dyDescent="0.3">
      <c r="A42" s="6"/>
      <c r="B42" s="6" t="s">
        <v>243</v>
      </c>
      <c r="C42" s="6"/>
      <c r="D42" s="6"/>
      <c r="E42" s="6"/>
      <c r="F42" s="6"/>
      <c r="G42" s="6"/>
      <c r="H42" s="6"/>
      <c r="I42" s="6"/>
      <c r="J42" s="6"/>
      <c r="K42" s="6"/>
      <c r="L42" s="6"/>
    </row>
    <row r="44" spans="1:14" x14ac:dyDescent="0.3">
      <c r="A44" s="5" t="s">
        <v>0</v>
      </c>
      <c r="B44" s="8" t="s">
        <v>27</v>
      </c>
      <c r="C44" s="4"/>
      <c r="D44" s="4"/>
      <c r="E44" s="4"/>
      <c r="F44" s="4"/>
      <c r="G44" s="4"/>
      <c r="H44" s="4"/>
      <c r="I44" s="4"/>
      <c r="J44" s="4"/>
      <c r="K44" s="4"/>
      <c r="L44" s="4"/>
    </row>
    <row r="45" spans="1:14" x14ac:dyDescent="0.3">
      <c r="A45" s="6"/>
      <c r="B45" s="6"/>
      <c r="C45" s="6"/>
      <c r="D45" s="6"/>
      <c r="E45" s="6"/>
      <c r="F45" s="6"/>
      <c r="G45" s="6"/>
      <c r="H45" s="6"/>
      <c r="I45" s="6"/>
      <c r="J45" s="6"/>
      <c r="K45" s="6"/>
      <c r="L45" s="6"/>
    </row>
    <row r="46" spans="1:14" x14ac:dyDescent="0.3">
      <c r="A46" s="6" t="s">
        <v>1</v>
      </c>
      <c r="B46" s="6"/>
      <c r="C46" s="6"/>
      <c r="D46" s="6"/>
      <c r="E46" s="6"/>
      <c r="F46" s="6"/>
      <c r="G46" s="6"/>
      <c r="H46" s="6"/>
      <c r="I46" s="6"/>
      <c r="J46" s="6"/>
      <c r="K46" s="6"/>
      <c r="L46" s="6"/>
    </row>
    <row r="47" spans="1:14" x14ac:dyDescent="0.3">
      <c r="A47" s="6"/>
      <c r="B47" s="6" t="s">
        <v>244</v>
      </c>
      <c r="C47" s="6"/>
      <c r="D47" s="6"/>
      <c r="E47" s="6"/>
      <c r="F47" s="6"/>
      <c r="G47" s="6"/>
      <c r="H47" s="6"/>
      <c r="I47" s="6"/>
      <c r="J47" s="6"/>
      <c r="K47" s="6"/>
      <c r="L47" s="6"/>
    </row>
    <row r="49" spans="1:14" x14ac:dyDescent="0.3">
      <c r="A49" s="27"/>
      <c r="B49" s="8"/>
      <c r="C49" s="8"/>
      <c r="D49" s="8"/>
      <c r="E49" s="8"/>
      <c r="F49" s="8"/>
      <c r="G49" s="8"/>
      <c r="H49" s="8"/>
      <c r="I49" s="4"/>
      <c r="J49" s="4"/>
      <c r="K49" s="4"/>
      <c r="L49" s="4"/>
      <c r="M49" s="6"/>
      <c r="N49" s="6"/>
    </row>
    <row r="50" spans="1:14" x14ac:dyDescent="0.3">
      <c r="A50" s="8" t="s">
        <v>28</v>
      </c>
      <c r="B50" s="8"/>
      <c r="C50" s="8"/>
      <c r="D50" s="8"/>
      <c r="E50" s="8"/>
      <c r="F50" s="8"/>
      <c r="G50" s="8"/>
      <c r="H50" s="8"/>
      <c r="I50" s="4"/>
      <c r="J50" s="4"/>
      <c r="K50" s="4"/>
      <c r="L50" s="4"/>
      <c r="M50" s="6"/>
      <c r="N50" s="6"/>
    </row>
    <row r="51" spans="1:14" x14ac:dyDescent="0.3">
      <c r="A51" s="27"/>
      <c r="B51" s="8"/>
      <c r="C51" s="8"/>
      <c r="D51" s="8"/>
      <c r="E51" s="8"/>
      <c r="F51" s="8"/>
      <c r="G51" s="8"/>
      <c r="H51" s="8"/>
      <c r="I51" s="4"/>
      <c r="J51" s="4"/>
      <c r="K51" s="4"/>
      <c r="L51" s="4"/>
      <c r="M51" s="6"/>
      <c r="N51" s="6"/>
    </row>
    <row r="52" spans="1:14" ht="31.2" x14ac:dyDescent="0.3">
      <c r="A52" s="27"/>
      <c r="B52" s="30" t="s">
        <v>29</v>
      </c>
      <c r="C52" s="196" t="s">
        <v>212</v>
      </c>
      <c r="D52" s="196"/>
      <c r="E52" s="8"/>
      <c r="F52" s="8"/>
      <c r="G52" s="8"/>
      <c r="H52" s="8"/>
      <c r="I52" s="4"/>
      <c r="J52" s="4"/>
      <c r="K52" s="4"/>
      <c r="L52" s="4"/>
      <c r="M52" s="6"/>
      <c r="N52" s="6"/>
    </row>
    <row r="53" spans="1:14" x14ac:dyDescent="0.3">
      <c r="A53" s="27"/>
      <c r="B53" s="19">
        <v>2018</v>
      </c>
      <c r="C53" s="194">
        <v>9695924</v>
      </c>
      <c r="D53" s="194"/>
      <c r="E53" s="8"/>
      <c r="F53" s="8"/>
      <c r="G53" s="8"/>
      <c r="H53" s="8"/>
      <c r="I53" s="4"/>
      <c r="J53" s="4"/>
      <c r="K53" s="4"/>
      <c r="L53" s="4"/>
      <c r="M53" s="6"/>
      <c r="N53" s="6"/>
    </row>
    <row r="54" spans="1:14" x14ac:dyDescent="0.3">
      <c r="A54" s="27"/>
      <c r="B54" s="19">
        <v>2019</v>
      </c>
      <c r="C54" s="194">
        <v>10043178</v>
      </c>
      <c r="D54" s="194"/>
      <c r="E54" s="8"/>
      <c r="F54" s="8"/>
      <c r="G54" s="8"/>
      <c r="H54" s="8"/>
      <c r="I54" s="4"/>
      <c r="J54" s="4"/>
      <c r="K54" s="4"/>
      <c r="L54" s="4"/>
      <c r="M54" s="6"/>
      <c r="N54" s="6"/>
    </row>
    <row r="55" spans="1:14" x14ac:dyDescent="0.3">
      <c r="A55" s="27"/>
      <c r="B55" s="19">
        <v>2020</v>
      </c>
      <c r="C55" s="194">
        <v>10613552</v>
      </c>
      <c r="D55" s="194"/>
      <c r="E55" s="8"/>
      <c r="F55" s="8"/>
      <c r="G55" s="8"/>
      <c r="H55" s="8"/>
      <c r="I55" s="4"/>
      <c r="J55" s="4"/>
      <c r="K55" s="4"/>
      <c r="L55" s="4"/>
      <c r="M55" s="6"/>
      <c r="N55" s="6"/>
    </row>
    <row r="56" spans="1:14" x14ac:dyDescent="0.3">
      <c r="A56" s="27"/>
      <c r="B56" s="19">
        <v>2021</v>
      </c>
      <c r="C56" s="194">
        <v>11476774</v>
      </c>
      <c r="D56" s="194"/>
      <c r="E56" s="8"/>
      <c r="F56" s="8"/>
      <c r="G56" s="8"/>
      <c r="H56" s="8"/>
      <c r="I56" s="4"/>
      <c r="J56" s="4"/>
      <c r="K56" s="4"/>
      <c r="L56" s="4"/>
      <c r="M56" s="6"/>
      <c r="N56" s="6"/>
    </row>
    <row r="57" spans="1:14" x14ac:dyDescent="0.3">
      <c r="A57" s="27"/>
      <c r="B57" s="19">
        <v>2022</v>
      </c>
      <c r="C57" s="194">
        <v>12081976</v>
      </c>
      <c r="D57" s="194"/>
      <c r="E57" s="8"/>
      <c r="F57" s="8"/>
      <c r="G57" s="8"/>
      <c r="H57" s="8"/>
      <c r="I57" s="4"/>
      <c r="J57" s="4"/>
      <c r="K57" s="4"/>
      <c r="L57" s="4"/>
      <c r="M57" s="6"/>
      <c r="N57" s="6"/>
    </row>
    <row r="58" spans="1:14" x14ac:dyDescent="0.3">
      <c r="A58" s="27"/>
      <c r="B58" s="19">
        <v>2023</v>
      </c>
      <c r="C58" s="194">
        <v>13243526</v>
      </c>
      <c r="D58" s="194"/>
      <c r="E58" s="8"/>
      <c r="F58" s="8"/>
      <c r="G58" s="8"/>
      <c r="H58" s="8"/>
      <c r="I58" s="4"/>
      <c r="J58" s="4"/>
      <c r="K58" s="4"/>
      <c r="L58" s="4"/>
      <c r="M58" s="6"/>
      <c r="N58" s="6"/>
    </row>
    <row r="59" spans="1:14" x14ac:dyDescent="0.3">
      <c r="A59" s="27"/>
      <c r="B59" s="19">
        <v>2024</v>
      </c>
      <c r="C59" s="194">
        <v>14117878</v>
      </c>
      <c r="D59" s="194"/>
      <c r="E59" s="8"/>
      <c r="F59" s="8"/>
      <c r="G59" s="8"/>
      <c r="H59" s="8"/>
      <c r="I59" s="4"/>
      <c r="J59" s="4"/>
      <c r="K59" s="4"/>
      <c r="L59" s="4"/>
      <c r="M59" s="6"/>
      <c r="N59" s="6"/>
    </row>
    <row r="60" spans="1:14" x14ac:dyDescent="0.3">
      <c r="A60" s="27"/>
      <c r="B60" s="8"/>
      <c r="C60" s="8"/>
      <c r="D60" s="8"/>
      <c r="E60" s="8"/>
      <c r="F60" s="8"/>
      <c r="G60" s="8"/>
      <c r="H60" s="8"/>
      <c r="I60" s="4"/>
      <c r="J60" s="4"/>
      <c r="K60" s="4"/>
      <c r="L60" s="4"/>
      <c r="M60" s="6"/>
      <c r="N60" s="6"/>
    </row>
    <row r="61" spans="1:14" x14ac:dyDescent="0.3">
      <c r="M61" s="6"/>
      <c r="N61" s="6"/>
    </row>
    <row r="62" spans="1:14" ht="16.2" x14ac:dyDescent="0.35">
      <c r="A62" s="5" t="s">
        <v>2</v>
      </c>
      <c r="B62" s="8" t="s">
        <v>213</v>
      </c>
      <c r="C62" s="4"/>
      <c r="D62" s="4"/>
      <c r="E62" s="4"/>
      <c r="F62" s="4"/>
      <c r="G62" s="4"/>
      <c r="H62" s="4"/>
      <c r="I62" s="4"/>
      <c r="J62" s="4"/>
      <c r="K62" s="4"/>
      <c r="L62" s="4"/>
    </row>
    <row r="63" spans="1:14" x14ac:dyDescent="0.3">
      <c r="A63" s="6"/>
      <c r="B63" s="6"/>
      <c r="C63" s="6"/>
      <c r="D63" s="6"/>
      <c r="E63" s="6"/>
      <c r="F63" s="6"/>
      <c r="G63" s="6"/>
      <c r="H63" s="6"/>
      <c r="I63" s="6"/>
      <c r="J63" s="6"/>
      <c r="K63" s="6"/>
      <c r="L63" s="6"/>
    </row>
    <row r="64" spans="1:14" x14ac:dyDescent="0.3">
      <c r="A64" s="6" t="s">
        <v>1</v>
      </c>
      <c r="B64" s="6"/>
      <c r="C64" s="6"/>
      <c r="D64" s="6"/>
      <c r="E64" s="6"/>
      <c r="F64" s="6"/>
      <c r="G64" s="6"/>
      <c r="H64" s="6"/>
      <c r="I64" s="6"/>
      <c r="J64" s="6"/>
      <c r="K64" s="6"/>
      <c r="L64" s="6"/>
    </row>
    <row r="65" spans="1:13" x14ac:dyDescent="0.3">
      <c r="A65" s="6"/>
      <c r="B65" s="89" t="s">
        <v>13</v>
      </c>
      <c r="C65" s="197" t="s">
        <v>23</v>
      </c>
      <c r="D65" s="198"/>
      <c r="E65" s="198"/>
      <c r="F65" s="198"/>
      <c r="G65" s="198"/>
      <c r="H65" s="198"/>
      <c r="I65" s="198"/>
      <c r="J65" s="6"/>
      <c r="K65" s="6"/>
      <c r="L65" s="6"/>
    </row>
    <row r="66" spans="1:13" x14ac:dyDescent="0.3">
      <c r="A66" s="6"/>
      <c r="B66" s="92" t="s">
        <v>15</v>
      </c>
      <c r="C66" s="90">
        <v>12</v>
      </c>
      <c r="D66" s="91">
        <v>24</v>
      </c>
      <c r="E66" s="91">
        <v>36</v>
      </c>
      <c r="F66" s="91">
        <v>48</v>
      </c>
      <c r="G66" s="91">
        <v>60</v>
      </c>
      <c r="H66" s="91">
        <v>72</v>
      </c>
      <c r="I66" s="91">
        <v>84</v>
      </c>
      <c r="J66" s="6"/>
      <c r="K66" s="6"/>
      <c r="L66" s="6"/>
    </row>
    <row r="67" spans="1:13" x14ac:dyDescent="0.3">
      <c r="B67" s="92">
        <f t="shared" ref="B67:I67" si="0">B7</f>
        <v>2018</v>
      </c>
      <c r="C67" s="93">
        <f t="shared" si="0"/>
        <v>1379364</v>
      </c>
      <c r="D67" s="93">
        <f t="shared" si="0"/>
        <v>2782417</v>
      </c>
      <c r="E67" s="93">
        <f t="shared" si="0"/>
        <v>4430621</v>
      </c>
      <c r="F67" s="93">
        <f t="shared" si="0"/>
        <v>5902221</v>
      </c>
      <c r="G67" s="93">
        <f t="shared" si="0"/>
        <v>7307442</v>
      </c>
      <c r="H67" s="93">
        <f t="shared" si="0"/>
        <v>8616782</v>
      </c>
      <c r="I67" s="93">
        <f t="shared" si="0"/>
        <v>9269896</v>
      </c>
      <c r="J67" s="6"/>
    </row>
    <row r="68" spans="1:13" x14ac:dyDescent="0.3">
      <c r="B68" s="91">
        <f t="shared" ref="B68:H68" si="1">B8</f>
        <v>2019</v>
      </c>
      <c r="C68" s="93">
        <f t="shared" si="1"/>
        <v>1436979</v>
      </c>
      <c r="D68" s="93">
        <f t="shared" si="1"/>
        <v>3158601</v>
      </c>
      <c r="E68" s="93">
        <f t="shared" si="1"/>
        <v>4719732</v>
      </c>
      <c r="F68" s="93">
        <f t="shared" si="1"/>
        <v>6462499</v>
      </c>
      <c r="G68" s="93">
        <f t="shared" si="1"/>
        <v>7837333</v>
      </c>
      <c r="H68" s="93">
        <f t="shared" si="1"/>
        <v>8885445</v>
      </c>
      <c r="I68" s="93"/>
      <c r="J68" s="6"/>
    </row>
    <row r="69" spans="1:13" x14ac:dyDescent="0.3">
      <c r="B69" s="91">
        <f t="shared" ref="B69:G69" si="2">B9</f>
        <v>2020</v>
      </c>
      <c r="C69" s="93">
        <f t="shared" si="2"/>
        <v>1566440</v>
      </c>
      <c r="D69" s="93">
        <f t="shared" si="2"/>
        <v>3241372</v>
      </c>
      <c r="E69" s="93">
        <f t="shared" si="2"/>
        <v>5104234</v>
      </c>
      <c r="F69" s="93">
        <f t="shared" si="2"/>
        <v>6755984</v>
      </c>
      <c r="G69" s="93">
        <f t="shared" si="2"/>
        <v>8106189</v>
      </c>
      <c r="H69" s="93"/>
      <c r="I69" s="93"/>
      <c r="J69" s="6"/>
      <c r="M69" s="6"/>
    </row>
    <row r="70" spans="1:13" x14ac:dyDescent="0.3">
      <c r="B70" s="91">
        <f>B10</f>
        <v>2021</v>
      </c>
      <c r="C70" s="93">
        <f>C10</f>
        <v>1621033</v>
      </c>
      <c r="D70" s="93">
        <f>D10</f>
        <v>3468672</v>
      </c>
      <c r="E70" s="93">
        <f>E10</f>
        <v>5345638</v>
      </c>
      <c r="F70" s="93">
        <f>F10</f>
        <v>7217780</v>
      </c>
      <c r="G70" s="93"/>
      <c r="H70" s="93"/>
      <c r="I70" s="93"/>
      <c r="J70" s="6"/>
    </row>
    <row r="71" spans="1:13" x14ac:dyDescent="0.3">
      <c r="B71" s="91">
        <f>B11</f>
        <v>2022</v>
      </c>
      <c r="C71" s="93">
        <f>C11</f>
        <v>2012287</v>
      </c>
      <c r="D71" s="93">
        <f>D11</f>
        <v>3648224</v>
      </c>
      <c r="E71" s="93">
        <f>E11</f>
        <v>5583814</v>
      </c>
      <c r="F71" s="93"/>
      <c r="G71" s="93"/>
      <c r="H71" s="93"/>
      <c r="I71" s="93"/>
      <c r="J71" s="6"/>
    </row>
    <row r="72" spans="1:13" x14ac:dyDescent="0.3">
      <c r="B72" s="91">
        <f>B12</f>
        <v>2023</v>
      </c>
      <c r="C72" s="93">
        <f>C12</f>
        <v>1851044</v>
      </c>
      <c r="D72" s="93">
        <f>D12</f>
        <v>4117247</v>
      </c>
      <c r="E72" s="93"/>
      <c r="F72" s="93"/>
      <c r="G72" s="93"/>
      <c r="H72" s="93"/>
      <c r="I72" s="93"/>
      <c r="J72" s="6"/>
    </row>
    <row r="73" spans="1:13" x14ac:dyDescent="0.3">
      <c r="B73" s="91">
        <f>B13</f>
        <v>2024</v>
      </c>
      <c r="C73" s="93">
        <f>C13</f>
        <v>2078097</v>
      </c>
      <c r="D73" s="93"/>
      <c r="E73" s="93"/>
      <c r="F73" s="93"/>
      <c r="G73" s="93"/>
      <c r="H73" s="93"/>
      <c r="I73" s="94"/>
      <c r="J73" s="6"/>
    </row>
    <row r="74" spans="1:13" x14ac:dyDescent="0.3">
      <c r="B74" s="107"/>
      <c r="C74" s="107"/>
      <c r="D74" s="6"/>
      <c r="E74" s="6"/>
      <c r="F74" s="6"/>
      <c r="G74" s="6"/>
      <c r="H74" s="6"/>
      <c r="I74" s="6"/>
      <c r="J74" s="6"/>
    </row>
    <row r="75" spans="1:13" x14ac:dyDescent="0.3">
      <c r="B75" s="98"/>
      <c r="C75" s="108" t="s">
        <v>268</v>
      </c>
      <c r="D75" s="109"/>
      <c r="E75" s="109"/>
      <c r="F75" s="109"/>
      <c r="G75" s="109"/>
      <c r="H75" s="109"/>
      <c r="I75" s="6"/>
      <c r="J75" s="6"/>
    </row>
    <row r="76" spans="1:13" x14ac:dyDescent="0.3">
      <c r="B76" s="99" t="s">
        <v>245</v>
      </c>
      <c r="C76" s="110" t="s">
        <v>262</v>
      </c>
      <c r="D76" s="110" t="s">
        <v>263</v>
      </c>
      <c r="E76" s="110" t="s">
        <v>264</v>
      </c>
      <c r="F76" s="110" t="s">
        <v>265</v>
      </c>
      <c r="G76" s="110" t="s">
        <v>266</v>
      </c>
      <c r="H76" s="110" t="s">
        <v>267</v>
      </c>
      <c r="I76" s="6"/>
      <c r="J76" s="6"/>
    </row>
    <row r="77" spans="1:13" x14ac:dyDescent="0.3">
      <c r="B77" s="98">
        <f t="shared" ref="B77:B83" si="3">B67</f>
        <v>2018</v>
      </c>
      <c r="C77" s="95">
        <f t="shared" ref="C77:H77" si="4">D67/C67</f>
        <v>2.017173856936965</v>
      </c>
      <c r="D77" s="95">
        <f t="shared" si="4"/>
        <v>1.5923641208345118</v>
      </c>
      <c r="E77" s="95">
        <f t="shared" si="4"/>
        <v>1.3321430562442602</v>
      </c>
      <c r="F77" s="95">
        <f t="shared" si="4"/>
        <v>1.2380834265609506</v>
      </c>
      <c r="G77" s="95">
        <f t="shared" si="4"/>
        <v>1.1791789794568333</v>
      </c>
      <c r="H77" s="95">
        <f t="shared" si="4"/>
        <v>1.0757955812274234</v>
      </c>
      <c r="I77" s="111"/>
      <c r="J77" s="6"/>
    </row>
    <row r="78" spans="1:13" x14ac:dyDescent="0.3">
      <c r="B78" s="98">
        <f t="shared" si="3"/>
        <v>2019</v>
      </c>
      <c r="C78" s="95">
        <f t="shared" ref="C78:D82" si="5">D68/C68</f>
        <v>2.1980843143845528</v>
      </c>
      <c r="D78" s="95">
        <f t="shared" si="5"/>
        <v>1.4942476115216832</v>
      </c>
      <c r="E78" s="95">
        <f t="shared" ref="E78:F78" si="6">F68/E68</f>
        <v>1.3692512625716884</v>
      </c>
      <c r="F78" s="95">
        <f t="shared" si="6"/>
        <v>1.2127403037122326</v>
      </c>
      <c r="G78" s="95">
        <f t="shared" ref="G78" si="7">H68/G68</f>
        <v>1.1337332482873956</v>
      </c>
      <c r="H78" s="95"/>
      <c r="I78" s="112"/>
      <c r="J78" s="6"/>
    </row>
    <row r="79" spans="1:13" x14ac:dyDescent="0.3">
      <c r="B79" s="98">
        <f t="shared" si="3"/>
        <v>2020</v>
      </c>
      <c r="C79" s="95">
        <f t="shared" si="5"/>
        <v>2.0692602333954699</v>
      </c>
      <c r="D79" s="95">
        <f t="shared" si="5"/>
        <v>1.5747140408444324</v>
      </c>
      <c r="E79" s="95">
        <f t="shared" ref="E79:F79" si="8">F69/E69</f>
        <v>1.3236038943355652</v>
      </c>
      <c r="F79" s="95">
        <f t="shared" si="8"/>
        <v>1.1998531968104129</v>
      </c>
      <c r="G79" s="95"/>
      <c r="H79" s="95"/>
      <c r="I79" s="111"/>
      <c r="J79" s="6"/>
    </row>
    <row r="80" spans="1:13" x14ac:dyDescent="0.3">
      <c r="B80" s="98">
        <f t="shared" si="3"/>
        <v>2021</v>
      </c>
      <c r="C80" s="95">
        <f t="shared" si="5"/>
        <v>2.1397911085092036</v>
      </c>
      <c r="D80" s="95">
        <f t="shared" si="5"/>
        <v>1.5411194831912616</v>
      </c>
      <c r="E80" s="95">
        <f t="shared" ref="E80" si="9">F70/E70</f>
        <v>1.3502186268505274</v>
      </c>
      <c r="F80" s="95"/>
      <c r="G80" s="95"/>
      <c r="H80" s="95"/>
      <c r="I80" s="6"/>
      <c r="J80" s="6"/>
    </row>
    <row r="81" spans="2:10" x14ac:dyDescent="0.3">
      <c r="B81" s="98">
        <f t="shared" si="3"/>
        <v>2022</v>
      </c>
      <c r="C81" s="95">
        <f t="shared" si="5"/>
        <v>1.8129739942662255</v>
      </c>
      <c r="D81" s="95">
        <f t="shared" si="5"/>
        <v>1.5305567859868254</v>
      </c>
      <c r="E81" s="95"/>
      <c r="F81" s="95"/>
      <c r="G81" s="95"/>
      <c r="H81" s="95"/>
      <c r="I81" s="6"/>
      <c r="J81" s="6"/>
    </row>
    <row r="82" spans="2:10" x14ac:dyDescent="0.3">
      <c r="B82" s="98">
        <f t="shared" si="3"/>
        <v>2023</v>
      </c>
      <c r="C82" s="95">
        <f t="shared" si="5"/>
        <v>2.2242837015219519</v>
      </c>
      <c r="D82" s="95"/>
      <c r="E82" s="95"/>
      <c r="F82" s="95"/>
      <c r="G82" s="95"/>
      <c r="H82" s="95"/>
      <c r="I82" s="6"/>
      <c r="J82" s="6"/>
    </row>
    <row r="83" spans="2:10" x14ac:dyDescent="0.3">
      <c r="B83" s="99">
        <f t="shared" si="3"/>
        <v>2024</v>
      </c>
      <c r="C83" s="113"/>
      <c r="D83" s="113"/>
      <c r="E83" s="113"/>
      <c r="F83" s="113"/>
      <c r="G83" s="113"/>
      <c r="H83" s="113"/>
      <c r="I83" s="6"/>
      <c r="J83" s="6"/>
    </row>
    <row r="84" spans="2:10" x14ac:dyDescent="0.3">
      <c r="B84" s="98" t="s">
        <v>246</v>
      </c>
      <c r="C84" s="104">
        <f>AVERAGE(C80:C82)</f>
        <v>2.0590162680991271</v>
      </c>
      <c r="D84" s="104">
        <f>AVERAGE(D79:D81)</f>
        <v>1.5487967700075067</v>
      </c>
      <c r="E84" s="104">
        <f>AVERAGE(E78:E80)</f>
        <v>1.3476912612525938</v>
      </c>
      <c r="F84" s="104">
        <f>AVERAGE(F77:F79)</f>
        <v>1.2168923090278654</v>
      </c>
      <c r="G84" s="104">
        <f>IF(0=COUNT(G77:G78),1,AVERAGE(G77:G78))</f>
        <v>1.1564561138721143</v>
      </c>
      <c r="H84" s="104">
        <f>IF(0=COUNT(H77:H77),1,AVERAGE(H77:H77))</f>
        <v>1.0757955812274234</v>
      </c>
      <c r="I84" s="6"/>
      <c r="J84" s="6"/>
    </row>
    <row r="85" spans="2:10" x14ac:dyDescent="0.3">
      <c r="B85" s="95" t="s">
        <v>247</v>
      </c>
      <c r="C85" s="95">
        <f>AVERAGE(C77:C83)</f>
        <v>2.0769278681690615</v>
      </c>
      <c r="D85" s="95">
        <f>AVERAGE(D77:D83)</f>
        <v>1.5466004084757428</v>
      </c>
      <c r="E85" s="95">
        <f>AVERAGE(E77:E83)</f>
        <v>1.3438042100005103</v>
      </c>
      <c r="F85" s="95">
        <f>IF(0=COUNT(F77:F83),1,AVERAGE(F77:F83))</f>
        <v>1.2168923090278654</v>
      </c>
      <c r="G85" s="95">
        <f>IF(0=COUNT(G77:G83),1,AVERAGE(G77:G83))</f>
        <v>1.1564561138721143</v>
      </c>
      <c r="H85" s="95">
        <f>IF(0=COUNT(H77:H83),1,AVERAGE(H77:H83))</f>
        <v>1.0757955812274234</v>
      </c>
      <c r="I85" s="111"/>
      <c r="J85" s="6"/>
    </row>
    <row r="86" spans="2:10" x14ac:dyDescent="0.3">
      <c r="B86" s="95" t="s">
        <v>248</v>
      </c>
      <c r="C86" s="95">
        <f>SUM(D68:D72)/SUM(C68:C72)</f>
        <v>2.0775879873460479</v>
      </c>
      <c r="D86" s="95">
        <f>SUM(E67:E71)/SUM(D67:D71)</f>
        <v>1.545100748584938</v>
      </c>
      <c r="E86" s="95">
        <f>SUM(F67:F70)/SUM(E67:E70)</f>
        <v>1.3437847779808649</v>
      </c>
      <c r="F86" s="95">
        <f>SUM(G$67:G69)/SUM(F$67:F69)</f>
        <v>1.2160098289268011</v>
      </c>
      <c r="G86" s="95">
        <f>SUM(H$67:H68)/SUM(G$67:G68)</f>
        <v>1.1556610778304728</v>
      </c>
      <c r="H86" s="95">
        <f>SUM(I$67:I67)/SUM(H$67:H67)</f>
        <v>1.0757955812274234</v>
      </c>
      <c r="I86" s="6"/>
      <c r="J86" s="6"/>
    </row>
    <row r="87" spans="2:10" x14ac:dyDescent="0.3">
      <c r="B87" s="95" t="s">
        <v>249</v>
      </c>
      <c r="C87" s="95">
        <f>SUM(D$67:D72)/SUM(C$67:C72)</f>
        <v>2.0691424785705532</v>
      </c>
      <c r="D87" s="95">
        <f>SUM(E$67:E71)/SUM(D$67:D71)</f>
        <v>1.545100748584938</v>
      </c>
      <c r="E87" s="95">
        <f>SUM(F$67:F70)/SUM(E$67:E70)</f>
        <v>1.3437847779808649</v>
      </c>
      <c r="F87" s="95">
        <f>SUM(G$67:G69)/SUM(F$67:F69)</f>
        <v>1.2160098289268011</v>
      </c>
      <c r="G87" s="95">
        <f>SUM(H$67:H68)/SUM(G$67:G68)</f>
        <v>1.1556610778304728</v>
      </c>
      <c r="H87" s="95">
        <f>SUM(I$67:I67)/SUM(H$67:H67)</f>
        <v>1.0757955812274234</v>
      </c>
      <c r="I87" s="6"/>
      <c r="J87" s="6"/>
    </row>
    <row r="88" spans="2:10" x14ac:dyDescent="0.3">
      <c r="B88" s="97" t="s">
        <v>250</v>
      </c>
      <c r="C88" s="97">
        <f>(SUM(C77:C82)-MIN(C77:C82)-MAX(C77:C82))/4</f>
        <v>2.1060773783065478</v>
      </c>
      <c r="D88" s="97">
        <f>(SUM(D77:D81)-MIN(D77:D81)-MAX(D77:D81))/3</f>
        <v>1.548796770007506</v>
      </c>
      <c r="E88" s="97"/>
      <c r="F88" s="97"/>
      <c r="G88" s="97"/>
      <c r="H88" s="97"/>
      <c r="I88" s="6"/>
      <c r="J88" s="6"/>
    </row>
    <row r="89" spans="2:10" x14ac:dyDescent="0.3">
      <c r="B89" s="95" t="s">
        <v>251</v>
      </c>
      <c r="C89" s="95">
        <f>C88</f>
        <v>2.1060773783065478</v>
      </c>
      <c r="D89" s="95">
        <f>D88</f>
        <v>1.548796770007506</v>
      </c>
      <c r="E89" s="95">
        <f>E85</f>
        <v>1.3438042100005103</v>
      </c>
      <c r="F89" s="95">
        <f t="shared" ref="F89:H89" si="10">F85</f>
        <v>1.2168923090278654</v>
      </c>
      <c r="G89" s="95">
        <f t="shared" si="10"/>
        <v>1.1564561138721143</v>
      </c>
      <c r="H89" s="95">
        <f t="shared" si="10"/>
        <v>1.0757955812274234</v>
      </c>
      <c r="I89" s="6"/>
      <c r="J89" s="6"/>
    </row>
    <row r="90" spans="2:10" x14ac:dyDescent="0.3">
      <c r="B90" s="95" t="s">
        <v>273</v>
      </c>
      <c r="C90" s="101" t="s">
        <v>274</v>
      </c>
      <c r="D90" s="95"/>
      <c r="E90" s="95"/>
      <c r="F90" s="95"/>
      <c r="G90" s="95"/>
      <c r="H90" s="95"/>
      <c r="I90" s="6"/>
      <c r="J90" s="6"/>
    </row>
    <row r="91" spans="2:10" x14ac:dyDescent="0.3">
      <c r="B91" s="95"/>
      <c r="C91" s="101" t="s">
        <v>275</v>
      </c>
      <c r="D91" s="95"/>
      <c r="E91" s="95"/>
      <c r="F91" s="95"/>
      <c r="G91" s="95"/>
      <c r="H91" s="95"/>
      <c r="I91" s="6"/>
      <c r="J91" s="6"/>
    </row>
    <row r="92" spans="2:10" x14ac:dyDescent="0.3">
      <c r="B92" s="95" t="s">
        <v>252</v>
      </c>
      <c r="C92" s="95">
        <f>D92*C89</f>
        <v>6.6361441901471263</v>
      </c>
      <c r="D92" s="95">
        <f>E92*D89</f>
        <v>3.1509498456714393</v>
      </c>
      <c r="E92" s="95">
        <f>F92*E89</f>
        <v>2.0344501658898531</v>
      </c>
      <c r="F92" s="95">
        <f>G92*F89</f>
        <v>1.5139483495806882</v>
      </c>
      <c r="G92" s="95">
        <f>H92*G89</f>
        <v>1.2441103771870585</v>
      </c>
      <c r="H92" s="95">
        <f>H89</f>
        <v>1.0757955812274234</v>
      </c>
      <c r="I92" s="111"/>
      <c r="J92" s="6"/>
    </row>
    <row r="93" spans="2:10" x14ac:dyDescent="0.3">
      <c r="B93" s="107"/>
      <c r="C93" s="107"/>
      <c r="D93" s="6"/>
      <c r="E93" s="95"/>
      <c r="F93" s="95"/>
      <c r="G93" s="95"/>
      <c r="H93" s="95"/>
      <c r="I93" s="95"/>
      <c r="J93" s="6"/>
    </row>
    <row r="94" spans="2:10" x14ac:dyDescent="0.3">
      <c r="B94" s="6" t="s">
        <v>253</v>
      </c>
      <c r="C94" s="95"/>
      <c r="D94" s="95"/>
      <c r="E94" s="95"/>
      <c r="F94" s="95"/>
      <c r="G94" s="95"/>
      <c r="H94" s="95"/>
      <c r="I94" s="6"/>
      <c r="J94" s="6"/>
    </row>
    <row r="95" spans="2:10" x14ac:dyDescent="0.3">
      <c r="B95" s="6"/>
      <c r="C95" s="95" t="s">
        <v>254</v>
      </c>
      <c r="D95" s="95" t="s">
        <v>184</v>
      </c>
      <c r="E95" s="95" t="s">
        <v>255</v>
      </c>
      <c r="F95" s="95" t="s">
        <v>85</v>
      </c>
      <c r="G95" s="95" t="s">
        <v>256</v>
      </c>
      <c r="H95" s="95"/>
      <c r="I95" s="6"/>
      <c r="J95" s="6"/>
    </row>
    <row r="96" spans="2:10" x14ac:dyDescent="0.3">
      <c r="B96" s="99" t="s">
        <v>245</v>
      </c>
      <c r="C96" s="97" t="s">
        <v>257</v>
      </c>
      <c r="D96" s="97" t="s">
        <v>258</v>
      </c>
      <c r="E96" s="97" t="s">
        <v>278</v>
      </c>
      <c r="F96" s="97" t="s">
        <v>277</v>
      </c>
      <c r="G96" s="97" t="s">
        <v>259</v>
      </c>
      <c r="H96" s="95"/>
      <c r="I96" s="6"/>
      <c r="J96" s="6"/>
    </row>
    <row r="97" spans="2:10" x14ac:dyDescent="0.3">
      <c r="B97" s="98">
        <f>B77</f>
        <v>2018</v>
      </c>
      <c r="C97" s="96">
        <f>C53</f>
        <v>9695924</v>
      </c>
      <c r="D97" s="96">
        <f>I67</f>
        <v>9269896</v>
      </c>
      <c r="E97" s="95">
        <v>1</v>
      </c>
      <c r="F97" s="96">
        <f>E97*D97</f>
        <v>9269896</v>
      </c>
      <c r="G97" s="95">
        <f>C97/F97</f>
        <v>1.0459582286575815</v>
      </c>
      <c r="H97" s="111"/>
      <c r="I97" s="6"/>
      <c r="J97" s="6"/>
    </row>
    <row r="98" spans="2:10" x14ac:dyDescent="0.3">
      <c r="B98" s="98">
        <f>B78</f>
        <v>2019</v>
      </c>
      <c r="C98" s="96">
        <f>C54</f>
        <v>10043178</v>
      </c>
      <c r="D98" s="96">
        <f>H68</f>
        <v>8885445</v>
      </c>
      <c r="E98" s="95">
        <f>H92</f>
        <v>1.0757955812274234</v>
      </c>
      <c r="F98" s="96">
        <f t="shared" ref="F98:F99" si="11">E98*D98</f>
        <v>9558922.4682393018</v>
      </c>
      <c r="G98" s="95">
        <f>C98/F98</f>
        <v>1.0506600543491902</v>
      </c>
      <c r="H98" s="95"/>
      <c r="I98" s="6"/>
      <c r="J98" s="6"/>
    </row>
    <row r="99" spans="2:10" x14ac:dyDescent="0.3">
      <c r="B99" s="99">
        <f>B79</f>
        <v>2020</v>
      </c>
      <c r="C99" s="100">
        <f>C55</f>
        <v>10613552</v>
      </c>
      <c r="D99" s="100">
        <f>G69</f>
        <v>8106189</v>
      </c>
      <c r="E99" s="97">
        <f>G92</f>
        <v>1.2441103771870585</v>
      </c>
      <c r="F99" s="100">
        <f t="shared" si="11"/>
        <v>10084993.854339585</v>
      </c>
      <c r="G99" s="97">
        <f>C99/F99</f>
        <v>1.052410358726493</v>
      </c>
      <c r="H99" s="95"/>
      <c r="I99" s="6"/>
      <c r="J99" s="6"/>
    </row>
    <row r="100" spans="2:10" x14ac:dyDescent="0.3">
      <c r="B100" s="95" t="s">
        <v>260</v>
      </c>
      <c r="C100" s="95"/>
      <c r="D100" s="107"/>
      <c r="E100" s="107"/>
      <c r="F100" s="95"/>
      <c r="G100" s="95">
        <f>AVERAGE(G97:G99)</f>
        <v>1.0496762139110882</v>
      </c>
      <c r="H100" s="95"/>
      <c r="I100" s="6"/>
      <c r="J100" s="6"/>
    </row>
    <row r="101" spans="2:10" x14ac:dyDescent="0.3">
      <c r="B101" s="95" t="s">
        <v>251</v>
      </c>
      <c r="C101" s="95"/>
      <c r="D101" s="95"/>
      <c r="E101" s="95"/>
      <c r="F101" s="95"/>
      <c r="G101" s="95">
        <f>G100</f>
        <v>1.0496762139110882</v>
      </c>
      <c r="H101" s="95"/>
      <c r="I101" s="6"/>
      <c r="J101" s="6"/>
    </row>
    <row r="102" spans="2:10" x14ac:dyDescent="0.3">
      <c r="B102" s="101" t="s">
        <v>269</v>
      </c>
      <c r="C102" s="95"/>
      <c r="D102" s="95"/>
      <c r="E102" s="95"/>
      <c r="F102" s="95"/>
      <c r="G102" s="95"/>
      <c r="H102" s="95"/>
      <c r="I102" s="6"/>
      <c r="J102" s="6"/>
    </row>
    <row r="103" spans="2:10" x14ac:dyDescent="0.3">
      <c r="B103" s="95"/>
      <c r="C103" s="95"/>
      <c r="D103" s="95"/>
      <c r="E103" s="95"/>
      <c r="F103" s="95"/>
      <c r="G103" s="95"/>
      <c r="H103" s="95"/>
      <c r="I103" s="6"/>
      <c r="J103" s="6"/>
    </row>
    <row r="104" spans="2:10" x14ac:dyDescent="0.3">
      <c r="B104" s="95"/>
      <c r="C104" s="97" t="s">
        <v>136</v>
      </c>
      <c r="D104" s="97" t="s">
        <v>135</v>
      </c>
      <c r="E104" s="97" t="s">
        <v>134</v>
      </c>
      <c r="F104" s="97" t="s">
        <v>133</v>
      </c>
      <c r="G104" s="97" t="s">
        <v>132</v>
      </c>
      <c r="H104" s="97" t="s">
        <v>131</v>
      </c>
      <c r="I104" s="97" t="s">
        <v>270</v>
      </c>
      <c r="J104" s="6"/>
    </row>
    <row r="105" spans="2:10" x14ac:dyDescent="0.3">
      <c r="B105" s="95" t="s">
        <v>261</v>
      </c>
      <c r="C105" s="95">
        <f t="shared" ref="C105:H105" si="12">D105*C89</f>
        <v>6.9658027084817</v>
      </c>
      <c r="D105" s="95">
        <f t="shared" si="12"/>
        <v>3.3074771042281239</v>
      </c>
      <c r="E105" s="95">
        <f t="shared" si="12"/>
        <v>2.1355139475220462</v>
      </c>
      <c r="F105" s="95">
        <f t="shared" si="12"/>
        <v>1.5891555716447974</v>
      </c>
      <c r="G105" s="95">
        <f t="shared" si="12"/>
        <v>1.3059130704132074</v>
      </c>
      <c r="H105" s="95">
        <f t="shared" si="12"/>
        <v>1.1292370326450802</v>
      </c>
      <c r="I105" s="95">
        <f>G101</f>
        <v>1.0496762139110882</v>
      </c>
      <c r="J105" s="6"/>
    </row>
    <row r="106" spans="2:10" x14ac:dyDescent="0.3">
      <c r="B106" s="95"/>
      <c r="C106" s="95"/>
      <c r="D106" s="95"/>
      <c r="E106" s="95"/>
      <c r="F106" s="95"/>
      <c r="G106" s="95"/>
      <c r="H106" s="95"/>
      <c r="I106" s="6"/>
      <c r="J106" s="6"/>
    </row>
    <row r="107" spans="2:10" ht="46.8" x14ac:dyDescent="0.3">
      <c r="B107" s="102" t="s">
        <v>29</v>
      </c>
      <c r="C107" s="102" t="s">
        <v>85</v>
      </c>
      <c r="D107" s="102" t="s">
        <v>272</v>
      </c>
      <c r="E107" s="102" t="s">
        <v>271</v>
      </c>
      <c r="F107" s="95"/>
      <c r="G107" s="95"/>
      <c r="H107" s="95"/>
      <c r="I107" s="6"/>
      <c r="J107" s="6"/>
    </row>
    <row r="108" spans="2:10" x14ac:dyDescent="0.3">
      <c r="B108" s="98">
        <v>2018</v>
      </c>
      <c r="C108" s="103">
        <f t="shared" ref="C108:C114" ca="1" si="13">OFFSET($I$67,B108-$B$108,$B$108-B108,1,1)</f>
        <v>9269896</v>
      </c>
      <c r="D108" s="104">
        <f>I105</f>
        <v>1.0496762139110882</v>
      </c>
      <c r="E108" s="103">
        <f ca="1">D108*C108</f>
        <v>9730389.3366295416</v>
      </c>
      <c r="F108" s="95"/>
      <c r="G108" s="95"/>
      <c r="H108" s="95"/>
      <c r="I108" s="6"/>
      <c r="J108" s="6"/>
    </row>
    <row r="109" spans="2:10" x14ac:dyDescent="0.3">
      <c r="B109" s="98">
        <v>2019</v>
      </c>
      <c r="C109" s="103">
        <f t="shared" ca="1" si="13"/>
        <v>8885445</v>
      </c>
      <c r="D109" s="104">
        <f>H105</f>
        <v>1.1292370326450802</v>
      </c>
      <c r="E109" s="103">
        <f t="shared" ref="E109:E114" ca="1" si="14">D109*C109</f>
        <v>10033773.545531064</v>
      </c>
      <c r="F109" s="95"/>
      <c r="G109" s="95"/>
      <c r="H109" s="111"/>
      <c r="I109" s="6"/>
      <c r="J109" s="6"/>
    </row>
    <row r="110" spans="2:10" x14ac:dyDescent="0.3">
      <c r="B110" s="98">
        <v>2020</v>
      </c>
      <c r="C110" s="103">
        <f t="shared" ca="1" si="13"/>
        <v>8106189</v>
      </c>
      <c r="D110" s="104">
        <f>G105</f>
        <v>1.3059130704132074</v>
      </c>
      <c r="E110" s="103">
        <f t="shared" ca="1" si="14"/>
        <v>10585978.166339766</v>
      </c>
      <c r="F110" s="95"/>
      <c r="G110" s="95"/>
      <c r="H110" s="95"/>
      <c r="I110" s="6"/>
      <c r="J110" s="6"/>
    </row>
    <row r="111" spans="2:10" x14ac:dyDescent="0.3">
      <c r="B111" s="98">
        <v>2021</v>
      </c>
      <c r="C111" s="103">
        <f t="shared" ca="1" si="13"/>
        <v>7217780</v>
      </c>
      <c r="D111" s="104">
        <f>F105</f>
        <v>1.5891555716447974</v>
      </c>
      <c r="E111" s="103">
        <f t="shared" ca="1" si="14"/>
        <v>11470175.301906386</v>
      </c>
      <c r="F111" s="95"/>
      <c r="G111" s="95"/>
      <c r="H111" s="95"/>
      <c r="I111" s="6"/>
      <c r="J111" s="6"/>
    </row>
    <row r="112" spans="2:10" x14ac:dyDescent="0.3">
      <c r="B112" s="98">
        <v>2022</v>
      </c>
      <c r="C112" s="103">
        <f t="shared" ca="1" si="13"/>
        <v>5583814</v>
      </c>
      <c r="D112" s="104">
        <f>E105</f>
        <v>2.1355139475220462</v>
      </c>
      <c r="E112" s="103">
        <f t="shared" ca="1" si="14"/>
        <v>11924312.677368866</v>
      </c>
      <c r="F112" s="95"/>
      <c r="G112" s="95"/>
      <c r="H112" s="95"/>
      <c r="I112" s="6"/>
      <c r="J112" s="6"/>
    </row>
    <row r="113" spans="2:10" x14ac:dyDescent="0.3">
      <c r="B113" s="98">
        <v>2023</v>
      </c>
      <c r="C113" s="103">
        <f t="shared" ca="1" si="13"/>
        <v>4117247</v>
      </c>
      <c r="D113" s="104">
        <f>D105</f>
        <v>3.3074771042281239</v>
      </c>
      <c r="E113" s="103">
        <f t="shared" ca="1" si="14"/>
        <v>13617700.184951931</v>
      </c>
      <c r="F113" s="95"/>
      <c r="G113" s="95"/>
      <c r="H113" s="95"/>
      <c r="I113" s="6"/>
      <c r="J113" s="6"/>
    </row>
    <row r="114" spans="2:10" x14ac:dyDescent="0.3">
      <c r="B114" s="99">
        <v>2024</v>
      </c>
      <c r="C114" s="105">
        <f t="shared" ca="1" si="13"/>
        <v>2078097</v>
      </c>
      <c r="D114" s="106">
        <f>C105</f>
        <v>6.9658027084817</v>
      </c>
      <c r="E114" s="105">
        <f t="shared" ca="1" si="14"/>
        <v>14475613.711087696</v>
      </c>
      <c r="F114" s="95"/>
      <c r="G114" s="95"/>
      <c r="H114" s="95"/>
      <c r="I114" s="6"/>
      <c r="J114" s="6"/>
    </row>
    <row r="115" spans="2:10" x14ac:dyDescent="0.3">
      <c r="B115" s="95" t="s">
        <v>86</v>
      </c>
      <c r="C115" s="103">
        <f ca="1">SUM(C108:C114)</f>
        <v>45258468</v>
      </c>
      <c r="D115" s="95"/>
      <c r="E115" s="103">
        <f ca="1">SUM(E108:E114)</f>
        <v>81837942.92381525</v>
      </c>
      <c r="F115" s="95"/>
      <c r="G115" s="95"/>
      <c r="H115" s="95"/>
      <c r="I115" s="6"/>
      <c r="J115" s="6"/>
    </row>
  </sheetData>
  <mergeCells count="11">
    <mergeCell ref="C65:I65"/>
    <mergeCell ref="C56:D56"/>
    <mergeCell ref="C57:D57"/>
    <mergeCell ref="C58:D58"/>
    <mergeCell ref="C59:D59"/>
    <mergeCell ref="C55:D55"/>
    <mergeCell ref="C5:I5"/>
    <mergeCell ref="C15:I15"/>
    <mergeCell ref="C52:D52"/>
    <mergeCell ref="C53:D53"/>
    <mergeCell ref="C54:D54"/>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7297F-EE9E-4220-A523-9815BFF9FA7D}">
  <dimension ref="A1:R35"/>
  <sheetViews>
    <sheetView zoomScaleNormal="100" workbookViewId="0"/>
  </sheetViews>
  <sheetFormatPr defaultRowHeight="15.6" x14ac:dyDescent="0.3"/>
  <cols>
    <col min="1" max="1" width="10.77734375" style="1" customWidth="1"/>
    <col min="2" max="4" width="12.77734375" style="1" customWidth="1"/>
    <col min="5" max="5" width="16.21875" style="1" customWidth="1"/>
    <col min="6" max="6" width="18.5546875" style="1" customWidth="1"/>
    <col min="7" max="7" width="12.77734375" style="1" customWidth="1"/>
    <col min="8" max="12" width="10.77734375" style="1" customWidth="1"/>
    <col min="13" max="16384" width="8.88671875" style="1"/>
  </cols>
  <sheetData>
    <row r="1" spans="1:12" ht="17.399999999999999" x14ac:dyDescent="0.3">
      <c r="A1" s="2" t="s">
        <v>30</v>
      </c>
      <c r="B1" s="4"/>
      <c r="C1" s="8" t="s">
        <v>31</v>
      </c>
      <c r="D1" s="4"/>
      <c r="E1" s="4"/>
      <c r="F1" s="4"/>
      <c r="G1" s="4"/>
      <c r="H1" s="4"/>
      <c r="I1" s="4"/>
      <c r="J1" s="4"/>
      <c r="K1" s="4"/>
      <c r="L1" s="3"/>
    </row>
    <row r="2" spans="1:12" x14ac:dyDescent="0.3">
      <c r="A2" s="4"/>
      <c r="B2" s="4"/>
      <c r="C2" s="4"/>
      <c r="D2" s="4"/>
      <c r="E2" s="4"/>
      <c r="F2" s="4"/>
      <c r="G2" s="4"/>
      <c r="H2" s="4"/>
      <c r="I2" s="4"/>
      <c r="J2" s="4"/>
      <c r="K2" s="4"/>
      <c r="L2" s="3"/>
    </row>
    <row r="3" spans="1:12" x14ac:dyDescent="0.3">
      <c r="A3" s="8" t="s">
        <v>32</v>
      </c>
      <c r="B3" s="8"/>
      <c r="C3" s="8"/>
      <c r="D3" s="8"/>
      <c r="E3" s="8"/>
      <c r="F3" s="8"/>
      <c r="G3" s="8"/>
      <c r="H3" s="8"/>
      <c r="I3" s="8"/>
      <c r="J3" s="8"/>
      <c r="K3" s="4"/>
      <c r="L3" s="3"/>
    </row>
    <row r="4" spans="1:12" x14ac:dyDescent="0.3">
      <c r="A4" s="21"/>
      <c r="B4" s="8"/>
      <c r="C4" s="8"/>
      <c r="D4" s="8"/>
      <c r="E4" s="8"/>
      <c r="F4" s="8"/>
      <c r="G4" s="8"/>
      <c r="H4" s="8"/>
      <c r="I4" s="8"/>
      <c r="J4" s="8"/>
      <c r="K4" s="8"/>
      <c r="L4" s="8"/>
    </row>
    <row r="5" spans="1:12" ht="46.8" x14ac:dyDescent="0.3">
      <c r="A5" s="21"/>
      <c r="B5" s="32" t="s">
        <v>33</v>
      </c>
      <c r="C5" s="32" t="s">
        <v>34</v>
      </c>
      <c r="D5" s="32" t="s">
        <v>35</v>
      </c>
      <c r="E5" s="32" t="s">
        <v>36</v>
      </c>
      <c r="F5" s="32" t="s">
        <v>37</v>
      </c>
      <c r="G5" s="32" t="s">
        <v>38</v>
      </c>
      <c r="H5" s="8"/>
      <c r="I5" s="8"/>
      <c r="J5" s="8"/>
      <c r="K5" s="8"/>
      <c r="L5" s="8"/>
    </row>
    <row r="6" spans="1:12" x14ac:dyDescent="0.3">
      <c r="A6" s="21"/>
      <c r="B6" s="19">
        <v>2021</v>
      </c>
      <c r="C6" s="29">
        <v>4974</v>
      </c>
      <c r="D6" s="29">
        <v>6035090</v>
      </c>
      <c r="E6" s="29">
        <v>5953290</v>
      </c>
      <c r="F6" s="29">
        <v>663860</v>
      </c>
      <c r="G6" s="29">
        <v>243420</v>
      </c>
      <c r="H6" s="8"/>
      <c r="I6" s="8"/>
      <c r="J6" s="8"/>
      <c r="K6" s="8"/>
      <c r="L6" s="8"/>
    </row>
    <row r="7" spans="1:12" x14ac:dyDescent="0.3">
      <c r="A7" s="21"/>
      <c r="B7" s="19">
        <v>2022</v>
      </c>
      <c r="C7" s="29">
        <v>4842</v>
      </c>
      <c r="D7" s="29">
        <v>5929640</v>
      </c>
      <c r="E7" s="29">
        <v>5858330</v>
      </c>
      <c r="F7" s="29">
        <v>652260</v>
      </c>
      <c r="G7" s="29">
        <v>253065</v>
      </c>
      <c r="H7" s="8"/>
      <c r="I7" s="8"/>
      <c r="J7" s="8"/>
      <c r="K7" s="8"/>
      <c r="L7" s="8"/>
    </row>
    <row r="8" spans="1:12" x14ac:dyDescent="0.3">
      <c r="A8" s="21"/>
      <c r="B8" s="19">
        <v>2023</v>
      </c>
      <c r="C8" s="29">
        <v>4872</v>
      </c>
      <c r="D8" s="29">
        <v>5783010</v>
      </c>
      <c r="E8" s="29">
        <v>5703650</v>
      </c>
      <c r="F8" s="29">
        <v>636131</v>
      </c>
      <c r="G8" s="29">
        <v>260640</v>
      </c>
      <c r="H8" s="8"/>
      <c r="I8" s="8"/>
      <c r="J8" s="8"/>
      <c r="K8" s="8"/>
      <c r="L8" s="8"/>
    </row>
    <row r="9" spans="1:12" x14ac:dyDescent="0.3">
      <c r="A9" s="8"/>
      <c r="B9" s="19">
        <v>2024</v>
      </c>
      <c r="C9" s="29">
        <v>4859</v>
      </c>
      <c r="D9" s="29">
        <v>6070980</v>
      </c>
      <c r="E9" s="29">
        <v>5989490</v>
      </c>
      <c r="F9" s="29">
        <v>667808</v>
      </c>
      <c r="G9" s="29">
        <v>268436</v>
      </c>
      <c r="H9" s="8"/>
      <c r="I9" s="8"/>
      <c r="J9" s="8"/>
      <c r="K9" s="8"/>
      <c r="L9" s="8"/>
    </row>
    <row r="10" spans="1:12" x14ac:dyDescent="0.3">
      <c r="A10" s="8"/>
      <c r="B10" s="19" t="s">
        <v>39</v>
      </c>
      <c r="C10" s="29">
        <v>4616</v>
      </c>
      <c r="D10" s="29">
        <v>5829940</v>
      </c>
      <c r="E10" s="29">
        <v>5755190</v>
      </c>
      <c r="F10" s="29">
        <v>582994</v>
      </c>
      <c r="G10" s="29">
        <v>285000</v>
      </c>
      <c r="H10" s="8"/>
      <c r="I10" s="8"/>
      <c r="J10" s="8"/>
      <c r="K10" s="8"/>
      <c r="L10" s="8"/>
    </row>
    <row r="11" spans="1:12" x14ac:dyDescent="0.3">
      <c r="A11" s="21"/>
      <c r="B11" s="8"/>
      <c r="C11" s="8"/>
      <c r="D11" s="8"/>
      <c r="E11" s="8"/>
      <c r="F11" s="8"/>
      <c r="G11" s="8"/>
      <c r="H11" s="8"/>
      <c r="I11" s="8"/>
      <c r="J11" s="8"/>
      <c r="K11" s="8"/>
      <c r="L11" s="8"/>
    </row>
    <row r="12" spans="1:12" x14ac:dyDescent="0.3">
      <c r="A12" s="8"/>
      <c r="B12" s="35">
        <v>0.3</v>
      </c>
      <c r="C12" s="8" t="s">
        <v>50</v>
      </c>
      <c r="D12" s="8"/>
      <c r="E12" s="8"/>
      <c r="F12" s="8"/>
      <c r="G12" s="8"/>
      <c r="H12" s="8"/>
      <c r="I12" s="8"/>
      <c r="J12" s="8"/>
      <c r="K12" s="8"/>
      <c r="L12" s="8"/>
    </row>
    <row r="13" spans="1:12" x14ac:dyDescent="0.3">
      <c r="A13" s="8"/>
      <c r="B13" s="8"/>
      <c r="C13" s="8"/>
      <c r="D13" s="8"/>
      <c r="E13" s="8"/>
      <c r="F13" s="8"/>
      <c r="G13" s="8"/>
      <c r="H13" s="8"/>
      <c r="I13" s="8"/>
      <c r="J13" s="8"/>
      <c r="K13" s="8"/>
      <c r="L13" s="8"/>
    </row>
    <row r="14" spans="1:12" x14ac:dyDescent="0.3">
      <c r="A14" s="8"/>
      <c r="B14" s="28" t="s">
        <v>40</v>
      </c>
      <c r="C14" s="8"/>
      <c r="D14" s="8"/>
      <c r="E14" s="8"/>
      <c r="F14" s="8"/>
      <c r="G14" s="8"/>
      <c r="H14" s="8"/>
      <c r="I14" s="8"/>
      <c r="J14" s="8"/>
      <c r="K14" s="8"/>
      <c r="L14" s="8"/>
    </row>
    <row r="15" spans="1:12" x14ac:dyDescent="0.3">
      <c r="A15" s="8"/>
      <c r="B15" s="33" t="s">
        <v>41</v>
      </c>
      <c r="C15" s="8"/>
      <c r="D15" s="8"/>
      <c r="E15" s="8"/>
      <c r="F15" s="8"/>
      <c r="G15" s="8"/>
      <c r="H15" s="8"/>
      <c r="I15" s="8"/>
      <c r="J15" s="8"/>
      <c r="K15" s="8"/>
      <c r="L15" s="8"/>
    </row>
    <row r="16" spans="1:12" x14ac:dyDescent="0.3">
      <c r="A16" s="8"/>
      <c r="B16" s="33" t="s">
        <v>214</v>
      </c>
      <c r="C16" s="8"/>
      <c r="D16" s="8"/>
      <c r="E16" s="8"/>
      <c r="F16" s="8"/>
      <c r="G16" s="8"/>
      <c r="H16" s="8"/>
      <c r="I16" s="8"/>
      <c r="J16" s="8"/>
      <c r="K16" s="8"/>
      <c r="L16" s="8"/>
    </row>
    <row r="17" spans="1:18" x14ac:dyDescent="0.3">
      <c r="A17" s="6"/>
      <c r="B17" s="6"/>
      <c r="C17" s="6"/>
      <c r="D17" s="6"/>
      <c r="E17" s="6"/>
      <c r="F17" s="6"/>
      <c r="G17" s="6"/>
      <c r="H17" s="6"/>
      <c r="I17" s="6"/>
      <c r="J17" s="6"/>
      <c r="K17" s="6"/>
      <c r="L17" s="6"/>
    </row>
    <row r="18" spans="1:18" x14ac:dyDescent="0.3">
      <c r="A18" s="8" t="s">
        <v>42</v>
      </c>
      <c r="B18" s="4"/>
      <c r="C18" s="4"/>
      <c r="D18" s="4"/>
      <c r="E18" s="4"/>
      <c r="F18" s="4"/>
      <c r="G18" s="4"/>
      <c r="H18" s="4"/>
      <c r="I18" s="4"/>
      <c r="J18" s="4"/>
      <c r="K18" s="4"/>
      <c r="L18" s="4"/>
      <c r="M18" s="7"/>
      <c r="N18" s="7"/>
      <c r="O18" s="7"/>
      <c r="P18" s="7"/>
      <c r="Q18" s="7"/>
      <c r="R18" s="7"/>
    </row>
    <row r="19" spans="1:18" x14ac:dyDescent="0.3">
      <c r="A19" s="6"/>
      <c r="B19" s="6"/>
      <c r="C19" s="6"/>
      <c r="D19" s="6"/>
      <c r="E19" s="6"/>
      <c r="F19" s="6"/>
      <c r="G19" s="6"/>
      <c r="H19" s="6"/>
      <c r="I19" s="6"/>
      <c r="J19" s="6"/>
      <c r="K19" s="6"/>
      <c r="L19" s="6"/>
      <c r="M19" s="6"/>
    </row>
    <row r="20" spans="1:18" x14ac:dyDescent="0.3">
      <c r="A20" s="6" t="s">
        <v>1</v>
      </c>
      <c r="B20" s="6"/>
      <c r="C20" s="6"/>
      <c r="D20" s="6"/>
      <c r="E20" s="6"/>
      <c r="F20" s="6"/>
      <c r="G20" s="6"/>
      <c r="H20" s="6"/>
      <c r="I20" s="6"/>
      <c r="J20" s="6"/>
      <c r="K20" s="6"/>
      <c r="L20" s="6"/>
      <c r="M20" s="6"/>
      <c r="N20" s="7"/>
    </row>
    <row r="21" spans="1:18" x14ac:dyDescent="0.3">
      <c r="A21" s="6"/>
      <c r="C21" s="114" t="s">
        <v>38</v>
      </c>
      <c r="D21" s="114"/>
      <c r="G21" s="6"/>
      <c r="H21" s="6"/>
      <c r="I21" s="6"/>
      <c r="J21" s="6"/>
      <c r="K21" s="6"/>
      <c r="L21" s="6"/>
      <c r="M21" s="6"/>
      <c r="N21" s="7"/>
    </row>
    <row r="22" spans="1:18" ht="46.8" x14ac:dyDescent="0.3">
      <c r="B22" s="118" t="s">
        <v>33</v>
      </c>
      <c r="C22" s="118" t="s">
        <v>279</v>
      </c>
      <c r="D22" s="118" t="s">
        <v>280</v>
      </c>
      <c r="E22" s="118" t="s">
        <v>281</v>
      </c>
      <c r="F22" s="118" t="s">
        <v>282</v>
      </c>
      <c r="M22" s="7"/>
      <c r="N22" s="7"/>
    </row>
    <row r="23" spans="1:18" x14ac:dyDescent="0.3">
      <c r="B23" s="85">
        <f>B6</f>
        <v>2021</v>
      </c>
      <c r="C23" s="115">
        <f>ROUND(G6*(1-$B$12),0)</f>
        <v>170394</v>
      </c>
      <c r="D23" s="116">
        <f>C23/E6</f>
        <v>2.8621820875515892E-2</v>
      </c>
      <c r="E23" s="116">
        <f>F6/D6</f>
        <v>0.11000001656976117</v>
      </c>
      <c r="F23" s="116">
        <f>E23+D23</f>
        <v>0.13862183744527706</v>
      </c>
      <c r="M23" s="7"/>
      <c r="N23" s="7"/>
    </row>
    <row r="24" spans="1:18" x14ac:dyDescent="0.3">
      <c r="B24" s="85">
        <f>B7</f>
        <v>2022</v>
      </c>
      <c r="C24" s="115">
        <f>ROUND(G7*(1-$B$12),0)</f>
        <v>177146</v>
      </c>
      <c r="D24" s="116">
        <f>C24/E7</f>
        <v>3.0238310235169409E-2</v>
      </c>
      <c r="E24" s="116">
        <f>F7/D7</f>
        <v>0.10999993254227913</v>
      </c>
      <c r="F24" s="116">
        <f t="shared" ref="F24:F27" si="0">E24+D24</f>
        <v>0.14023824277744854</v>
      </c>
      <c r="M24" s="7"/>
      <c r="N24" s="7"/>
    </row>
    <row r="25" spans="1:18" x14ac:dyDescent="0.3">
      <c r="B25" s="85">
        <f>B8</f>
        <v>2023</v>
      </c>
      <c r="C25" s="115">
        <f>ROUND(G8*(1-$B$12),0)</f>
        <v>182448</v>
      </c>
      <c r="D25" s="116">
        <f>C25/E8</f>
        <v>3.1987937548762634E-2</v>
      </c>
      <c r="E25" s="116">
        <f>F8/D8</f>
        <v>0.10999998270796696</v>
      </c>
      <c r="F25" s="116">
        <f t="shared" si="0"/>
        <v>0.1419879202567296</v>
      </c>
      <c r="M25" s="7"/>
      <c r="N25" s="7"/>
    </row>
    <row r="26" spans="1:18" x14ac:dyDescent="0.3">
      <c r="B26" s="85">
        <f>B9</f>
        <v>2024</v>
      </c>
      <c r="C26" s="115">
        <f>ROUND(G9*(1-$B$12),0)</f>
        <v>187905</v>
      </c>
      <c r="D26" s="116">
        <f>C26/E9</f>
        <v>3.137245408206709E-2</v>
      </c>
      <c r="E26" s="116">
        <f>F9/D9</f>
        <v>0.11000003294361042</v>
      </c>
      <c r="F26" s="116">
        <f t="shared" si="0"/>
        <v>0.14137248702567751</v>
      </c>
    </row>
    <row r="27" spans="1:18" x14ac:dyDescent="0.3">
      <c r="B27" s="85" t="str">
        <f>B10</f>
        <v>2025 Budget</v>
      </c>
      <c r="C27" s="115">
        <f>ROUND(G10*(1-$B$12),0)</f>
        <v>199500</v>
      </c>
      <c r="D27" s="117">
        <f>C27/E10</f>
        <v>3.4664363817701938E-2</v>
      </c>
      <c r="E27" s="117">
        <f>F10/D10</f>
        <v>0.1</v>
      </c>
      <c r="F27" s="117">
        <f t="shared" si="0"/>
        <v>0.13466436381770194</v>
      </c>
    </row>
    <row r="28" spans="1:18" x14ac:dyDescent="0.3">
      <c r="B28"/>
      <c r="C28"/>
      <c r="D28"/>
      <c r="E28"/>
      <c r="F28"/>
    </row>
    <row r="29" spans="1:18" x14ac:dyDescent="0.3">
      <c r="B29" s="119" t="s">
        <v>283</v>
      </c>
      <c r="D29" s="115"/>
      <c r="E29" s="117"/>
      <c r="F29" s="117">
        <f>AVERAGE(F23:F26)</f>
        <v>0.14055512187628316</v>
      </c>
    </row>
    <row r="31" spans="1:18" x14ac:dyDescent="0.3">
      <c r="B31" s="1" t="s">
        <v>284</v>
      </c>
    </row>
    <row r="32" spans="1:18" x14ac:dyDescent="0.3">
      <c r="B32" s="1" t="s">
        <v>285</v>
      </c>
    </row>
    <row r="33" spans="2:2" x14ac:dyDescent="0.3">
      <c r="B33" s="1" t="s">
        <v>286</v>
      </c>
    </row>
    <row r="35" spans="2:2" x14ac:dyDescent="0.3">
      <c r="B35" s="1" t="s">
        <v>287</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910BF-C467-4802-924F-03703D850C59}">
  <dimension ref="A1:R77"/>
  <sheetViews>
    <sheetView zoomScaleNormal="100" workbookViewId="0"/>
  </sheetViews>
  <sheetFormatPr defaultRowHeight="15.6" x14ac:dyDescent="0.3"/>
  <cols>
    <col min="1" max="1" width="8.88671875" style="1" customWidth="1"/>
    <col min="2" max="5" width="13.77734375" style="1" customWidth="1"/>
    <col min="6" max="6" width="12.77734375" style="1" customWidth="1"/>
    <col min="7" max="7" width="8.88671875" style="1"/>
    <col min="8" max="8" width="8.88671875" style="1" customWidth="1"/>
    <col min="9" max="16384" width="8.88671875" style="1"/>
  </cols>
  <sheetData>
    <row r="1" spans="1:18" ht="17.399999999999999" x14ac:dyDescent="0.3">
      <c r="A1" s="2" t="s">
        <v>44</v>
      </c>
      <c r="B1" s="4"/>
      <c r="C1" s="8" t="s">
        <v>45</v>
      </c>
      <c r="D1" s="4"/>
      <c r="E1" s="4"/>
      <c r="F1" s="4"/>
      <c r="G1" s="4"/>
      <c r="H1" s="4"/>
      <c r="I1" s="4"/>
      <c r="J1" s="4"/>
      <c r="K1" s="4"/>
      <c r="L1" s="3"/>
    </row>
    <row r="2" spans="1:18" x14ac:dyDescent="0.3">
      <c r="A2" s="4"/>
      <c r="B2" s="4"/>
      <c r="C2" s="4"/>
      <c r="D2" s="4"/>
      <c r="E2" s="4"/>
      <c r="F2" s="4"/>
      <c r="G2" s="4"/>
      <c r="H2" s="4"/>
      <c r="I2" s="4"/>
      <c r="J2" s="4"/>
      <c r="K2" s="4"/>
      <c r="L2" s="3"/>
    </row>
    <row r="3" spans="1:18" x14ac:dyDescent="0.3">
      <c r="A3" s="8" t="s">
        <v>43</v>
      </c>
      <c r="B3" s="4"/>
      <c r="C3" s="4"/>
      <c r="D3" s="4"/>
      <c r="E3" s="4"/>
      <c r="F3" s="4"/>
      <c r="G3" s="4"/>
      <c r="H3" s="4"/>
      <c r="I3" s="4"/>
      <c r="J3" s="4"/>
      <c r="K3" s="4"/>
      <c r="L3" s="3"/>
    </row>
    <row r="4" spans="1:18" x14ac:dyDescent="0.3">
      <c r="A4" s="6"/>
      <c r="B4" s="6"/>
      <c r="C4" s="6"/>
      <c r="D4" s="6"/>
      <c r="E4" s="6"/>
      <c r="F4" s="6"/>
      <c r="G4" s="6"/>
      <c r="H4" s="6"/>
      <c r="I4" s="6"/>
      <c r="J4" s="6"/>
      <c r="K4" s="6"/>
      <c r="L4" s="6"/>
    </row>
    <row r="5" spans="1:18" x14ac:dyDescent="0.3">
      <c r="A5" s="5" t="s">
        <v>4</v>
      </c>
      <c r="B5" s="8" t="s">
        <v>46</v>
      </c>
      <c r="C5" s="4"/>
      <c r="D5" s="4"/>
      <c r="E5" s="4"/>
      <c r="F5" s="4"/>
      <c r="G5" s="4"/>
      <c r="H5" s="4"/>
      <c r="I5" s="4"/>
      <c r="J5" s="4"/>
      <c r="K5" s="4"/>
      <c r="L5" s="4"/>
      <c r="M5" s="7"/>
      <c r="N5" s="7"/>
      <c r="O5" s="7"/>
      <c r="P5" s="7"/>
      <c r="Q5" s="7"/>
      <c r="R5" s="7"/>
    </row>
    <row r="6" spans="1:18" x14ac:dyDescent="0.3">
      <c r="A6" s="6"/>
      <c r="B6" s="6"/>
      <c r="C6" s="6"/>
      <c r="D6" s="6"/>
      <c r="E6" s="6"/>
      <c r="F6" s="6"/>
      <c r="G6" s="6"/>
      <c r="H6" s="6"/>
      <c r="I6" s="6"/>
      <c r="J6" s="6"/>
      <c r="K6" s="6"/>
      <c r="L6" s="6"/>
      <c r="M6" s="6"/>
    </row>
    <row r="7" spans="1:18" x14ac:dyDescent="0.3">
      <c r="A7" s="6" t="s">
        <v>1</v>
      </c>
      <c r="B7" s="6"/>
      <c r="C7" s="6"/>
      <c r="D7" s="6"/>
      <c r="E7" s="6"/>
      <c r="F7" s="6"/>
      <c r="G7" s="6"/>
      <c r="H7" s="6"/>
      <c r="I7" s="6"/>
      <c r="J7" s="6"/>
      <c r="K7" s="6"/>
      <c r="L7" s="6"/>
      <c r="M7" s="6"/>
      <c r="N7" s="7"/>
    </row>
    <row r="8" spans="1:18" x14ac:dyDescent="0.3">
      <c r="A8" s="6"/>
      <c r="B8" s="6"/>
      <c r="C8" s="6"/>
      <c r="D8" s="6"/>
      <c r="E8" s="6"/>
      <c r="F8" s="6"/>
      <c r="G8" s="6"/>
      <c r="H8" s="6"/>
      <c r="I8" s="6"/>
      <c r="J8" s="6"/>
      <c r="K8" s="6"/>
      <c r="L8" s="6"/>
      <c r="M8" s="6"/>
      <c r="N8" s="7"/>
    </row>
    <row r="9" spans="1:18" x14ac:dyDescent="0.3">
      <c r="A9" s="6" t="s">
        <v>292</v>
      </c>
      <c r="B9" s="6"/>
      <c r="C9" s="6"/>
      <c r="D9" s="6"/>
      <c r="E9" s="6"/>
      <c r="F9" s="6"/>
      <c r="G9" s="6"/>
      <c r="H9" s="6"/>
      <c r="I9" s="6"/>
      <c r="J9" s="6"/>
      <c r="K9" s="6"/>
      <c r="L9" s="6"/>
      <c r="M9" s="6"/>
      <c r="N9" s="7"/>
    </row>
    <row r="10" spans="1:18" x14ac:dyDescent="0.3">
      <c r="A10" s="1" t="s">
        <v>288</v>
      </c>
      <c r="M10" s="7"/>
      <c r="N10" s="7"/>
    </row>
    <row r="11" spans="1:18" x14ac:dyDescent="0.3">
      <c r="A11" s="1" t="s">
        <v>289</v>
      </c>
      <c r="M11" s="7"/>
      <c r="N11" s="7"/>
    </row>
    <row r="12" spans="1:18" x14ac:dyDescent="0.3">
      <c r="A12" s="1" t="s">
        <v>290</v>
      </c>
      <c r="M12" s="7"/>
      <c r="N12" s="7"/>
    </row>
    <row r="13" spans="1:18" x14ac:dyDescent="0.3">
      <c r="A13" s="1" t="s">
        <v>291</v>
      </c>
      <c r="M13" s="7"/>
      <c r="N13" s="7"/>
    </row>
    <row r="14" spans="1:18" x14ac:dyDescent="0.3">
      <c r="M14" s="7"/>
      <c r="N14" s="7"/>
    </row>
    <row r="15" spans="1:18" x14ac:dyDescent="0.3">
      <c r="A15" s="8" t="s">
        <v>12</v>
      </c>
      <c r="B15" s="8"/>
      <c r="C15" s="8"/>
      <c r="D15" s="8"/>
      <c r="E15" s="8"/>
      <c r="F15" s="8"/>
      <c r="G15" s="12"/>
      <c r="H15" s="12"/>
      <c r="I15" s="12"/>
      <c r="J15" s="12"/>
      <c r="K15" s="12"/>
      <c r="L15" s="12"/>
      <c r="M15" s="7"/>
      <c r="N15" s="7"/>
    </row>
    <row r="16" spans="1:18" ht="31.2" x14ac:dyDescent="0.3">
      <c r="A16" s="8"/>
      <c r="B16" s="30" t="s">
        <v>47</v>
      </c>
      <c r="C16" s="30" t="s">
        <v>34</v>
      </c>
      <c r="D16" s="196" t="s">
        <v>48</v>
      </c>
      <c r="E16" s="196"/>
      <c r="F16" s="8"/>
      <c r="G16" s="12"/>
      <c r="H16" s="12"/>
      <c r="I16" s="12"/>
      <c r="J16" s="12"/>
      <c r="K16" s="12"/>
      <c r="L16" s="12"/>
      <c r="M16" s="7"/>
      <c r="N16" s="7"/>
    </row>
    <row r="17" spans="1:14" x14ac:dyDescent="0.3">
      <c r="A17" s="8"/>
      <c r="B17" s="19">
        <v>2020</v>
      </c>
      <c r="C17" s="29">
        <v>8433</v>
      </c>
      <c r="D17" s="194">
        <v>1086216</v>
      </c>
      <c r="E17" s="194"/>
      <c r="F17" s="8"/>
      <c r="G17" s="12"/>
      <c r="H17" s="12"/>
      <c r="I17" s="12"/>
      <c r="J17" s="12"/>
      <c r="K17" s="12"/>
      <c r="L17" s="12"/>
      <c r="M17" s="7"/>
      <c r="N17" s="7"/>
    </row>
    <row r="18" spans="1:14" x14ac:dyDescent="0.3">
      <c r="A18" s="8"/>
      <c r="B18" s="19">
        <v>2021</v>
      </c>
      <c r="C18" s="29">
        <v>8637</v>
      </c>
      <c r="D18" s="194">
        <v>1123621</v>
      </c>
      <c r="E18" s="194"/>
      <c r="F18" s="8"/>
      <c r="G18" s="12"/>
      <c r="H18" s="12"/>
      <c r="I18" s="12"/>
      <c r="J18" s="12"/>
      <c r="K18" s="12"/>
      <c r="L18" s="12"/>
      <c r="M18" s="7"/>
      <c r="N18" s="7"/>
    </row>
    <row r="19" spans="1:14" x14ac:dyDescent="0.3">
      <c r="A19" s="8"/>
      <c r="B19" s="19">
        <v>2022</v>
      </c>
      <c r="C19" s="29">
        <v>8570</v>
      </c>
      <c r="D19" s="194">
        <v>1213024</v>
      </c>
      <c r="E19" s="194"/>
      <c r="F19" s="8"/>
      <c r="G19" s="12"/>
      <c r="H19" s="12"/>
      <c r="I19" s="12"/>
      <c r="J19" s="12"/>
      <c r="K19" s="12"/>
      <c r="L19" s="12"/>
      <c r="M19" s="7"/>
      <c r="N19" s="7"/>
    </row>
    <row r="20" spans="1:14" x14ac:dyDescent="0.3">
      <c r="A20" s="8"/>
      <c r="B20" s="19">
        <v>2023</v>
      </c>
      <c r="C20" s="29">
        <v>8728</v>
      </c>
      <c r="D20" s="194">
        <v>1281322</v>
      </c>
      <c r="E20" s="194"/>
      <c r="F20" s="8"/>
      <c r="G20" s="12"/>
      <c r="H20" s="12"/>
      <c r="I20" s="12"/>
      <c r="J20" s="12"/>
      <c r="K20" s="12"/>
      <c r="L20" s="12"/>
      <c r="M20" s="7"/>
      <c r="N20" s="7"/>
    </row>
    <row r="21" spans="1:14" x14ac:dyDescent="0.3">
      <c r="A21" s="8"/>
      <c r="B21" s="19">
        <v>2024</v>
      </c>
      <c r="C21" s="29">
        <v>8808</v>
      </c>
      <c r="D21" s="194">
        <v>1380962</v>
      </c>
      <c r="E21" s="194"/>
      <c r="F21" s="8"/>
      <c r="G21" s="12"/>
      <c r="H21" s="12"/>
      <c r="I21" s="12"/>
      <c r="J21" s="12"/>
      <c r="K21" s="12"/>
      <c r="L21" s="12"/>
      <c r="M21" s="7"/>
      <c r="N21" s="7"/>
    </row>
    <row r="22" spans="1:14" x14ac:dyDescent="0.3">
      <c r="A22" s="8"/>
      <c r="B22" s="8"/>
      <c r="C22" s="8"/>
      <c r="D22" s="8"/>
      <c r="E22" s="8"/>
      <c r="F22" s="8"/>
      <c r="G22" s="12"/>
      <c r="H22" s="12"/>
      <c r="I22" s="12"/>
      <c r="J22" s="12"/>
      <c r="K22" s="12"/>
      <c r="L22" s="12"/>
      <c r="M22" s="7"/>
      <c r="N22" s="7"/>
    </row>
    <row r="23" spans="1:14" x14ac:dyDescent="0.3">
      <c r="A23" s="8"/>
      <c r="B23" s="8" t="s">
        <v>56</v>
      </c>
      <c r="C23" s="8"/>
      <c r="D23" s="36">
        <v>5.5E-2</v>
      </c>
      <c r="E23" s="8"/>
      <c r="F23" s="8"/>
      <c r="G23" s="12"/>
      <c r="H23" s="12"/>
      <c r="I23" s="12"/>
      <c r="J23" s="12"/>
      <c r="K23" s="12"/>
      <c r="L23" s="12"/>
      <c r="M23" s="7"/>
      <c r="N23" s="7"/>
    </row>
    <row r="24" spans="1:14" x14ac:dyDescent="0.3">
      <c r="M24" s="7"/>
      <c r="N24" s="7"/>
    </row>
    <row r="25" spans="1:14" x14ac:dyDescent="0.3">
      <c r="A25" s="5" t="s">
        <v>5</v>
      </c>
      <c r="B25" s="8" t="s">
        <v>61</v>
      </c>
      <c r="C25" s="4"/>
      <c r="D25" s="4"/>
      <c r="E25" s="4"/>
      <c r="F25" s="4"/>
      <c r="G25" s="4"/>
      <c r="H25" s="4"/>
      <c r="I25" s="4"/>
      <c r="J25" s="4"/>
      <c r="K25" s="4"/>
      <c r="L25" s="4"/>
    </row>
    <row r="26" spans="1:14" x14ac:dyDescent="0.3">
      <c r="A26" s="6"/>
      <c r="B26" s="6"/>
      <c r="C26" s="6"/>
      <c r="D26" s="6"/>
      <c r="E26" s="6"/>
      <c r="F26" s="6"/>
      <c r="G26" s="6"/>
      <c r="H26" s="6"/>
      <c r="I26" s="6"/>
      <c r="J26" s="6"/>
      <c r="K26" s="6"/>
      <c r="L26" s="6"/>
    </row>
    <row r="27" spans="1:14" x14ac:dyDescent="0.3">
      <c r="A27" s="6" t="s">
        <v>1</v>
      </c>
      <c r="B27" s="6"/>
      <c r="C27" s="6"/>
      <c r="D27" s="6"/>
      <c r="E27" s="6"/>
      <c r="F27" s="6"/>
      <c r="G27" s="6"/>
      <c r="H27" s="6"/>
      <c r="I27" s="6"/>
      <c r="J27" s="6"/>
      <c r="K27" s="6"/>
      <c r="L27" s="6"/>
    </row>
    <row r="28" spans="1:14" x14ac:dyDescent="0.3">
      <c r="A28" s="122"/>
      <c r="B28"/>
      <c r="C28" s="120"/>
      <c r="D28" s="121"/>
      <c r="E28" s="121"/>
      <c r="F28"/>
      <c r="G28" s="6"/>
      <c r="H28" s="6"/>
      <c r="I28" s="6"/>
      <c r="J28" s="6"/>
      <c r="K28" s="6"/>
      <c r="L28" s="6"/>
    </row>
    <row r="29" spans="1:14" ht="31.2" x14ac:dyDescent="0.3">
      <c r="B29" s="102" t="s">
        <v>47</v>
      </c>
      <c r="C29" s="102" t="s">
        <v>293</v>
      </c>
      <c r="D29" s="102" t="s">
        <v>294</v>
      </c>
      <c r="E29" s="102" t="s">
        <v>295</v>
      </c>
      <c r="F29" s="6"/>
      <c r="G29" s="6"/>
      <c r="H29" s="6"/>
      <c r="I29" s="6"/>
      <c r="J29" s="6"/>
      <c r="K29" s="6"/>
      <c r="L29" s="6"/>
    </row>
    <row r="30" spans="1:14" x14ac:dyDescent="0.3">
      <c r="B30" s="98">
        <f>B31-1</f>
        <v>2020</v>
      </c>
      <c r="C30" s="132">
        <f>D17/C17</f>
        <v>128.80540732835291</v>
      </c>
      <c r="D30" s="133">
        <f>D31*(1+$D$23)</f>
        <v>1.2388246506249998</v>
      </c>
      <c r="E30" s="132">
        <f>D30*C30</f>
        <v>159.5673137321576</v>
      </c>
      <c r="F30" s="6"/>
      <c r="G30" s="6"/>
      <c r="H30" s="6"/>
      <c r="I30" s="6"/>
      <c r="J30" s="6"/>
      <c r="K30" s="6"/>
      <c r="L30" s="6"/>
    </row>
    <row r="31" spans="1:14" x14ac:dyDescent="0.3">
      <c r="B31" s="98">
        <f>B32-1</f>
        <v>2021</v>
      </c>
      <c r="C31" s="132">
        <f>D18/C18</f>
        <v>130.09389834433253</v>
      </c>
      <c r="D31" s="133">
        <f t="shared" ref="D31:D33" si="0">D32*(1+$D$23)</f>
        <v>1.1742413749999998</v>
      </c>
      <c r="E31" s="132">
        <f>D31*C31</f>
        <v>152.76163807095924</v>
      </c>
      <c r="F31" s="6"/>
      <c r="G31" s="6"/>
      <c r="H31" s="6"/>
      <c r="I31" s="6"/>
      <c r="J31" s="6"/>
      <c r="K31" s="6"/>
      <c r="L31" s="6"/>
    </row>
    <row r="32" spans="1:14" x14ac:dyDescent="0.3">
      <c r="B32" s="98">
        <f>B33-1</f>
        <v>2022</v>
      </c>
      <c r="C32" s="132">
        <f>D19/C19</f>
        <v>141.54305717619604</v>
      </c>
      <c r="D32" s="133">
        <f t="shared" si="0"/>
        <v>1.1130249999999999</v>
      </c>
      <c r="E32" s="132">
        <f t="shared" ref="E32:E34" si="1">D32*C32</f>
        <v>157.54096121353558</v>
      </c>
      <c r="F32" s="6"/>
      <c r="G32" s="6"/>
      <c r="H32" s="6"/>
      <c r="I32" s="6"/>
      <c r="J32" s="6"/>
      <c r="K32" s="6"/>
      <c r="L32" s="6"/>
    </row>
    <row r="33" spans="1:13" x14ac:dyDescent="0.3">
      <c r="B33" s="98">
        <f>B34-1</f>
        <v>2023</v>
      </c>
      <c r="C33" s="132">
        <f>D20/C20</f>
        <v>146.80591200733272</v>
      </c>
      <c r="D33" s="133">
        <f t="shared" si="0"/>
        <v>1.0549999999999999</v>
      </c>
      <c r="E33" s="132">
        <f t="shared" si="1"/>
        <v>154.880237167736</v>
      </c>
      <c r="F33" s="6"/>
      <c r="G33" s="6"/>
      <c r="H33" s="6"/>
      <c r="I33" s="6"/>
      <c r="J33" s="6"/>
      <c r="K33" s="6"/>
      <c r="L33" s="6"/>
    </row>
    <row r="34" spans="1:13" x14ac:dyDescent="0.3">
      <c r="B34" s="99">
        <v>2024</v>
      </c>
      <c r="C34" s="135">
        <f>D21/C21</f>
        <v>156.78496821071752</v>
      </c>
      <c r="D34" s="136">
        <v>1</v>
      </c>
      <c r="E34" s="135">
        <f t="shared" si="1"/>
        <v>156.78496821071752</v>
      </c>
      <c r="F34" s="6"/>
      <c r="G34" s="6"/>
      <c r="H34" s="6"/>
      <c r="I34" s="6"/>
      <c r="J34" s="6"/>
      <c r="K34" s="6"/>
      <c r="L34" s="6"/>
    </row>
    <row r="35" spans="1:13" x14ac:dyDescent="0.3">
      <c r="A35"/>
      <c r="B35" s="1" t="str">
        <f>"Average ("&amp;B30&amp;"-"&amp;B33&amp;")"</f>
        <v>Average (2020-2023)</v>
      </c>
      <c r="D35"/>
      <c r="E35" s="132">
        <f>AVERAGE(E30:E33)</f>
        <v>156.1875375460971</v>
      </c>
      <c r="G35" s="6"/>
      <c r="H35" s="6"/>
      <c r="I35" s="6"/>
      <c r="J35" s="6"/>
      <c r="K35" s="6"/>
      <c r="L35" s="6"/>
    </row>
    <row r="36" spans="1:13" x14ac:dyDescent="0.3">
      <c r="A36"/>
      <c r="D36"/>
      <c r="E36" s="6"/>
      <c r="G36" s="6"/>
      <c r="H36" s="6"/>
      <c r="I36" s="6"/>
      <c r="J36" s="6"/>
      <c r="K36" s="6"/>
      <c r="L36" s="6"/>
    </row>
    <row r="37" spans="1:13" x14ac:dyDescent="0.3">
      <c r="A37"/>
      <c r="B37" s="1" t="s">
        <v>297</v>
      </c>
      <c r="D37"/>
      <c r="E37" s="134">
        <f>E35*C21</f>
        <v>1375699.8307060234</v>
      </c>
      <c r="G37" s="6"/>
      <c r="H37" s="6"/>
      <c r="I37" s="6"/>
      <c r="J37" s="6"/>
      <c r="K37" s="6"/>
      <c r="L37" s="6"/>
    </row>
    <row r="38" spans="1:13" x14ac:dyDescent="0.3">
      <c r="M38" s="6"/>
    </row>
    <row r="39" spans="1:13" x14ac:dyDescent="0.3">
      <c r="A39" s="13" t="s">
        <v>51</v>
      </c>
      <c r="B39" s="8"/>
      <c r="C39" s="8"/>
      <c r="D39" s="8"/>
      <c r="E39" s="8"/>
      <c r="F39" s="8"/>
      <c r="G39" s="8"/>
      <c r="H39" s="8"/>
      <c r="I39" s="12"/>
      <c r="J39" s="12"/>
      <c r="K39" s="12"/>
      <c r="L39" s="12"/>
      <c r="M39" s="6"/>
    </row>
    <row r="40" spans="1:13" x14ac:dyDescent="0.3">
      <c r="A40" s="8"/>
      <c r="B40" s="20" t="s">
        <v>57</v>
      </c>
      <c r="C40" s="8"/>
      <c r="D40" s="8"/>
      <c r="E40" s="8"/>
      <c r="F40" s="37">
        <v>3318135</v>
      </c>
      <c r="G40" s="8"/>
      <c r="H40" s="8"/>
      <c r="I40" s="12"/>
      <c r="J40" s="12"/>
      <c r="K40" s="12"/>
      <c r="L40" s="12"/>
      <c r="M40" s="6"/>
    </row>
    <row r="41" spans="1:13" x14ac:dyDescent="0.3">
      <c r="A41" s="8"/>
      <c r="B41" s="20" t="s">
        <v>58</v>
      </c>
      <c r="C41" s="8"/>
      <c r="D41" s="8"/>
      <c r="E41" s="8"/>
      <c r="F41" s="37">
        <v>13809620</v>
      </c>
      <c r="G41" s="8"/>
      <c r="H41" s="8"/>
      <c r="I41" s="12"/>
      <c r="J41" s="12"/>
      <c r="K41" s="12"/>
      <c r="L41" s="12"/>
      <c r="M41" s="6"/>
    </row>
    <row r="42" spans="1:13" x14ac:dyDescent="0.3">
      <c r="A42" s="8"/>
      <c r="B42" s="20" t="s">
        <v>59</v>
      </c>
      <c r="C42" s="8"/>
      <c r="D42" s="8"/>
      <c r="E42" s="8"/>
      <c r="F42" s="38">
        <v>9.5000000000000001E-2</v>
      </c>
      <c r="G42" s="8"/>
      <c r="H42" s="8"/>
      <c r="I42" s="12"/>
      <c r="J42" s="12"/>
      <c r="K42" s="12"/>
      <c r="L42" s="12"/>
      <c r="M42" s="6"/>
    </row>
    <row r="43" spans="1:13" x14ac:dyDescent="0.3">
      <c r="A43" s="8"/>
      <c r="B43" s="20" t="s">
        <v>60</v>
      </c>
      <c r="C43" s="8"/>
      <c r="D43" s="8"/>
      <c r="E43" s="8"/>
      <c r="F43" s="8"/>
      <c r="G43" s="8"/>
      <c r="H43" s="8"/>
      <c r="I43" s="12"/>
      <c r="J43" s="39">
        <v>1.02</v>
      </c>
      <c r="K43" s="12"/>
      <c r="L43" s="12"/>
      <c r="M43" s="6"/>
    </row>
    <row r="44" spans="1:13" x14ac:dyDescent="0.3">
      <c r="A44" s="8"/>
      <c r="B44" s="20" t="s">
        <v>52</v>
      </c>
      <c r="C44" s="8"/>
      <c r="D44" s="8"/>
      <c r="E44" s="8"/>
      <c r="F44" s="8"/>
      <c r="G44" s="8"/>
      <c r="H44" s="8"/>
      <c r="I44" s="12"/>
      <c r="J44" s="12"/>
      <c r="K44" s="12"/>
      <c r="L44" s="12"/>
      <c r="M44" s="6"/>
    </row>
    <row r="46" spans="1:13" x14ac:dyDescent="0.3">
      <c r="A46" s="5" t="s">
        <v>0</v>
      </c>
      <c r="B46" s="191" t="s">
        <v>53</v>
      </c>
      <c r="C46" s="191"/>
      <c r="D46" s="191"/>
      <c r="E46" s="191"/>
      <c r="F46" s="191"/>
      <c r="G46" s="191"/>
      <c r="H46" s="191"/>
      <c r="I46" s="191"/>
      <c r="J46" s="191"/>
      <c r="K46" s="191"/>
      <c r="L46" s="4"/>
    </row>
    <row r="47" spans="1:13" x14ac:dyDescent="0.3">
      <c r="A47" s="5"/>
      <c r="B47" s="191"/>
      <c r="C47" s="191"/>
      <c r="D47" s="191"/>
      <c r="E47" s="191"/>
      <c r="F47" s="191"/>
      <c r="G47" s="191"/>
      <c r="H47" s="191"/>
      <c r="I47" s="191"/>
      <c r="J47" s="191"/>
      <c r="K47" s="191"/>
      <c r="L47" s="4"/>
    </row>
    <row r="48" spans="1:13" x14ac:dyDescent="0.3">
      <c r="A48" s="6"/>
      <c r="B48" s="6"/>
      <c r="C48" s="6"/>
      <c r="D48" s="6"/>
      <c r="E48" s="6"/>
      <c r="F48" s="6"/>
      <c r="G48" s="6"/>
      <c r="H48" s="6"/>
      <c r="I48" s="6"/>
      <c r="J48" s="6"/>
      <c r="K48" s="6"/>
      <c r="L48" s="6"/>
    </row>
    <row r="49" spans="1:14" x14ac:dyDescent="0.3">
      <c r="A49" s="6" t="s">
        <v>1</v>
      </c>
      <c r="B49" s="6"/>
      <c r="C49" s="6"/>
      <c r="D49" s="6"/>
      <c r="E49" s="6"/>
      <c r="F49" s="6"/>
      <c r="G49" s="6"/>
      <c r="H49" s="6"/>
      <c r="I49" s="6"/>
      <c r="J49" s="6"/>
      <c r="K49" s="6"/>
      <c r="L49" s="6"/>
    </row>
    <row r="50" spans="1:14" x14ac:dyDescent="0.3">
      <c r="A50" s="122"/>
      <c r="B50"/>
      <c r="C50"/>
      <c r="D50" s="121"/>
      <c r="E50" s="121"/>
      <c r="F50" s="121"/>
      <c r="G50" s="6"/>
      <c r="H50" s="6"/>
      <c r="I50" s="6"/>
      <c r="J50" s="6"/>
      <c r="K50" s="6"/>
      <c r="L50" s="6"/>
    </row>
    <row r="51" spans="1:14" x14ac:dyDescent="0.3">
      <c r="B51" s="119" t="s">
        <v>298</v>
      </c>
      <c r="C51" s="123"/>
      <c r="D51"/>
      <c r="F51" s="124">
        <f>E37/F41</f>
        <v>9.9618949015687866E-2</v>
      </c>
      <c r="G51" s="6"/>
      <c r="H51" s="6"/>
      <c r="I51" s="6"/>
      <c r="J51" s="6"/>
      <c r="K51" s="6"/>
      <c r="L51" s="6"/>
    </row>
    <row r="52" spans="1:14" x14ac:dyDescent="0.3">
      <c r="B52" s="119" t="s">
        <v>299</v>
      </c>
      <c r="C52" s="123"/>
      <c r="D52"/>
      <c r="F52" s="124">
        <f>1-1/J43</f>
        <v>1.9607843137254943E-2</v>
      </c>
      <c r="G52" s="6"/>
      <c r="H52" s="6"/>
      <c r="I52" s="6"/>
      <c r="J52" s="6"/>
      <c r="K52" s="6"/>
      <c r="L52" s="6"/>
    </row>
    <row r="53" spans="1:14" x14ac:dyDescent="0.3">
      <c r="B53" s="119" t="s">
        <v>300</v>
      </c>
      <c r="D53"/>
      <c r="F53" s="125">
        <f>F42+F51*(1-1/J43)</f>
        <v>9.6953312725797811E-2</v>
      </c>
      <c r="G53" s="6"/>
      <c r="H53" s="6"/>
      <c r="I53" s="6"/>
      <c r="J53" s="6"/>
      <c r="K53" s="6"/>
      <c r="L53" s="6"/>
    </row>
    <row r="54" spans="1:14" x14ac:dyDescent="0.3">
      <c r="M54" s="6"/>
      <c r="N54" s="6"/>
    </row>
    <row r="55" spans="1:14" x14ac:dyDescent="0.3">
      <c r="A55" s="5" t="s">
        <v>2</v>
      </c>
      <c r="B55" s="191" t="s">
        <v>54</v>
      </c>
      <c r="C55" s="191"/>
      <c r="D55" s="191"/>
      <c r="E55" s="191"/>
      <c r="F55" s="191"/>
      <c r="G55" s="191"/>
      <c r="H55" s="191"/>
      <c r="I55" s="191"/>
      <c r="J55" s="191"/>
      <c r="K55" s="191"/>
      <c r="L55" s="4"/>
    </row>
    <row r="56" spans="1:14" x14ac:dyDescent="0.3">
      <c r="A56" s="5"/>
      <c r="B56" s="191"/>
      <c r="C56" s="191"/>
      <c r="D56" s="191"/>
      <c r="E56" s="191"/>
      <c r="F56" s="191"/>
      <c r="G56" s="191"/>
      <c r="H56" s="191"/>
      <c r="I56" s="191"/>
      <c r="J56" s="191"/>
      <c r="K56" s="191"/>
      <c r="L56" s="4"/>
    </row>
    <row r="57" spans="1:14" x14ac:dyDescent="0.3">
      <c r="A57" s="6"/>
      <c r="B57" s="6"/>
      <c r="C57" s="6"/>
      <c r="D57" s="6"/>
      <c r="E57" s="6"/>
      <c r="F57" s="6"/>
      <c r="G57" s="6"/>
      <c r="H57" s="6"/>
      <c r="I57" s="6"/>
      <c r="J57" s="6"/>
      <c r="K57" s="6"/>
      <c r="L57" s="6"/>
    </row>
    <row r="58" spans="1:14" x14ac:dyDescent="0.3">
      <c r="A58" s="6" t="s">
        <v>1</v>
      </c>
      <c r="B58" s="6"/>
      <c r="C58" s="6"/>
      <c r="D58" s="6"/>
      <c r="E58" s="6"/>
      <c r="F58" s="6"/>
      <c r="G58" s="6"/>
      <c r="H58" s="6"/>
      <c r="I58" s="6"/>
      <c r="J58" s="6"/>
      <c r="K58" s="6"/>
      <c r="L58" s="6"/>
    </row>
    <row r="59" spans="1:14" x14ac:dyDescent="0.3">
      <c r="A59" s="6"/>
      <c r="B59" s="6"/>
      <c r="C59" s="6"/>
      <c r="D59" s="6"/>
      <c r="E59" s="6"/>
      <c r="F59" s="6"/>
      <c r="G59" s="6"/>
      <c r="H59" s="6"/>
      <c r="I59" s="6"/>
      <c r="J59" s="6"/>
      <c r="K59" s="6"/>
      <c r="L59" s="6"/>
    </row>
    <row r="60" spans="1:14" x14ac:dyDescent="0.3">
      <c r="B60" s="119" t="s">
        <v>301</v>
      </c>
      <c r="C60" s="126"/>
      <c r="D60" s="126"/>
      <c r="E60" s="127"/>
      <c r="F60" s="128">
        <f>F42</f>
        <v>9.5000000000000001E-2</v>
      </c>
      <c r="G60" s="6"/>
      <c r="H60" s="6"/>
      <c r="I60" s="6"/>
      <c r="J60" s="6"/>
      <c r="K60" s="6"/>
      <c r="L60" s="6"/>
    </row>
    <row r="61" spans="1:14" x14ac:dyDescent="0.3">
      <c r="B61" s="119" t="s">
        <v>302</v>
      </c>
      <c r="C61" s="126"/>
      <c r="D61" s="126"/>
      <c r="E61" s="127"/>
      <c r="F61" s="128">
        <f>F51</f>
        <v>9.9618949015687866E-2</v>
      </c>
      <c r="G61" s="6"/>
      <c r="H61" s="6"/>
      <c r="I61" s="6"/>
      <c r="J61" s="6"/>
      <c r="K61" s="6"/>
      <c r="L61" s="6"/>
    </row>
    <row r="62" spans="1:14" x14ac:dyDescent="0.3">
      <c r="B62" s="119" t="s">
        <v>303</v>
      </c>
      <c r="C62" s="126"/>
      <c r="D62" s="126"/>
      <c r="E62" s="127"/>
      <c r="F62" s="128">
        <f>1/J43</f>
        <v>0.98039215686274506</v>
      </c>
      <c r="G62" s="6"/>
      <c r="H62" s="6"/>
      <c r="I62" s="6"/>
      <c r="J62" s="6"/>
      <c r="K62" s="6"/>
      <c r="L62" s="6"/>
    </row>
    <row r="63" spans="1:14" x14ac:dyDescent="0.3">
      <c r="B63" s="119" t="s">
        <v>304</v>
      </c>
      <c r="C63" s="126"/>
      <c r="D63" s="126"/>
      <c r="E63" s="127"/>
      <c r="F63" s="128">
        <f>F61*F62</f>
        <v>9.7665636289890057E-2</v>
      </c>
      <c r="G63" s="6"/>
      <c r="H63" s="6"/>
      <c r="I63" s="6"/>
      <c r="J63" s="6"/>
      <c r="K63" s="6"/>
      <c r="L63" s="6"/>
    </row>
    <row r="64" spans="1:14" x14ac:dyDescent="0.3">
      <c r="B64" s="119" t="s">
        <v>305</v>
      </c>
      <c r="C64" s="126"/>
      <c r="D64" s="126"/>
      <c r="E64" s="127"/>
      <c r="F64" s="128">
        <f>F60-F63</f>
        <v>-2.6656362898900554E-3</v>
      </c>
      <c r="G64" s="6"/>
      <c r="H64" s="6"/>
      <c r="I64" s="6"/>
      <c r="J64" s="6"/>
      <c r="K64" s="6"/>
      <c r="L64" s="6"/>
    </row>
    <row r="65" spans="1:12" x14ac:dyDescent="0.3">
      <c r="B65" s="119" t="s">
        <v>306</v>
      </c>
      <c r="C65" s="126"/>
      <c r="D65" s="126"/>
      <c r="E65" s="127"/>
      <c r="F65" s="129">
        <f>F64/F61</f>
        <v>-2.6758325762604406E-2</v>
      </c>
      <c r="G65" s="6"/>
      <c r="H65" s="6"/>
      <c r="I65" s="6"/>
      <c r="J65" s="6"/>
      <c r="K65" s="6"/>
      <c r="L65" s="6"/>
    </row>
    <row r="67" spans="1:12" x14ac:dyDescent="0.3">
      <c r="A67" s="1" t="s">
        <v>296</v>
      </c>
    </row>
    <row r="69" spans="1:12" x14ac:dyDescent="0.3">
      <c r="A69" s="5" t="s">
        <v>3</v>
      </c>
      <c r="B69" s="8" t="s">
        <v>55</v>
      </c>
      <c r="C69" s="4"/>
      <c r="D69" s="4"/>
      <c r="E69" s="4"/>
      <c r="F69" s="4"/>
      <c r="G69" s="4"/>
      <c r="H69" s="4"/>
      <c r="I69" s="4"/>
      <c r="J69" s="4"/>
      <c r="K69" s="4"/>
      <c r="L69" s="4"/>
    </row>
    <row r="70" spans="1:12" x14ac:dyDescent="0.3">
      <c r="A70" s="6"/>
      <c r="B70" s="6"/>
      <c r="C70" s="6"/>
      <c r="D70" s="6"/>
      <c r="E70" s="6"/>
      <c r="F70" s="6"/>
      <c r="G70" s="6"/>
      <c r="H70" s="6"/>
      <c r="I70" s="6"/>
      <c r="J70" s="6"/>
      <c r="K70" s="6"/>
      <c r="L70" s="6"/>
    </row>
    <row r="71" spans="1:12" x14ac:dyDescent="0.3">
      <c r="A71" s="6" t="s">
        <v>1</v>
      </c>
      <c r="B71" s="6"/>
      <c r="C71" s="6"/>
      <c r="D71" s="6"/>
      <c r="E71" s="6"/>
      <c r="F71" s="6"/>
      <c r="G71" s="6"/>
      <c r="H71" s="6"/>
      <c r="I71" s="6"/>
      <c r="J71" s="6"/>
      <c r="K71" s="6"/>
      <c r="L71" s="6"/>
    </row>
    <row r="72" spans="1:12" x14ac:dyDescent="0.3">
      <c r="A72" s="6"/>
      <c r="B72" s="6"/>
      <c r="C72" s="6"/>
      <c r="D72" s="6"/>
      <c r="E72" s="6"/>
      <c r="F72" s="6"/>
      <c r="G72" s="6"/>
      <c r="H72" s="6"/>
      <c r="I72" s="6"/>
      <c r="J72" s="6"/>
      <c r="K72" s="6"/>
      <c r="L72" s="6"/>
    </row>
    <row r="73" spans="1:12" x14ac:dyDescent="0.3">
      <c r="B73" s="119" t="s">
        <v>307</v>
      </c>
      <c r="C73"/>
      <c r="D73"/>
      <c r="F73" s="130">
        <f>F41</f>
        <v>13809620</v>
      </c>
      <c r="G73" s="6"/>
      <c r="H73" s="6"/>
      <c r="I73" s="6"/>
      <c r="J73" s="6"/>
      <c r="K73" s="6"/>
      <c r="L73" s="6"/>
    </row>
    <row r="74" spans="1:12" x14ac:dyDescent="0.3">
      <c r="B74" s="119" t="s">
        <v>308</v>
      </c>
      <c r="C74"/>
      <c r="D74"/>
      <c r="F74" s="131">
        <f>F53</f>
        <v>9.6953312725797811E-2</v>
      </c>
    </row>
    <row r="75" spans="1:12" x14ac:dyDescent="0.3">
      <c r="B75" s="119" t="s">
        <v>309</v>
      </c>
      <c r="C75"/>
      <c r="D75"/>
      <c r="F75" s="130">
        <f>ROUND(F73*F74,0)</f>
        <v>1338888</v>
      </c>
    </row>
    <row r="76" spans="1:12" x14ac:dyDescent="0.3">
      <c r="B76" s="119" t="s">
        <v>310</v>
      </c>
      <c r="C76"/>
      <c r="D76"/>
      <c r="F76" s="130">
        <f>ROUND(F40*F42,0)</f>
        <v>315223</v>
      </c>
    </row>
    <row r="77" spans="1:12" x14ac:dyDescent="0.3">
      <c r="B77" s="119" t="s">
        <v>311</v>
      </c>
      <c r="C77"/>
      <c r="D77"/>
      <c r="F77" s="130">
        <f>F75-F76</f>
        <v>1023665</v>
      </c>
    </row>
  </sheetData>
  <mergeCells count="8">
    <mergeCell ref="B46:K47"/>
    <mergeCell ref="B55:K56"/>
    <mergeCell ref="D16:E16"/>
    <mergeCell ref="D17:E17"/>
    <mergeCell ref="D18:E18"/>
    <mergeCell ref="D19:E19"/>
    <mergeCell ref="D20:E20"/>
    <mergeCell ref="D21:E2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E96D1-2784-456D-997B-F37353016196}">
  <dimension ref="A1:AC101"/>
  <sheetViews>
    <sheetView zoomScaleNormal="100" workbookViewId="0"/>
  </sheetViews>
  <sheetFormatPr defaultRowHeight="15.6" x14ac:dyDescent="0.3"/>
  <cols>
    <col min="1" max="1" width="12.77734375" style="1" customWidth="1"/>
    <col min="2" max="2" width="8.88671875" style="1" customWidth="1"/>
    <col min="3" max="4" width="17.21875" style="1" customWidth="1"/>
    <col min="5" max="5" width="14.77734375" style="1" customWidth="1"/>
    <col min="6" max="12" width="10.77734375" style="1" customWidth="1"/>
    <col min="13" max="13" width="8.88671875" style="1"/>
    <col min="14" max="29" width="4" style="1" customWidth="1"/>
    <col min="30" max="16384" width="8.88671875" style="1"/>
  </cols>
  <sheetData>
    <row r="1" spans="1:12" ht="17.399999999999999" x14ac:dyDescent="0.3">
      <c r="A1" s="2" t="s">
        <v>62</v>
      </c>
      <c r="B1" s="4"/>
      <c r="C1" s="8" t="s">
        <v>63</v>
      </c>
      <c r="D1" s="4"/>
      <c r="E1" s="4"/>
      <c r="F1" s="4"/>
      <c r="G1" s="4"/>
      <c r="H1" s="4"/>
      <c r="I1" s="4"/>
      <c r="J1" s="4"/>
      <c r="K1" s="4"/>
      <c r="L1" s="3"/>
    </row>
    <row r="2" spans="1:12" x14ac:dyDescent="0.3">
      <c r="A2" s="4"/>
      <c r="B2" s="4"/>
      <c r="C2" s="4"/>
      <c r="D2" s="4"/>
      <c r="E2" s="4"/>
      <c r="F2" s="4"/>
      <c r="G2" s="4"/>
      <c r="H2" s="4"/>
      <c r="I2" s="4"/>
      <c r="J2" s="4"/>
      <c r="K2" s="4"/>
      <c r="L2" s="3"/>
    </row>
    <row r="3" spans="1:12" x14ac:dyDescent="0.3">
      <c r="A3" s="8" t="s">
        <v>12</v>
      </c>
      <c r="B3" s="8"/>
      <c r="C3" s="8"/>
      <c r="D3" s="8"/>
      <c r="E3" s="8"/>
      <c r="F3" s="8"/>
      <c r="G3" s="8"/>
      <c r="H3" s="8"/>
      <c r="I3" s="8"/>
      <c r="J3" s="8"/>
      <c r="K3" s="8"/>
      <c r="L3" s="8"/>
    </row>
    <row r="4" spans="1:12" x14ac:dyDescent="0.3">
      <c r="A4" s="21"/>
      <c r="B4" s="8"/>
      <c r="C4" s="8"/>
      <c r="D4" s="8"/>
      <c r="E4" s="8"/>
      <c r="F4" s="8"/>
      <c r="G4" s="8"/>
      <c r="H4" s="8"/>
      <c r="I4" s="8"/>
      <c r="J4" s="8"/>
      <c r="K4" s="8"/>
      <c r="L4" s="8"/>
    </row>
    <row r="5" spans="1:12" x14ac:dyDescent="0.3">
      <c r="A5" s="21"/>
      <c r="B5" s="28" t="s">
        <v>64</v>
      </c>
      <c r="C5" s="8"/>
      <c r="D5" s="8"/>
      <c r="E5" s="8"/>
      <c r="F5" s="8"/>
      <c r="G5" s="8"/>
      <c r="H5" s="8"/>
      <c r="I5" s="8"/>
      <c r="J5" s="8"/>
      <c r="K5" s="8"/>
      <c r="L5" s="8"/>
    </row>
    <row r="6" spans="1:12" x14ac:dyDescent="0.3">
      <c r="A6" s="21"/>
      <c r="B6" s="33" t="s">
        <v>223</v>
      </c>
      <c r="C6" s="40"/>
      <c r="D6" s="8"/>
      <c r="E6" s="8"/>
      <c r="F6" s="8"/>
      <c r="G6" s="8"/>
      <c r="H6" s="8"/>
      <c r="I6" s="8"/>
      <c r="J6" s="8"/>
      <c r="K6" s="8"/>
      <c r="L6" s="8"/>
    </row>
    <row r="7" spans="1:12" x14ac:dyDescent="0.3">
      <c r="A7" s="21"/>
      <c r="B7" s="33" t="s">
        <v>72</v>
      </c>
      <c r="C7" s="40"/>
      <c r="D7" s="8"/>
      <c r="E7" s="37">
        <v>4200</v>
      </c>
      <c r="F7" s="8" t="s">
        <v>224</v>
      </c>
      <c r="G7" s="8"/>
      <c r="H7" s="8"/>
      <c r="I7" s="8"/>
      <c r="J7" s="8"/>
      <c r="K7" s="8"/>
      <c r="L7" s="8"/>
    </row>
    <row r="8" spans="1:12" x14ac:dyDescent="0.3">
      <c r="A8" s="21"/>
      <c r="B8" s="33" t="s">
        <v>225</v>
      </c>
      <c r="C8" s="40"/>
      <c r="D8" s="8"/>
      <c r="E8" s="8"/>
      <c r="F8" s="8"/>
      <c r="G8" s="8"/>
      <c r="H8" s="8"/>
      <c r="I8" s="8"/>
      <c r="J8" s="8"/>
      <c r="K8" s="8"/>
      <c r="L8" s="8"/>
    </row>
    <row r="9" spans="1:12" x14ac:dyDescent="0.3">
      <c r="A9" s="8"/>
      <c r="B9" s="33" t="s">
        <v>73</v>
      </c>
      <c r="C9" s="34">
        <v>0.9</v>
      </c>
      <c r="D9" s="8" t="s">
        <v>226</v>
      </c>
      <c r="E9" s="8"/>
      <c r="F9" s="8"/>
      <c r="G9" s="8"/>
      <c r="H9" s="8"/>
      <c r="I9" s="8"/>
      <c r="J9" s="8"/>
      <c r="K9" s="8"/>
      <c r="L9" s="8"/>
    </row>
    <row r="10" spans="1:12" x14ac:dyDescent="0.3">
      <c r="A10" s="8"/>
      <c r="B10" s="33" t="s">
        <v>71</v>
      </c>
      <c r="C10" s="40"/>
      <c r="D10" s="8"/>
      <c r="E10" s="8"/>
      <c r="F10" s="37">
        <v>1260000</v>
      </c>
      <c r="G10" s="8"/>
      <c r="H10" s="8"/>
      <c r="I10" s="8"/>
      <c r="J10" s="8"/>
      <c r="K10" s="8"/>
      <c r="L10" s="8"/>
    </row>
    <row r="11" spans="1:12" x14ac:dyDescent="0.3">
      <c r="A11" s="21"/>
      <c r="B11" s="28"/>
      <c r="C11" s="40"/>
      <c r="D11" s="8"/>
      <c r="E11" s="8"/>
      <c r="F11" s="8"/>
      <c r="G11" s="8"/>
      <c r="H11" s="8"/>
      <c r="I11" s="8"/>
      <c r="J11" s="8"/>
      <c r="K11" s="8"/>
      <c r="L11" s="8"/>
    </row>
    <row r="12" spans="1:12" x14ac:dyDescent="0.3">
      <c r="A12" s="8"/>
      <c r="B12" s="28" t="s">
        <v>65</v>
      </c>
      <c r="C12" s="8"/>
      <c r="D12" s="8"/>
      <c r="E12" s="8"/>
      <c r="F12" s="8"/>
      <c r="G12" s="8"/>
      <c r="H12" s="8"/>
      <c r="I12" s="8"/>
      <c r="J12" s="8"/>
      <c r="K12" s="8"/>
      <c r="L12" s="8"/>
    </row>
    <row r="13" spans="1:12" x14ac:dyDescent="0.3">
      <c r="A13" s="8"/>
      <c r="B13" s="33" t="s">
        <v>227</v>
      </c>
      <c r="C13" s="40"/>
      <c r="D13" s="8"/>
      <c r="E13" s="8"/>
      <c r="F13" s="8"/>
      <c r="G13" s="8"/>
      <c r="H13" s="8"/>
      <c r="I13" s="8"/>
      <c r="J13" s="8"/>
      <c r="K13" s="8"/>
      <c r="L13" s="8"/>
    </row>
    <row r="14" spans="1:12" x14ac:dyDescent="0.3">
      <c r="A14" s="8"/>
      <c r="B14" s="33" t="s">
        <v>74</v>
      </c>
      <c r="C14" s="37">
        <v>1560</v>
      </c>
      <c r="D14" s="8" t="s">
        <v>228</v>
      </c>
      <c r="E14" s="8"/>
      <c r="F14" s="8"/>
      <c r="G14" s="8"/>
      <c r="H14" s="8"/>
      <c r="I14" s="8"/>
      <c r="J14" s="8"/>
      <c r="K14" s="8"/>
      <c r="L14" s="8"/>
    </row>
    <row r="15" spans="1:12" x14ac:dyDescent="0.3">
      <c r="A15" s="8"/>
      <c r="B15" s="28"/>
      <c r="C15" s="40"/>
      <c r="D15" s="8"/>
      <c r="E15" s="8"/>
      <c r="F15" s="8"/>
      <c r="G15" s="8"/>
      <c r="H15" s="8"/>
      <c r="I15" s="8"/>
      <c r="J15" s="8"/>
      <c r="K15" s="8"/>
      <c r="L15" s="8"/>
    </row>
    <row r="16" spans="1:12" x14ac:dyDescent="0.3">
      <c r="A16" s="8"/>
      <c r="B16" s="28" t="s">
        <v>66</v>
      </c>
      <c r="C16" s="40"/>
      <c r="D16" s="8"/>
      <c r="E16" s="8"/>
      <c r="F16" s="8"/>
      <c r="G16" s="8"/>
      <c r="H16" s="8"/>
      <c r="I16" s="8"/>
      <c r="J16" s="8"/>
      <c r="K16" s="8"/>
      <c r="L16" s="8"/>
    </row>
    <row r="17" spans="1:29" ht="31.2" x14ac:dyDescent="0.3">
      <c r="A17" s="8"/>
      <c r="B17" s="8"/>
      <c r="C17" s="30" t="s">
        <v>67</v>
      </c>
      <c r="D17" s="30" t="s">
        <v>68</v>
      </c>
      <c r="E17" s="8"/>
      <c r="F17" s="8"/>
      <c r="G17" s="8"/>
      <c r="H17" s="8"/>
      <c r="I17" s="8"/>
      <c r="J17" s="8"/>
      <c r="K17" s="8"/>
      <c r="L17" s="8"/>
    </row>
    <row r="18" spans="1:29" x14ac:dyDescent="0.3">
      <c r="A18" s="8"/>
      <c r="B18" s="8"/>
      <c r="C18" s="43">
        <v>45108</v>
      </c>
      <c r="D18" s="42">
        <v>0.05</v>
      </c>
      <c r="E18" s="8"/>
      <c r="F18" s="8"/>
      <c r="G18" s="8"/>
      <c r="H18" s="8"/>
      <c r="I18" s="8"/>
      <c r="J18" s="8"/>
      <c r="K18" s="8"/>
      <c r="L18" s="8"/>
    </row>
    <row r="19" spans="1:29" x14ac:dyDescent="0.3">
      <c r="A19" s="8"/>
      <c r="B19" s="8"/>
      <c r="C19" s="43">
        <v>45474</v>
      </c>
      <c r="D19" s="42">
        <v>0.02</v>
      </c>
      <c r="E19" s="8"/>
      <c r="F19" s="8"/>
      <c r="G19" s="8"/>
      <c r="H19" s="8"/>
      <c r="I19" s="8"/>
      <c r="J19" s="8"/>
      <c r="K19" s="8"/>
      <c r="L19" s="8"/>
    </row>
    <row r="20" spans="1:29" x14ac:dyDescent="0.3">
      <c r="A20" s="8"/>
      <c r="B20" s="8"/>
      <c r="C20" s="41" t="s">
        <v>70</v>
      </c>
      <c r="D20" s="8"/>
      <c r="E20" s="8"/>
      <c r="F20" s="8"/>
      <c r="G20" s="8"/>
      <c r="H20" s="8"/>
      <c r="I20" s="8"/>
      <c r="J20" s="8"/>
      <c r="K20" s="8"/>
      <c r="L20" s="8"/>
    </row>
    <row r="21" spans="1:29" x14ac:dyDescent="0.3">
      <c r="A21" s="8"/>
      <c r="B21" s="8"/>
      <c r="C21" s="8"/>
      <c r="D21" s="8"/>
      <c r="E21" s="8"/>
      <c r="F21" s="8"/>
      <c r="G21" s="8"/>
      <c r="H21" s="8"/>
      <c r="I21" s="8"/>
      <c r="J21" s="8"/>
      <c r="K21" s="8"/>
      <c r="L21" s="8"/>
    </row>
    <row r="22" spans="1:29" x14ac:dyDescent="0.3">
      <c r="A22" s="8"/>
      <c r="B22" s="13" t="s">
        <v>69</v>
      </c>
      <c r="C22" s="8"/>
      <c r="D22" s="8"/>
      <c r="E22" s="8"/>
      <c r="F22" s="8"/>
      <c r="G22" s="8"/>
      <c r="H22" s="8"/>
      <c r="I22" s="8"/>
      <c r="J22" s="8"/>
      <c r="K22" s="8"/>
      <c r="L22" s="8"/>
    </row>
    <row r="23" spans="1:29" x14ac:dyDescent="0.3">
      <c r="A23" s="6"/>
      <c r="B23" s="6"/>
      <c r="C23" s="6"/>
      <c r="D23" s="6"/>
      <c r="E23" s="6"/>
      <c r="F23" s="6"/>
      <c r="G23" s="6"/>
      <c r="H23" s="6"/>
      <c r="I23" s="6"/>
      <c r="J23" s="6"/>
      <c r="K23" s="6"/>
      <c r="L23" s="6"/>
    </row>
    <row r="24" spans="1:29" x14ac:dyDescent="0.3">
      <c r="A24" s="5" t="s">
        <v>4</v>
      </c>
      <c r="B24" s="8" t="s">
        <v>75</v>
      </c>
      <c r="C24" s="4"/>
      <c r="D24" s="4"/>
      <c r="E24" s="4"/>
      <c r="F24" s="4"/>
      <c r="G24" s="4"/>
      <c r="H24" s="4"/>
      <c r="I24" s="4"/>
      <c r="J24" s="4"/>
      <c r="K24" s="4"/>
      <c r="L24" s="4"/>
      <c r="M24" s="7"/>
      <c r="N24" s="7"/>
      <c r="O24" s="7"/>
      <c r="P24" s="7"/>
      <c r="Q24" s="7"/>
      <c r="R24" s="7"/>
    </row>
    <row r="25" spans="1:29" ht="16.2" x14ac:dyDescent="0.35">
      <c r="A25" s="6"/>
      <c r="B25" s="6"/>
      <c r="C25" s="6"/>
      <c r="D25" s="6"/>
      <c r="E25" s="6"/>
      <c r="F25" s="6"/>
      <c r="G25" s="6"/>
      <c r="H25" s="6"/>
      <c r="I25" s="6"/>
      <c r="J25" s="6"/>
      <c r="K25" s="6"/>
      <c r="L25" s="6"/>
      <c r="M25" s="6"/>
      <c r="N25" s="11" t="s">
        <v>9</v>
      </c>
    </row>
    <row r="26" spans="1:29" ht="16.2" x14ac:dyDescent="0.35">
      <c r="A26" s="6" t="s">
        <v>1</v>
      </c>
      <c r="B26" s="6"/>
      <c r="C26" s="6"/>
      <c r="D26" s="6"/>
      <c r="E26" s="6"/>
      <c r="F26" s="6"/>
      <c r="G26" s="6"/>
      <c r="H26" s="6"/>
      <c r="I26" s="6"/>
      <c r="J26" s="6"/>
      <c r="K26" s="6"/>
      <c r="L26" s="6"/>
      <c r="M26" s="6"/>
      <c r="N26" s="11"/>
    </row>
    <row r="27" spans="1:29" x14ac:dyDescent="0.3">
      <c r="A27" s="6"/>
      <c r="B27" s="6"/>
      <c r="C27" s="6"/>
      <c r="D27" s="6"/>
      <c r="E27" s="6"/>
      <c r="F27" s="6"/>
      <c r="G27" s="6"/>
      <c r="H27" s="6"/>
      <c r="I27" s="6"/>
      <c r="J27" s="6"/>
      <c r="K27" s="6"/>
      <c r="L27" s="6"/>
      <c r="M27" s="6"/>
      <c r="N27" s="192">
        <v>2022</v>
      </c>
      <c r="O27" s="192"/>
      <c r="P27" s="192"/>
      <c r="Q27" s="192"/>
      <c r="R27" s="192">
        <f>N27+1</f>
        <v>2023</v>
      </c>
      <c r="S27" s="192"/>
      <c r="T27" s="192"/>
      <c r="U27" s="192"/>
      <c r="V27" s="192">
        <f>R27+1</f>
        <v>2024</v>
      </c>
      <c r="W27" s="192"/>
      <c r="X27" s="192"/>
      <c r="Y27" s="192"/>
      <c r="Z27" s="192">
        <f>V27+1</f>
        <v>2025</v>
      </c>
      <c r="AA27" s="192"/>
      <c r="AB27" s="192"/>
      <c r="AC27" s="192"/>
    </row>
    <row r="28" spans="1:29" ht="19.95" customHeight="1" x14ac:dyDescent="0.3">
      <c r="A28" s="1" t="s">
        <v>315</v>
      </c>
      <c r="G28" s="6"/>
      <c r="H28" s="6"/>
      <c r="I28" s="6"/>
      <c r="J28" s="6"/>
      <c r="K28" s="6"/>
      <c r="L28" s="6"/>
      <c r="M28" s="6"/>
      <c r="N28" s="44"/>
      <c r="O28" s="45"/>
      <c r="P28" s="45"/>
      <c r="Q28" s="46"/>
      <c r="R28" s="44"/>
      <c r="S28" s="45"/>
      <c r="T28" s="45"/>
      <c r="U28" s="46"/>
      <c r="V28" s="44"/>
      <c r="W28" s="45"/>
      <c r="X28" s="45"/>
      <c r="Y28" s="46"/>
      <c r="Z28" s="44"/>
      <c r="AA28" s="45"/>
      <c r="AB28" s="45"/>
      <c r="AC28" s="46"/>
    </row>
    <row r="29" spans="1:29" ht="19.95" customHeight="1" x14ac:dyDescent="0.3">
      <c r="A29" s="1" t="s">
        <v>334</v>
      </c>
      <c r="D29"/>
      <c r="E29" s="137">
        <f>C9</f>
        <v>0.9</v>
      </c>
      <c r="G29" s="6"/>
      <c r="H29" s="6"/>
      <c r="I29" s="6"/>
      <c r="J29" s="6"/>
      <c r="K29" s="6"/>
      <c r="L29" s="6"/>
      <c r="M29" s="6"/>
      <c r="N29" s="47"/>
      <c r="Q29" s="48"/>
      <c r="R29" s="47" t="s">
        <v>312</v>
      </c>
      <c r="U29" s="48"/>
      <c r="V29" s="47"/>
      <c r="Y29" s="48"/>
      <c r="Z29" s="47"/>
      <c r="AC29" s="48"/>
    </row>
    <row r="30" spans="1:29" ht="19.95" customHeight="1" x14ac:dyDescent="0.3">
      <c r="A30" s="1" t="s">
        <v>333</v>
      </c>
      <c r="D30"/>
      <c r="E30" s="88">
        <v>1200</v>
      </c>
      <c r="G30" s="6"/>
      <c r="H30" s="6"/>
      <c r="I30" s="6"/>
      <c r="J30" s="6"/>
      <c r="K30" s="6"/>
      <c r="L30" s="6"/>
      <c r="M30" s="6"/>
      <c r="N30" s="47"/>
      <c r="Q30" s="48"/>
      <c r="R30" s="47"/>
      <c r="T30" s="1" t="s">
        <v>313</v>
      </c>
      <c r="U30" s="48"/>
      <c r="V30" s="47"/>
      <c r="Y30" s="48"/>
      <c r="Z30" s="47"/>
      <c r="AC30" s="48"/>
    </row>
    <row r="31" spans="1:29" ht="19.95" customHeight="1" x14ac:dyDescent="0.3">
      <c r="B31" s="140" t="s">
        <v>316</v>
      </c>
      <c r="D31"/>
      <c r="E31" s="88"/>
      <c r="G31" s="6"/>
      <c r="H31" s="6"/>
      <c r="I31" s="6"/>
      <c r="J31" s="6"/>
      <c r="K31" s="6"/>
      <c r="L31" s="6"/>
      <c r="M31" s="6"/>
      <c r="N31" s="49"/>
      <c r="O31" s="50"/>
      <c r="P31" s="50"/>
      <c r="Q31" s="51"/>
      <c r="R31" s="49"/>
      <c r="S31" s="50"/>
      <c r="T31" s="50"/>
      <c r="U31" s="51" t="s">
        <v>314</v>
      </c>
      <c r="V31" s="49"/>
      <c r="W31" s="50"/>
      <c r="X31" s="50"/>
      <c r="Y31" s="51"/>
      <c r="Z31" s="49"/>
      <c r="AA31" s="50"/>
      <c r="AB31" s="50"/>
      <c r="AC31" s="51"/>
    </row>
    <row r="32" spans="1:29" x14ac:dyDescent="0.3">
      <c r="A32" s="1" t="s">
        <v>335</v>
      </c>
      <c r="D32"/>
      <c r="E32" s="88">
        <f>E29*E30*E7</f>
        <v>4536000</v>
      </c>
      <c r="G32" s="6"/>
      <c r="H32" s="6"/>
      <c r="I32" s="6"/>
      <c r="J32" s="6"/>
      <c r="K32" s="6"/>
      <c r="L32" s="6"/>
      <c r="M32" s="6"/>
      <c r="T32" s="137">
        <f>D18</f>
        <v>0.05</v>
      </c>
      <c r="X32" s="137">
        <f>D19</f>
        <v>0.02</v>
      </c>
      <c r="Y32"/>
      <c r="Z32"/>
      <c r="AA32"/>
      <c r="AB32"/>
      <c r="AC32"/>
    </row>
    <row r="33" spans="1:14" x14ac:dyDescent="0.3">
      <c r="M33" s="7"/>
      <c r="N33" s="7"/>
    </row>
    <row r="34" spans="1:14" x14ac:dyDescent="0.3">
      <c r="A34" s="5" t="s">
        <v>5</v>
      </c>
      <c r="B34" s="8" t="s">
        <v>76</v>
      </c>
      <c r="C34" s="4"/>
      <c r="D34" s="4"/>
      <c r="E34" s="4"/>
      <c r="F34" s="4"/>
      <c r="G34" s="4"/>
      <c r="H34" s="4"/>
      <c r="I34" s="4"/>
      <c r="J34" s="4"/>
      <c r="K34" s="4"/>
      <c r="L34" s="4"/>
    </row>
    <row r="35" spans="1:14" x14ac:dyDescent="0.3">
      <c r="A35" s="6"/>
      <c r="B35" s="6"/>
      <c r="C35" s="6"/>
      <c r="D35" s="6"/>
      <c r="E35" s="6"/>
      <c r="F35" s="6"/>
      <c r="G35" s="6"/>
      <c r="H35" s="6"/>
      <c r="I35" s="6"/>
      <c r="J35" s="6"/>
      <c r="K35" s="6"/>
      <c r="L35" s="6"/>
    </row>
    <row r="36" spans="1:14" x14ac:dyDescent="0.3">
      <c r="A36" s="6" t="s">
        <v>1</v>
      </c>
      <c r="B36" s="6"/>
      <c r="C36" s="6"/>
      <c r="D36" s="6"/>
      <c r="E36" s="6"/>
      <c r="F36" s="6"/>
      <c r="G36" s="6"/>
      <c r="H36" s="6"/>
      <c r="I36" s="6"/>
      <c r="J36" s="6"/>
      <c r="K36" s="6"/>
      <c r="L36" s="6"/>
    </row>
    <row r="37" spans="1:14" x14ac:dyDescent="0.3">
      <c r="A37" s="6"/>
      <c r="B37" s="6"/>
      <c r="C37" s="6"/>
      <c r="D37" s="6"/>
      <c r="E37" s="6"/>
      <c r="F37" s="6"/>
      <c r="G37" s="6"/>
      <c r="H37" s="6"/>
      <c r="I37" s="6"/>
      <c r="J37" s="6"/>
      <c r="K37" s="6"/>
      <c r="L37" s="6"/>
    </row>
    <row r="38" spans="1:14" x14ac:dyDescent="0.3">
      <c r="A38" s="1" t="s">
        <v>317</v>
      </c>
      <c r="F38" s="6"/>
      <c r="G38" s="6"/>
      <c r="H38" s="6"/>
      <c r="I38" s="6"/>
      <c r="J38" s="6"/>
      <c r="K38" s="6"/>
      <c r="L38" s="6"/>
    </row>
    <row r="39" spans="1:14" x14ac:dyDescent="0.3">
      <c r="A39" s="1" t="s">
        <v>336</v>
      </c>
      <c r="E39" s="88">
        <f>E32</f>
        <v>4536000</v>
      </c>
      <c r="F39" s="6"/>
      <c r="G39" s="6"/>
      <c r="H39" s="6"/>
      <c r="I39" s="6"/>
      <c r="J39" s="6"/>
      <c r="K39" s="6"/>
      <c r="L39" s="6"/>
    </row>
    <row r="40" spans="1:14" x14ac:dyDescent="0.3">
      <c r="A40" s="1" t="s">
        <v>318</v>
      </c>
      <c r="E40" s="137">
        <v>0.5</v>
      </c>
      <c r="F40" s="6"/>
      <c r="G40" s="6"/>
      <c r="H40" s="6"/>
      <c r="I40" s="6"/>
      <c r="J40" s="6"/>
      <c r="K40" s="6"/>
      <c r="L40" s="6"/>
    </row>
    <row r="41" spans="1:14" x14ac:dyDescent="0.3">
      <c r="A41" s="1" t="s">
        <v>319</v>
      </c>
      <c r="E41" s="61">
        <f>0.5-0.5^3</f>
        <v>0.375</v>
      </c>
      <c r="F41" s="6"/>
      <c r="G41" s="6"/>
      <c r="H41" s="6"/>
      <c r="I41" s="6"/>
      <c r="J41" s="6"/>
      <c r="K41" s="6"/>
      <c r="L41" s="6"/>
    </row>
    <row r="42" spans="1:14" x14ac:dyDescent="0.3">
      <c r="A42" s="1" t="s">
        <v>320</v>
      </c>
      <c r="E42" s="137">
        <f>E41/E40</f>
        <v>0.75</v>
      </c>
      <c r="I42" s="6"/>
      <c r="J42" s="6"/>
      <c r="K42" s="6"/>
      <c r="L42" s="6"/>
    </row>
    <row r="43" spans="1:14" x14ac:dyDescent="0.3">
      <c r="A43" s="1" t="s">
        <v>438</v>
      </c>
      <c r="E43" s="88">
        <f>E42*E39</f>
        <v>3402000</v>
      </c>
      <c r="H43" s="88"/>
      <c r="I43" s="6"/>
      <c r="J43" s="6"/>
      <c r="K43" s="6"/>
      <c r="L43" s="6"/>
    </row>
    <row r="45" spans="1:14" x14ac:dyDescent="0.3">
      <c r="A45" s="5" t="s">
        <v>0</v>
      </c>
      <c r="B45" s="8" t="s">
        <v>215</v>
      </c>
      <c r="C45" s="4"/>
      <c r="D45" s="4"/>
      <c r="E45" s="4"/>
      <c r="F45" s="4"/>
      <c r="G45" s="4"/>
      <c r="H45" s="4"/>
      <c r="I45" s="4"/>
      <c r="J45" s="4"/>
      <c r="K45" s="4"/>
      <c r="L45" s="4"/>
    </row>
    <row r="46" spans="1:14" x14ac:dyDescent="0.3">
      <c r="A46" s="6"/>
      <c r="B46" s="6"/>
      <c r="C46" s="6"/>
      <c r="D46" s="6"/>
      <c r="E46" s="6"/>
      <c r="F46" s="6"/>
      <c r="G46" s="6"/>
      <c r="H46" s="6"/>
      <c r="I46" s="6"/>
      <c r="J46" s="6"/>
      <c r="K46" s="6"/>
      <c r="L46" s="6"/>
    </row>
    <row r="47" spans="1:14" x14ac:dyDescent="0.3">
      <c r="A47" s="6" t="s">
        <v>1</v>
      </c>
      <c r="B47" s="6"/>
      <c r="C47" s="6"/>
      <c r="D47" s="6"/>
      <c r="E47" s="6"/>
      <c r="F47" s="6"/>
      <c r="G47" s="6"/>
      <c r="H47" s="6"/>
      <c r="I47" s="6"/>
      <c r="J47" s="6"/>
      <c r="K47" s="6"/>
      <c r="L47" s="6"/>
    </row>
    <row r="48" spans="1:14" x14ac:dyDescent="0.3">
      <c r="A48" s="6"/>
      <c r="B48" s="6"/>
      <c r="C48" s="6"/>
      <c r="D48" s="6"/>
      <c r="E48" s="6"/>
      <c r="F48" s="6"/>
      <c r="G48" s="6"/>
      <c r="H48" s="6"/>
      <c r="I48" s="6"/>
      <c r="J48" s="6"/>
      <c r="K48" s="6"/>
      <c r="L48" s="6"/>
    </row>
    <row r="49" spans="1:14" x14ac:dyDescent="0.3">
      <c r="A49" s="1" t="s">
        <v>321</v>
      </c>
      <c r="E49" s="139">
        <f>C18</f>
        <v>45108</v>
      </c>
      <c r="F49" s="6"/>
      <c r="G49" s="6"/>
      <c r="H49" s="6"/>
      <c r="I49" s="6"/>
      <c r="J49" s="6"/>
      <c r="K49" s="6"/>
      <c r="L49" s="6"/>
    </row>
    <row r="50" spans="1:14" x14ac:dyDescent="0.3">
      <c r="A50" s="1" t="s">
        <v>337</v>
      </c>
      <c r="E50" s="88">
        <f>0.5*C14*E30</f>
        <v>936000</v>
      </c>
      <c r="F50" s="6"/>
      <c r="G50" s="6"/>
      <c r="H50" s="6"/>
      <c r="I50" s="6"/>
      <c r="J50" s="6"/>
      <c r="K50" s="6"/>
      <c r="L50" s="6"/>
    </row>
    <row r="51" spans="1:14" x14ac:dyDescent="0.3">
      <c r="A51" s="1" t="s">
        <v>439</v>
      </c>
      <c r="E51" s="137">
        <f>E42</f>
        <v>0.75</v>
      </c>
      <c r="F51" s="6"/>
      <c r="G51" s="6"/>
      <c r="H51" s="6"/>
      <c r="I51" s="6"/>
      <c r="J51" s="6"/>
      <c r="K51" s="6"/>
      <c r="L51" s="6"/>
    </row>
    <row r="52" spans="1:14" x14ac:dyDescent="0.3">
      <c r="A52" s="1" t="s">
        <v>440</v>
      </c>
      <c r="E52" s="88">
        <f>E51*E50</f>
        <v>702000</v>
      </c>
      <c r="F52" s="6"/>
      <c r="G52" s="6"/>
      <c r="H52" s="6"/>
      <c r="I52" s="6"/>
      <c r="J52" s="6"/>
      <c r="K52" s="6"/>
      <c r="L52" s="6"/>
    </row>
    <row r="53" spans="1:14" x14ac:dyDescent="0.3">
      <c r="F53" s="6"/>
      <c r="G53" s="6"/>
      <c r="H53" s="6"/>
      <c r="I53" s="6"/>
      <c r="J53" s="6"/>
      <c r="K53" s="6"/>
      <c r="L53" s="6"/>
    </row>
    <row r="54" spans="1:14" x14ac:dyDescent="0.3">
      <c r="A54" s="1" t="s">
        <v>322</v>
      </c>
      <c r="E54" s="139">
        <f>E49</f>
        <v>45108</v>
      </c>
      <c r="F54" s="6"/>
      <c r="G54" s="6"/>
      <c r="H54" s="6"/>
      <c r="I54" s="6"/>
      <c r="J54" s="6"/>
      <c r="K54" s="6"/>
      <c r="L54" s="6"/>
    </row>
    <row r="55" spans="1:14" x14ac:dyDescent="0.3">
      <c r="A55" s="1" t="s">
        <v>337</v>
      </c>
      <c r="E55" s="88">
        <f>0.5*C14*E30*(1+D18)</f>
        <v>982800</v>
      </c>
      <c r="F55" s="6"/>
      <c r="G55" s="6"/>
      <c r="H55" s="6"/>
      <c r="I55" s="6"/>
      <c r="J55" s="6"/>
      <c r="K55" s="6"/>
      <c r="L55" s="6"/>
    </row>
    <row r="56" spans="1:14" x14ac:dyDescent="0.3">
      <c r="A56" s="1" t="s">
        <v>441</v>
      </c>
      <c r="E56" s="137">
        <f>0.5^3/0.5</f>
        <v>0.25</v>
      </c>
      <c r="F56" s="6"/>
      <c r="G56" s="6"/>
      <c r="H56" s="6"/>
      <c r="I56" s="6"/>
      <c r="J56" s="6"/>
      <c r="K56" s="6"/>
      <c r="L56" s="6"/>
    </row>
    <row r="57" spans="1:14" x14ac:dyDescent="0.3">
      <c r="A57" s="1" t="s">
        <v>440</v>
      </c>
      <c r="E57" s="88">
        <f>E56*E55</f>
        <v>245700</v>
      </c>
    </row>
    <row r="59" spans="1:14" x14ac:dyDescent="0.3">
      <c r="A59" s="1" t="s">
        <v>442</v>
      </c>
      <c r="E59" s="88">
        <f>E57+E52</f>
        <v>947700</v>
      </c>
      <c r="M59" s="6"/>
      <c r="N59" s="6"/>
    </row>
    <row r="60" spans="1:14" x14ac:dyDescent="0.3">
      <c r="M60" s="6"/>
      <c r="N60" s="6"/>
    </row>
    <row r="61" spans="1:14" x14ac:dyDescent="0.3">
      <c r="A61" s="5" t="s">
        <v>2</v>
      </c>
      <c r="B61" s="8" t="s">
        <v>77</v>
      </c>
      <c r="C61" s="4"/>
      <c r="D61" s="4"/>
      <c r="E61" s="4"/>
      <c r="F61" s="4"/>
      <c r="G61" s="4"/>
      <c r="H61" s="4"/>
      <c r="I61" s="4"/>
      <c r="J61" s="4"/>
      <c r="K61" s="4"/>
      <c r="L61" s="4"/>
    </row>
    <row r="62" spans="1:14" x14ac:dyDescent="0.3">
      <c r="A62" s="6"/>
      <c r="B62" s="6"/>
      <c r="C62" s="6"/>
      <c r="D62" s="6"/>
      <c r="E62" s="6"/>
      <c r="F62" s="6"/>
      <c r="G62" s="6"/>
      <c r="H62" s="6"/>
      <c r="I62" s="6"/>
      <c r="J62" s="6"/>
      <c r="K62" s="6"/>
      <c r="L62" s="6"/>
    </row>
    <row r="63" spans="1:14" x14ac:dyDescent="0.3">
      <c r="A63" s="6" t="s">
        <v>1</v>
      </c>
      <c r="B63" s="6"/>
      <c r="C63" s="6"/>
      <c r="D63" s="6"/>
      <c r="E63" s="6"/>
      <c r="F63" s="6"/>
      <c r="G63" s="6"/>
      <c r="H63" s="6"/>
      <c r="I63" s="6"/>
      <c r="J63" s="6"/>
      <c r="K63" s="6"/>
      <c r="L63" s="6"/>
    </row>
    <row r="64" spans="1:14" x14ac:dyDescent="0.3">
      <c r="A64" s="6"/>
      <c r="B64" s="6"/>
      <c r="C64" s="6"/>
      <c r="D64" s="6"/>
      <c r="E64" s="6"/>
      <c r="F64" s="6"/>
      <c r="G64" s="6"/>
      <c r="H64" s="6"/>
      <c r="I64" s="6"/>
      <c r="J64" s="6"/>
      <c r="K64" s="6"/>
      <c r="L64" s="6"/>
    </row>
    <row r="65" spans="1:12" x14ac:dyDescent="0.3">
      <c r="A65" s="1" t="s">
        <v>323</v>
      </c>
      <c r="F65" s="6"/>
      <c r="G65" s="6"/>
      <c r="H65" s="6"/>
      <c r="I65" s="6"/>
      <c r="J65" s="6"/>
      <c r="K65" s="6"/>
      <c r="L65" s="6"/>
    </row>
    <row r="66" spans="1:12" x14ac:dyDescent="0.3">
      <c r="A66" s="1" t="s">
        <v>337</v>
      </c>
      <c r="E66" s="88">
        <f>E32</f>
        <v>4536000</v>
      </c>
      <c r="F66" s="6"/>
      <c r="G66" s="6"/>
      <c r="H66" s="6"/>
      <c r="I66" s="6"/>
      <c r="J66" s="6"/>
      <c r="K66" s="6"/>
      <c r="L66" s="6"/>
    </row>
    <row r="67" spans="1:12" x14ac:dyDescent="0.3">
      <c r="A67" s="1" t="s">
        <v>324</v>
      </c>
      <c r="E67" s="137">
        <f>1-E42</f>
        <v>0.25</v>
      </c>
      <c r="F67" s="6"/>
      <c r="G67" s="6"/>
      <c r="H67" s="6"/>
      <c r="I67" s="6"/>
      <c r="J67" s="6"/>
      <c r="K67" s="6"/>
      <c r="L67" s="6"/>
    </row>
    <row r="68" spans="1:12" x14ac:dyDescent="0.3">
      <c r="A68" s="1" t="s">
        <v>325</v>
      </c>
      <c r="E68" s="88">
        <f>E66*E67</f>
        <v>1134000</v>
      </c>
      <c r="F68" s="6"/>
      <c r="G68" s="6"/>
      <c r="H68" s="6"/>
      <c r="I68" s="6"/>
      <c r="J68" s="6"/>
      <c r="K68" s="6"/>
      <c r="L68" s="6"/>
    </row>
    <row r="69" spans="1:12" x14ac:dyDescent="0.3">
      <c r="F69" s="6"/>
      <c r="G69" s="6"/>
      <c r="H69" s="6"/>
      <c r="I69" s="6"/>
      <c r="J69" s="6"/>
      <c r="K69" s="6"/>
      <c r="L69" s="6"/>
    </row>
    <row r="70" spans="1:12" x14ac:dyDescent="0.3">
      <c r="A70" s="1" t="s">
        <v>326</v>
      </c>
      <c r="F70" s="6"/>
      <c r="G70" s="6"/>
      <c r="H70" s="6"/>
      <c r="I70" s="6"/>
      <c r="J70" s="6"/>
      <c r="K70" s="6"/>
      <c r="L70" s="6"/>
    </row>
    <row r="71" spans="1:12" x14ac:dyDescent="0.3">
      <c r="A71" s="1" t="s">
        <v>338</v>
      </c>
      <c r="E71" s="88">
        <f>E50</f>
        <v>936000</v>
      </c>
      <c r="F71" s="6"/>
      <c r="G71" s="6"/>
      <c r="H71" s="6"/>
      <c r="I71" s="6"/>
      <c r="J71" s="6"/>
      <c r="K71" s="6"/>
      <c r="L71" s="6"/>
    </row>
    <row r="72" spans="1:12" x14ac:dyDescent="0.3">
      <c r="A72" s="1" t="s">
        <v>324</v>
      </c>
      <c r="E72" s="137">
        <f>E67</f>
        <v>0.25</v>
      </c>
      <c r="F72" s="6"/>
      <c r="G72" s="6"/>
      <c r="H72" s="6"/>
      <c r="I72" s="6"/>
      <c r="J72" s="6"/>
      <c r="K72" s="6"/>
      <c r="L72" s="6"/>
    </row>
    <row r="73" spans="1:12" x14ac:dyDescent="0.3">
      <c r="A73" s="1" t="s">
        <v>325</v>
      </c>
      <c r="E73" s="88">
        <f>E71*E72</f>
        <v>234000</v>
      </c>
      <c r="F73" s="6"/>
      <c r="G73" s="6"/>
      <c r="H73" s="6"/>
      <c r="I73" s="6"/>
      <c r="J73" s="6"/>
      <c r="K73" s="6"/>
      <c r="L73" s="6"/>
    </row>
    <row r="74" spans="1:12" x14ac:dyDescent="0.3">
      <c r="F74" s="6"/>
      <c r="G74" s="6"/>
      <c r="H74" s="6"/>
      <c r="I74" s="6"/>
      <c r="J74" s="6"/>
      <c r="K74" s="6"/>
      <c r="L74" s="6"/>
    </row>
    <row r="75" spans="1:12" x14ac:dyDescent="0.3">
      <c r="A75" s="1" t="s">
        <v>339</v>
      </c>
      <c r="E75" s="88">
        <f>E55</f>
        <v>982800</v>
      </c>
      <c r="F75" s="6"/>
      <c r="G75" s="6"/>
      <c r="H75" s="6"/>
      <c r="I75" s="6"/>
      <c r="J75" s="6"/>
      <c r="K75" s="6"/>
      <c r="L75" s="6"/>
    </row>
    <row r="76" spans="1:12" x14ac:dyDescent="0.3">
      <c r="A76" s="1" t="s">
        <v>324</v>
      </c>
      <c r="E76" s="137">
        <f>1-E72</f>
        <v>0.75</v>
      </c>
      <c r="F76" s="6"/>
      <c r="G76" s="6"/>
      <c r="H76" s="6"/>
      <c r="I76" s="6"/>
      <c r="J76" s="6"/>
      <c r="K76" s="6"/>
      <c r="L76" s="6"/>
    </row>
    <row r="77" spans="1:12" x14ac:dyDescent="0.3">
      <c r="A77" s="1" t="s">
        <v>325</v>
      </c>
      <c r="E77" s="88">
        <f>E75*E76</f>
        <v>737100</v>
      </c>
      <c r="F77" s="6"/>
      <c r="G77" s="6"/>
      <c r="H77" s="6"/>
      <c r="I77" s="6"/>
      <c r="J77" s="6"/>
      <c r="K77" s="6"/>
      <c r="L77" s="6"/>
    </row>
    <row r="79" spans="1:12" x14ac:dyDescent="0.3">
      <c r="A79" s="1" t="s">
        <v>340</v>
      </c>
      <c r="E79" s="88">
        <f>E68+E73+E77</f>
        <v>2105100</v>
      </c>
    </row>
    <row r="81" spans="1:12" x14ac:dyDescent="0.3">
      <c r="A81" s="5" t="s">
        <v>3</v>
      </c>
      <c r="B81" s="8" t="s">
        <v>78</v>
      </c>
      <c r="C81" s="4"/>
      <c r="D81" s="4"/>
      <c r="E81" s="4"/>
      <c r="F81" s="4"/>
      <c r="G81" s="4"/>
      <c r="H81" s="4"/>
      <c r="I81" s="4"/>
      <c r="J81" s="4"/>
      <c r="K81" s="4"/>
      <c r="L81" s="4"/>
    </row>
    <row r="82" spans="1:12" x14ac:dyDescent="0.3">
      <c r="A82" s="6"/>
      <c r="B82" s="6"/>
      <c r="C82" s="6"/>
      <c r="D82" s="6"/>
      <c r="E82" s="6"/>
      <c r="F82" s="6"/>
      <c r="G82" s="6"/>
      <c r="H82" s="6"/>
      <c r="I82" s="6"/>
      <c r="J82" s="6"/>
      <c r="K82" s="6"/>
      <c r="L82" s="6"/>
    </row>
    <row r="83" spans="1:12" x14ac:dyDescent="0.3">
      <c r="A83" s="6" t="s">
        <v>1</v>
      </c>
      <c r="B83" s="6"/>
      <c r="C83" s="6"/>
      <c r="D83" s="6"/>
      <c r="E83" s="6"/>
      <c r="F83" s="6"/>
      <c r="G83" s="6"/>
      <c r="H83" s="6"/>
      <c r="I83" s="6"/>
      <c r="J83" s="6"/>
      <c r="K83" s="6"/>
      <c r="L83" s="6"/>
    </row>
    <row r="84" spans="1:12" x14ac:dyDescent="0.3">
      <c r="A84" s="6"/>
      <c r="B84" s="6"/>
      <c r="C84" s="6"/>
      <c r="D84" s="6"/>
      <c r="E84" s="6"/>
      <c r="F84" s="6"/>
      <c r="G84" s="6"/>
      <c r="H84" s="6"/>
      <c r="I84" s="6"/>
      <c r="J84" s="6"/>
      <c r="K84" s="6"/>
      <c r="L84" s="6"/>
    </row>
    <row r="85" spans="1:12" x14ac:dyDescent="0.3">
      <c r="A85" s="189" t="s">
        <v>402</v>
      </c>
      <c r="C85" s="6"/>
      <c r="D85" s="6"/>
      <c r="E85" s="6"/>
      <c r="F85" s="6"/>
      <c r="G85" s="6"/>
      <c r="H85" s="6"/>
      <c r="I85" s="6"/>
      <c r="J85" s="6"/>
      <c r="K85" s="6"/>
      <c r="L85" s="6"/>
    </row>
    <row r="86" spans="1:12" x14ac:dyDescent="0.3">
      <c r="A86" s="199" t="s">
        <v>448</v>
      </c>
      <c r="B86" s="199"/>
      <c r="C86" s="199"/>
      <c r="D86" s="199"/>
      <c r="E86" s="199"/>
      <c r="F86" s="199"/>
      <c r="G86" s="199"/>
      <c r="H86" s="199"/>
      <c r="I86" s="199"/>
      <c r="J86" s="199"/>
      <c r="K86" s="199"/>
      <c r="L86" s="199"/>
    </row>
    <row r="87" spans="1:12" x14ac:dyDescent="0.3">
      <c r="A87" s="199"/>
      <c r="B87" s="199"/>
      <c r="C87" s="199"/>
      <c r="D87" s="199"/>
      <c r="E87" s="199"/>
      <c r="F87" s="199"/>
      <c r="G87" s="199"/>
      <c r="H87" s="199"/>
      <c r="I87" s="199"/>
      <c r="J87" s="199"/>
      <c r="K87" s="199"/>
      <c r="L87" s="199"/>
    </row>
    <row r="88" spans="1:12" x14ac:dyDescent="0.3">
      <c r="A88" s="199"/>
      <c r="B88" s="199"/>
      <c r="C88" s="199"/>
      <c r="D88" s="199"/>
      <c r="E88" s="199"/>
      <c r="F88" s="199"/>
      <c r="G88" s="199"/>
      <c r="H88" s="199"/>
      <c r="I88" s="199"/>
      <c r="J88" s="199"/>
      <c r="K88" s="199"/>
      <c r="L88" s="199"/>
    </row>
    <row r="89" spans="1:12" x14ac:dyDescent="0.3">
      <c r="A89" s="199"/>
      <c r="B89" s="199"/>
      <c r="C89" s="199"/>
      <c r="D89" s="199"/>
      <c r="E89" s="199"/>
      <c r="F89" s="199"/>
      <c r="G89" s="199"/>
      <c r="H89" s="199"/>
      <c r="I89" s="199"/>
      <c r="J89" s="199"/>
      <c r="K89" s="199"/>
      <c r="L89" s="199"/>
    </row>
    <row r="90" spans="1:12" x14ac:dyDescent="0.3">
      <c r="A90" s="6"/>
      <c r="B90" s="6"/>
      <c r="C90" s="6"/>
      <c r="D90" s="6"/>
      <c r="E90" s="6"/>
      <c r="F90" s="6"/>
      <c r="G90" s="6"/>
      <c r="H90" s="6"/>
      <c r="I90" s="6"/>
      <c r="J90" s="6"/>
      <c r="K90" s="6"/>
      <c r="L90" s="6"/>
    </row>
    <row r="91" spans="1:12" x14ac:dyDescent="0.3">
      <c r="A91" s="1" t="s">
        <v>341</v>
      </c>
      <c r="F91" s="6"/>
      <c r="G91" s="6"/>
      <c r="H91" s="6"/>
      <c r="I91" s="6"/>
      <c r="J91" s="6"/>
      <c r="K91" s="6"/>
      <c r="L91" s="6"/>
    </row>
    <row r="92" spans="1:12" x14ac:dyDescent="0.3">
      <c r="A92" s="138" t="s">
        <v>327</v>
      </c>
    </row>
    <row r="93" spans="1:12" x14ac:dyDescent="0.3">
      <c r="E93" s="88">
        <f>(F10+E43)*(1+D18)*(1+D19)</f>
        <v>4993002</v>
      </c>
    </row>
    <row r="94" spans="1:12" x14ac:dyDescent="0.3">
      <c r="B94" s="138" t="s">
        <v>328</v>
      </c>
    </row>
    <row r="95" spans="1:12" x14ac:dyDescent="0.3">
      <c r="A95" s="1" t="s">
        <v>329</v>
      </c>
      <c r="E95" s="88">
        <f>E52*(1+D18)*(1+D19)</f>
        <v>751842</v>
      </c>
    </row>
    <row r="96" spans="1:12" x14ac:dyDescent="0.3">
      <c r="A96" s="138" t="s">
        <v>327</v>
      </c>
    </row>
    <row r="98" spans="1:5" x14ac:dyDescent="0.3">
      <c r="A98" s="1" t="s">
        <v>330</v>
      </c>
      <c r="E98" s="88">
        <f>E57*(1+D19)</f>
        <v>250614</v>
      </c>
    </row>
    <row r="99" spans="1:5" x14ac:dyDescent="0.3">
      <c r="A99" s="138" t="s">
        <v>331</v>
      </c>
    </row>
    <row r="101" spans="1:5" x14ac:dyDescent="0.3">
      <c r="A101" s="1" t="s">
        <v>332</v>
      </c>
      <c r="E101" s="88">
        <f>E93+E95+E98</f>
        <v>5995458</v>
      </c>
    </row>
  </sheetData>
  <mergeCells count="5">
    <mergeCell ref="N27:Q27"/>
    <mergeCell ref="R27:U27"/>
    <mergeCell ref="V27:Y27"/>
    <mergeCell ref="Z27:AC27"/>
    <mergeCell ref="A86:L89"/>
  </mergeCells>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7C1EB-2D11-4959-9097-F51D0A97016C}">
  <dimension ref="A1:L13"/>
  <sheetViews>
    <sheetView zoomScaleNormal="100" workbookViewId="0"/>
  </sheetViews>
  <sheetFormatPr defaultRowHeight="15.6" x14ac:dyDescent="0.3"/>
  <cols>
    <col min="1" max="1" width="8.88671875" style="1" customWidth="1"/>
    <col min="2" max="2" width="12.77734375" style="1" customWidth="1"/>
    <col min="3" max="4" width="15.77734375" style="1" customWidth="1"/>
    <col min="5" max="5" width="18.77734375" style="1" customWidth="1"/>
    <col min="6" max="6" width="15.77734375" style="1" customWidth="1"/>
    <col min="7" max="7" width="8.88671875" style="1"/>
    <col min="8" max="8" width="8.88671875" style="1" customWidth="1"/>
    <col min="9" max="16384" width="8.88671875" style="1"/>
  </cols>
  <sheetData>
    <row r="1" spans="1:12" ht="17.399999999999999" x14ac:dyDescent="0.3">
      <c r="A1" s="2" t="s">
        <v>79</v>
      </c>
      <c r="B1" s="4"/>
      <c r="C1" s="8" t="s">
        <v>6</v>
      </c>
      <c r="D1" s="4"/>
      <c r="E1" s="4"/>
      <c r="F1" s="4"/>
      <c r="G1" s="4"/>
      <c r="H1" s="4"/>
      <c r="I1" s="4"/>
      <c r="J1" s="4"/>
      <c r="K1" s="4"/>
      <c r="L1" s="3"/>
    </row>
    <row r="2" spans="1:12" x14ac:dyDescent="0.3">
      <c r="A2" s="4"/>
      <c r="B2" s="4"/>
      <c r="C2" s="4"/>
      <c r="D2" s="4"/>
      <c r="E2" s="4"/>
      <c r="F2" s="4"/>
      <c r="G2" s="4"/>
      <c r="H2" s="4"/>
      <c r="I2" s="4"/>
      <c r="J2" s="4"/>
      <c r="K2" s="4"/>
      <c r="L2" s="3"/>
    </row>
    <row r="3" spans="1:12" x14ac:dyDescent="0.3">
      <c r="A3" s="200" t="s">
        <v>80</v>
      </c>
      <c r="B3" s="200"/>
      <c r="C3" s="200"/>
      <c r="D3" s="200"/>
      <c r="E3" s="200"/>
      <c r="F3" s="200"/>
      <c r="G3" s="200"/>
      <c r="H3" s="200"/>
      <c r="I3" s="200"/>
      <c r="J3" s="200"/>
      <c r="K3" s="200"/>
      <c r="L3" s="8"/>
    </row>
    <row r="4" spans="1:12" x14ac:dyDescent="0.3">
      <c r="A4" s="200"/>
      <c r="B4" s="200"/>
      <c r="C4" s="200"/>
      <c r="D4" s="200"/>
      <c r="E4" s="200"/>
      <c r="F4" s="200"/>
      <c r="G4" s="200"/>
      <c r="H4" s="200"/>
      <c r="I4" s="200"/>
      <c r="J4" s="200"/>
      <c r="K4" s="200"/>
      <c r="L4" s="8"/>
    </row>
    <row r="5" spans="1:12" ht="16.2" x14ac:dyDescent="0.35">
      <c r="A5" s="10"/>
      <c r="B5" s="4"/>
      <c r="C5" s="4"/>
      <c r="D5" s="4"/>
      <c r="E5" s="4"/>
      <c r="F5" s="4"/>
      <c r="G5" s="4"/>
      <c r="H5" s="8"/>
      <c r="I5" s="8"/>
      <c r="J5" s="8"/>
      <c r="K5" s="8"/>
      <c r="L5" s="8"/>
    </row>
    <row r="6" spans="1:12" ht="16.2" x14ac:dyDescent="0.35">
      <c r="A6" s="10"/>
      <c r="B6" s="201" t="s">
        <v>81</v>
      </c>
      <c r="C6" s="202" t="s">
        <v>82</v>
      </c>
      <c r="D6" s="202"/>
      <c r="E6" s="201" t="s">
        <v>83</v>
      </c>
      <c r="F6" s="201" t="s">
        <v>84</v>
      </c>
      <c r="G6" s="4"/>
      <c r="H6" s="8"/>
      <c r="I6" s="8"/>
      <c r="J6" s="8"/>
      <c r="K6" s="8"/>
      <c r="L6" s="8"/>
    </row>
    <row r="7" spans="1:12" ht="31.8" x14ac:dyDescent="0.35">
      <c r="A7" s="10"/>
      <c r="B7" s="201"/>
      <c r="C7" s="32" t="s">
        <v>85</v>
      </c>
      <c r="D7" s="32" t="s">
        <v>24</v>
      </c>
      <c r="E7" s="201"/>
      <c r="F7" s="201"/>
      <c r="G7" s="4"/>
      <c r="H7" s="8"/>
      <c r="I7" s="8"/>
      <c r="J7" s="8"/>
      <c r="K7" s="8"/>
      <c r="L7" s="8"/>
    </row>
    <row r="8" spans="1:12" ht="16.2" x14ac:dyDescent="0.35">
      <c r="A8" s="10"/>
      <c r="B8" s="19">
        <v>2020</v>
      </c>
      <c r="C8" s="29">
        <v>11494928</v>
      </c>
      <c r="D8" s="29">
        <v>10980216</v>
      </c>
      <c r="E8" s="29">
        <v>11322767</v>
      </c>
      <c r="F8" s="29">
        <v>11246658</v>
      </c>
      <c r="G8" s="4"/>
      <c r="H8" s="8"/>
      <c r="I8" s="8"/>
      <c r="J8" s="8"/>
      <c r="K8" s="8"/>
      <c r="L8" s="8"/>
    </row>
    <row r="9" spans="1:12" ht="16.2" x14ac:dyDescent="0.35">
      <c r="A9" s="10"/>
      <c r="B9" s="19">
        <v>2021</v>
      </c>
      <c r="C9" s="29">
        <v>12168792</v>
      </c>
      <c r="D9" s="29">
        <v>11505522</v>
      </c>
      <c r="E9" s="29">
        <v>11957036</v>
      </c>
      <c r="F9" s="29">
        <v>11978249</v>
      </c>
      <c r="G9" s="4"/>
      <c r="H9" s="8"/>
      <c r="I9" s="8"/>
      <c r="J9" s="8"/>
      <c r="K9" s="8"/>
      <c r="L9" s="8"/>
    </row>
    <row r="10" spans="1:12" ht="16.2" x14ac:dyDescent="0.35">
      <c r="A10" s="10"/>
      <c r="B10" s="19">
        <v>2022</v>
      </c>
      <c r="C10" s="29">
        <v>13113884</v>
      </c>
      <c r="D10" s="29">
        <v>12239603</v>
      </c>
      <c r="E10" s="29">
        <v>12894023</v>
      </c>
      <c r="F10" s="29">
        <v>12752727</v>
      </c>
      <c r="G10" s="4"/>
      <c r="H10" s="8"/>
      <c r="I10" s="8"/>
      <c r="J10" s="8"/>
      <c r="K10" s="8"/>
      <c r="L10" s="8"/>
    </row>
    <row r="11" spans="1:12" ht="16.2" x14ac:dyDescent="0.35">
      <c r="A11" s="10"/>
      <c r="B11" s="19">
        <v>2023</v>
      </c>
      <c r="C11" s="29">
        <v>14354650</v>
      </c>
      <c r="D11" s="29">
        <v>12837979</v>
      </c>
      <c r="E11" s="29">
        <v>13741168</v>
      </c>
      <c r="F11" s="29">
        <v>13439865</v>
      </c>
      <c r="G11" s="4"/>
      <c r="H11" s="8"/>
      <c r="I11" s="8"/>
      <c r="J11" s="8"/>
      <c r="K11" s="8"/>
      <c r="L11" s="8"/>
    </row>
    <row r="12" spans="1:12" ht="16.2" x14ac:dyDescent="0.35">
      <c r="A12" s="10"/>
      <c r="B12" s="19">
        <v>2024</v>
      </c>
      <c r="C12" s="29">
        <v>14987039</v>
      </c>
      <c r="D12" s="29">
        <v>12927485</v>
      </c>
      <c r="E12" s="29">
        <v>14325080</v>
      </c>
      <c r="F12" s="29">
        <v>14436370</v>
      </c>
      <c r="G12" s="4"/>
      <c r="H12" s="8"/>
      <c r="I12" s="8"/>
      <c r="J12" s="8"/>
      <c r="K12" s="8"/>
      <c r="L12" s="8"/>
    </row>
    <row r="13" spans="1:12" ht="16.2" x14ac:dyDescent="0.35">
      <c r="A13" s="10"/>
      <c r="B13" s="18" t="s">
        <v>86</v>
      </c>
      <c r="C13" s="53">
        <v>66119293</v>
      </c>
      <c r="D13" s="53">
        <v>60490805</v>
      </c>
      <c r="E13" s="53">
        <v>64240074</v>
      </c>
      <c r="F13" s="53">
        <v>63853869</v>
      </c>
      <c r="G13" s="4"/>
      <c r="H13" s="8"/>
      <c r="I13" s="8"/>
      <c r="J13" s="8"/>
      <c r="K13" s="8"/>
      <c r="L13" s="8"/>
    </row>
  </sheetData>
  <mergeCells count="5">
    <mergeCell ref="A3:K4"/>
    <mergeCell ref="B6:B7"/>
    <mergeCell ref="C6:D6"/>
    <mergeCell ref="E6:E7"/>
    <mergeCell ref="F6:F7"/>
  </mergeCell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227ED-3360-4676-BF29-9667A66837D2}">
  <dimension ref="A1:R72"/>
  <sheetViews>
    <sheetView zoomScaleNormal="100" workbookViewId="0"/>
  </sheetViews>
  <sheetFormatPr defaultRowHeight="15.6" x14ac:dyDescent="0.3"/>
  <cols>
    <col min="1" max="1" width="13.21875" style="1" customWidth="1"/>
    <col min="2" max="2" width="16.77734375" style="1" customWidth="1"/>
    <col min="3" max="4" width="14.77734375" style="1" customWidth="1"/>
    <col min="5" max="5" width="14" style="1" customWidth="1"/>
    <col min="6" max="6" width="8.88671875" style="1" customWidth="1"/>
    <col min="7" max="7" width="8.88671875" style="1"/>
    <col min="8" max="8" width="8.88671875" style="1" customWidth="1"/>
    <col min="9" max="16384" width="8.88671875" style="1"/>
  </cols>
  <sheetData>
    <row r="1" spans="1:12" ht="17.399999999999999" x14ac:dyDescent="0.3">
      <c r="A1" s="2" t="s">
        <v>87</v>
      </c>
      <c r="B1" s="4"/>
      <c r="C1" s="8" t="s">
        <v>8</v>
      </c>
      <c r="D1" s="4"/>
      <c r="E1" s="4"/>
      <c r="F1" s="4"/>
      <c r="G1" s="4"/>
      <c r="H1" s="4"/>
      <c r="I1" s="4"/>
      <c r="J1" s="4"/>
      <c r="K1" s="4"/>
      <c r="L1" s="3"/>
    </row>
    <row r="2" spans="1:12" x14ac:dyDescent="0.3">
      <c r="A2" s="4"/>
      <c r="B2" s="4"/>
      <c r="C2" s="4"/>
      <c r="D2" s="4"/>
      <c r="E2" s="4"/>
      <c r="F2" s="4"/>
      <c r="G2" s="4"/>
      <c r="H2" s="4"/>
      <c r="I2" s="4"/>
      <c r="J2" s="4"/>
      <c r="K2" s="4"/>
      <c r="L2" s="3"/>
    </row>
    <row r="3" spans="1:12" x14ac:dyDescent="0.3">
      <c r="A3" s="8" t="s">
        <v>88</v>
      </c>
      <c r="B3" s="8"/>
      <c r="C3" s="8"/>
      <c r="D3" s="8"/>
      <c r="E3" s="8"/>
      <c r="F3" s="8"/>
      <c r="G3" s="8"/>
      <c r="H3" s="8"/>
      <c r="I3" s="8"/>
      <c r="J3" s="8"/>
      <c r="K3" s="4"/>
      <c r="L3" s="3"/>
    </row>
    <row r="4" spans="1:12" x14ac:dyDescent="0.3">
      <c r="A4" s="21"/>
      <c r="B4" s="8"/>
      <c r="C4" s="8"/>
      <c r="D4" s="8"/>
      <c r="E4" s="8"/>
      <c r="F4" s="8"/>
      <c r="G4" s="8"/>
      <c r="H4" s="8"/>
      <c r="I4" s="8"/>
      <c r="J4" s="8"/>
      <c r="K4" s="8"/>
      <c r="L4" s="8"/>
    </row>
    <row r="5" spans="1:12" x14ac:dyDescent="0.3">
      <c r="A5" s="21"/>
      <c r="B5" s="30" t="s">
        <v>33</v>
      </c>
      <c r="C5" s="30" t="s">
        <v>89</v>
      </c>
      <c r="D5" s="30" t="s">
        <v>85</v>
      </c>
      <c r="E5" s="8"/>
      <c r="F5" s="8"/>
      <c r="G5" s="8"/>
      <c r="H5" s="8"/>
      <c r="I5" s="8"/>
      <c r="J5" s="8"/>
      <c r="K5" s="8"/>
      <c r="L5" s="8"/>
    </row>
    <row r="6" spans="1:12" x14ac:dyDescent="0.3">
      <c r="A6" s="21"/>
      <c r="B6" s="54">
        <v>2021</v>
      </c>
      <c r="C6" s="55">
        <v>538680</v>
      </c>
      <c r="D6" s="55">
        <v>5670300</v>
      </c>
      <c r="E6" s="8"/>
      <c r="F6" s="8"/>
      <c r="G6" s="8"/>
      <c r="H6" s="8"/>
      <c r="I6" s="8"/>
      <c r="J6" s="8"/>
      <c r="K6" s="8"/>
      <c r="L6" s="8"/>
    </row>
    <row r="7" spans="1:12" x14ac:dyDescent="0.3">
      <c r="A7" s="21"/>
      <c r="B7" s="54">
        <v>2022</v>
      </c>
      <c r="C7" s="55">
        <v>579220</v>
      </c>
      <c r="D7" s="55">
        <v>5669000</v>
      </c>
      <c r="E7" s="8"/>
      <c r="F7" s="8"/>
      <c r="G7" s="8"/>
      <c r="H7" s="8"/>
      <c r="I7" s="8"/>
      <c r="J7" s="8"/>
      <c r="K7" s="8"/>
      <c r="L7" s="8"/>
    </row>
    <row r="8" spans="1:12" x14ac:dyDescent="0.3">
      <c r="A8" s="21"/>
      <c r="B8" s="54">
        <v>2023</v>
      </c>
      <c r="C8" s="55">
        <v>622000</v>
      </c>
      <c r="D8" s="55">
        <v>6282800</v>
      </c>
      <c r="E8" s="8"/>
      <c r="F8" s="8"/>
      <c r="G8" s="8"/>
      <c r="H8" s="8"/>
      <c r="I8" s="8"/>
      <c r="J8" s="8"/>
      <c r="K8" s="8"/>
      <c r="L8" s="8"/>
    </row>
    <row r="9" spans="1:12" x14ac:dyDescent="0.3">
      <c r="A9" s="8"/>
      <c r="B9" s="54">
        <v>2024</v>
      </c>
      <c r="C9" s="55">
        <v>732130</v>
      </c>
      <c r="D9" s="55">
        <v>7108100</v>
      </c>
      <c r="E9" s="8"/>
      <c r="F9" s="8"/>
      <c r="G9" s="8"/>
      <c r="H9" s="8"/>
      <c r="I9" s="8"/>
      <c r="J9" s="8"/>
      <c r="K9" s="8"/>
      <c r="L9" s="8"/>
    </row>
    <row r="10" spans="1:12" x14ac:dyDescent="0.3">
      <c r="A10" s="8"/>
      <c r="B10" s="8"/>
      <c r="C10" s="8"/>
      <c r="D10" s="8"/>
      <c r="E10" s="8"/>
      <c r="F10" s="8"/>
      <c r="G10" s="8"/>
      <c r="H10" s="8"/>
      <c r="I10" s="8"/>
      <c r="J10" s="8"/>
      <c r="K10" s="8"/>
      <c r="L10" s="8"/>
    </row>
    <row r="11" spans="1:12" x14ac:dyDescent="0.3">
      <c r="A11" s="21"/>
      <c r="B11" s="203" t="s">
        <v>216</v>
      </c>
      <c r="C11" s="203"/>
      <c r="D11" s="203"/>
      <c r="E11" s="8"/>
      <c r="F11" s="8"/>
      <c r="G11" s="8"/>
      <c r="H11" s="8"/>
      <c r="I11" s="8"/>
      <c r="J11" s="8"/>
      <c r="K11" s="8"/>
      <c r="L11" s="8"/>
    </row>
    <row r="12" spans="1:12" x14ac:dyDescent="0.3">
      <c r="A12" s="8"/>
      <c r="B12" s="204" t="s">
        <v>90</v>
      </c>
      <c r="C12" s="204"/>
      <c r="D12" s="29">
        <v>34514400</v>
      </c>
      <c r="E12" s="8"/>
      <c r="F12" s="8"/>
      <c r="G12" s="8"/>
      <c r="H12" s="8"/>
      <c r="I12" s="8"/>
      <c r="J12" s="8"/>
      <c r="K12" s="8"/>
      <c r="L12" s="8"/>
    </row>
    <row r="13" spans="1:12" x14ac:dyDescent="0.3">
      <c r="A13" s="8"/>
      <c r="B13" s="204" t="s">
        <v>91</v>
      </c>
      <c r="C13" s="204"/>
      <c r="D13" s="29">
        <v>36861900</v>
      </c>
      <c r="E13" s="8"/>
      <c r="F13" s="8"/>
      <c r="G13" s="8"/>
      <c r="H13" s="8"/>
      <c r="I13" s="8"/>
      <c r="J13" s="8"/>
      <c r="K13" s="8"/>
      <c r="L13" s="8"/>
    </row>
    <row r="14" spans="1:12" x14ac:dyDescent="0.3">
      <c r="A14" s="8"/>
      <c r="B14" s="204" t="s">
        <v>92</v>
      </c>
      <c r="C14" s="204"/>
      <c r="D14" s="29">
        <v>42514600</v>
      </c>
      <c r="E14" s="8"/>
      <c r="F14" s="8"/>
      <c r="G14" s="8"/>
      <c r="H14" s="8"/>
      <c r="I14" s="8"/>
      <c r="J14" s="8"/>
      <c r="K14" s="8"/>
      <c r="L14" s="8"/>
    </row>
    <row r="15" spans="1:12" x14ac:dyDescent="0.3">
      <c r="A15" s="8"/>
      <c r="B15" s="204" t="s">
        <v>93</v>
      </c>
      <c r="C15" s="204"/>
      <c r="D15" s="29">
        <v>1243600</v>
      </c>
      <c r="E15" s="8"/>
      <c r="F15" s="8"/>
      <c r="G15" s="8"/>
      <c r="H15" s="8"/>
      <c r="I15" s="8"/>
      <c r="J15" s="8"/>
      <c r="K15" s="8"/>
      <c r="L15" s="8"/>
    </row>
    <row r="16" spans="1:12" x14ac:dyDescent="0.3">
      <c r="A16" s="8"/>
      <c r="B16" s="8"/>
      <c r="C16" s="8"/>
      <c r="D16" s="8"/>
      <c r="E16" s="8"/>
      <c r="F16" s="8"/>
      <c r="G16" s="8"/>
      <c r="H16" s="8"/>
      <c r="I16" s="8"/>
      <c r="J16" s="8"/>
      <c r="K16" s="8"/>
      <c r="L16" s="8"/>
    </row>
    <row r="17" spans="1:18" x14ac:dyDescent="0.3">
      <c r="A17" s="8"/>
      <c r="B17" s="13" t="s">
        <v>94</v>
      </c>
      <c r="C17" s="8"/>
      <c r="D17" s="8"/>
      <c r="E17" s="8"/>
      <c r="F17" s="8"/>
      <c r="G17" s="8"/>
      <c r="H17" s="8"/>
      <c r="I17" s="8"/>
      <c r="J17" s="8"/>
      <c r="K17" s="8"/>
      <c r="L17" s="8"/>
    </row>
    <row r="18" spans="1:18" x14ac:dyDescent="0.3">
      <c r="A18" s="8"/>
      <c r="B18" s="20" t="s">
        <v>96</v>
      </c>
      <c r="C18" s="8"/>
      <c r="D18" s="8"/>
      <c r="E18" s="8"/>
      <c r="F18" s="8"/>
      <c r="G18" s="37">
        <v>52000</v>
      </c>
      <c r="H18" s="8"/>
      <c r="I18" s="8"/>
      <c r="J18" s="8"/>
      <c r="K18" s="8"/>
      <c r="L18" s="8"/>
    </row>
    <row r="19" spans="1:18" x14ac:dyDescent="0.3">
      <c r="A19" s="8"/>
      <c r="B19" s="20"/>
      <c r="C19" s="8" t="s">
        <v>95</v>
      </c>
      <c r="D19" s="8"/>
      <c r="E19" s="8"/>
      <c r="F19" s="8"/>
      <c r="G19" s="8"/>
      <c r="H19" s="8"/>
      <c r="I19" s="8"/>
      <c r="J19" s="8"/>
      <c r="K19" s="8"/>
      <c r="L19" s="8"/>
    </row>
    <row r="20" spans="1:18" x14ac:dyDescent="0.3">
      <c r="A20" s="8"/>
      <c r="B20" s="20" t="s">
        <v>97</v>
      </c>
      <c r="C20" s="34">
        <v>0.4</v>
      </c>
      <c r="D20" s="8" t="s">
        <v>99</v>
      </c>
      <c r="E20" s="8"/>
      <c r="F20" s="8"/>
      <c r="G20" s="8"/>
      <c r="H20" s="8"/>
      <c r="I20" s="8"/>
      <c r="J20" s="8"/>
      <c r="K20" s="8"/>
      <c r="L20" s="8"/>
    </row>
    <row r="21" spans="1:18" x14ac:dyDescent="0.3">
      <c r="A21" s="8"/>
      <c r="B21" s="8"/>
      <c r="C21" s="34">
        <v>0.6</v>
      </c>
      <c r="D21" s="8" t="s">
        <v>98</v>
      </c>
      <c r="E21" s="8"/>
      <c r="F21" s="8"/>
      <c r="G21" s="8"/>
      <c r="H21" s="8"/>
      <c r="I21" s="8"/>
      <c r="J21" s="8"/>
      <c r="K21" s="8"/>
      <c r="L21" s="8"/>
    </row>
    <row r="22" spans="1:18" x14ac:dyDescent="0.3">
      <c r="A22" s="6"/>
      <c r="B22" s="6"/>
      <c r="C22" s="6"/>
      <c r="D22" s="6"/>
      <c r="E22" s="6"/>
      <c r="F22" s="6"/>
      <c r="G22" s="6"/>
      <c r="H22" s="6"/>
      <c r="I22" s="6"/>
      <c r="J22" s="6"/>
      <c r="K22" s="6"/>
      <c r="L22" s="6"/>
    </row>
    <row r="23" spans="1:18" x14ac:dyDescent="0.3">
      <c r="A23" s="5" t="s">
        <v>4</v>
      </c>
      <c r="B23" s="8" t="s">
        <v>100</v>
      </c>
      <c r="C23" s="4"/>
      <c r="D23" s="4"/>
      <c r="E23" s="4"/>
      <c r="F23" s="4"/>
      <c r="G23" s="4"/>
      <c r="H23" s="4"/>
      <c r="I23" s="4"/>
      <c r="J23" s="4"/>
      <c r="K23" s="4"/>
      <c r="L23" s="4"/>
      <c r="M23" s="7"/>
      <c r="N23" s="7"/>
      <c r="O23" s="7"/>
      <c r="P23" s="7"/>
      <c r="Q23" s="7"/>
      <c r="R23" s="7"/>
    </row>
    <row r="24" spans="1:18" x14ac:dyDescent="0.3">
      <c r="A24" s="6"/>
      <c r="B24" s="6"/>
      <c r="C24" s="6"/>
      <c r="D24" s="6"/>
      <c r="E24" s="6"/>
      <c r="F24" s="6"/>
      <c r="G24" s="6"/>
      <c r="H24" s="6"/>
      <c r="I24" s="6"/>
      <c r="J24" s="6"/>
      <c r="K24" s="6"/>
      <c r="L24" s="6"/>
      <c r="M24" s="6"/>
    </row>
    <row r="25" spans="1:18" x14ac:dyDescent="0.3">
      <c r="A25" s="6" t="s">
        <v>1</v>
      </c>
      <c r="B25" s="6"/>
      <c r="C25" s="6"/>
      <c r="D25" s="6"/>
      <c r="E25" s="6"/>
      <c r="F25" s="6"/>
      <c r="G25" s="6"/>
      <c r="H25" s="6"/>
      <c r="I25" s="6"/>
      <c r="J25" s="6"/>
      <c r="K25" s="6"/>
      <c r="L25" s="6"/>
      <c r="M25" s="6"/>
      <c r="N25" s="7"/>
    </row>
    <row r="26" spans="1:18" x14ac:dyDescent="0.3">
      <c r="A26" s="122"/>
      <c r="B26"/>
      <c r="G26" s="6"/>
      <c r="H26" s="6"/>
      <c r="I26" s="6"/>
      <c r="J26" s="6"/>
      <c r="K26" s="6"/>
      <c r="L26" s="6"/>
      <c r="M26" s="6"/>
      <c r="N26" s="7"/>
    </row>
    <row r="27" spans="1:18" x14ac:dyDescent="0.3">
      <c r="A27" s="1" t="s">
        <v>342</v>
      </c>
      <c r="G27" s="6"/>
      <c r="H27" s="6"/>
      <c r="I27" s="6"/>
      <c r="J27" s="6"/>
      <c r="K27" s="6"/>
      <c r="L27" s="6"/>
      <c r="M27" s="6"/>
      <c r="N27" s="7"/>
    </row>
    <row r="28" spans="1:18" x14ac:dyDescent="0.3">
      <c r="A28" s="1" t="s">
        <v>343</v>
      </c>
      <c r="G28" s="6"/>
      <c r="H28" s="6"/>
      <c r="I28" s="6"/>
      <c r="J28" s="6"/>
      <c r="K28" s="6"/>
      <c r="L28" s="6"/>
      <c r="M28" s="6"/>
      <c r="N28" s="7"/>
    </row>
    <row r="29" spans="1:18" x14ac:dyDescent="0.3">
      <c r="A29" s="81" t="s">
        <v>344</v>
      </c>
      <c r="B29" s="81" t="s">
        <v>89</v>
      </c>
      <c r="C29" s="81" t="s">
        <v>85</v>
      </c>
      <c r="D29" s="81" t="s">
        <v>345</v>
      </c>
      <c r="G29" s="6"/>
      <c r="H29" s="6"/>
      <c r="I29" s="6"/>
      <c r="J29" s="6"/>
      <c r="K29" s="6"/>
      <c r="L29" s="6"/>
      <c r="M29" s="6"/>
      <c r="N29" s="7"/>
    </row>
    <row r="30" spans="1:18" x14ac:dyDescent="0.3">
      <c r="A30" s="85">
        <f>B6</f>
        <v>2021</v>
      </c>
      <c r="B30" s="115">
        <f>C6</f>
        <v>538680</v>
      </c>
      <c r="C30" s="115">
        <f>D6</f>
        <v>5670300</v>
      </c>
      <c r="D30" s="141">
        <f>B30/C30</f>
        <v>9.500026453626792E-2</v>
      </c>
      <c r="F30" s="87"/>
      <c r="G30" s="6"/>
      <c r="H30" s="6"/>
      <c r="I30" s="6"/>
      <c r="J30" s="6"/>
      <c r="K30" s="6"/>
      <c r="L30" s="6"/>
      <c r="M30" s="6"/>
      <c r="N30" s="7"/>
    </row>
    <row r="31" spans="1:18" x14ac:dyDescent="0.3">
      <c r="A31" s="85">
        <f t="shared" ref="A31:A33" si="0">B7</f>
        <v>2022</v>
      </c>
      <c r="B31" s="142">
        <f>C7-G18</f>
        <v>527220</v>
      </c>
      <c r="C31" s="115">
        <f t="shared" ref="C31:C33" si="1">D7</f>
        <v>5669000</v>
      </c>
      <c r="D31" s="141">
        <f>B31/C31</f>
        <v>9.3000529193861356E-2</v>
      </c>
      <c r="F31" s="87"/>
      <c r="G31" s="6"/>
      <c r="H31" s="6"/>
      <c r="I31" s="6"/>
      <c r="J31" s="6"/>
      <c r="K31" s="6"/>
      <c r="L31" s="6"/>
      <c r="M31" s="6"/>
      <c r="N31" s="7"/>
    </row>
    <row r="32" spans="1:18" x14ac:dyDescent="0.3">
      <c r="A32" s="85">
        <f t="shared" si="0"/>
        <v>2023</v>
      </c>
      <c r="B32" s="115">
        <f t="shared" ref="B32:B33" si="2">C8</f>
        <v>622000</v>
      </c>
      <c r="C32" s="115">
        <f t="shared" si="1"/>
        <v>6282800</v>
      </c>
      <c r="D32" s="141">
        <f>B32/C32</f>
        <v>9.9000445661170181E-2</v>
      </c>
      <c r="G32" s="6"/>
      <c r="H32" s="6"/>
      <c r="I32" s="6"/>
      <c r="J32" s="6"/>
      <c r="K32" s="6"/>
      <c r="L32" s="6"/>
      <c r="M32" s="6"/>
      <c r="N32" s="7"/>
    </row>
    <row r="33" spans="1:14" x14ac:dyDescent="0.3">
      <c r="A33" s="81">
        <f t="shared" si="0"/>
        <v>2024</v>
      </c>
      <c r="B33" s="143">
        <f t="shared" si="2"/>
        <v>732130</v>
      </c>
      <c r="C33" s="143">
        <f t="shared" si="1"/>
        <v>7108100</v>
      </c>
      <c r="D33" s="144">
        <f>B33/C33</f>
        <v>0.10299939505634417</v>
      </c>
      <c r="G33" s="6"/>
      <c r="H33" s="6"/>
      <c r="I33" s="6"/>
      <c r="J33" s="6"/>
      <c r="K33" s="6"/>
      <c r="L33" s="6"/>
      <c r="M33" s="6"/>
      <c r="N33" s="7"/>
    </row>
    <row r="34" spans="1:14" x14ac:dyDescent="0.3">
      <c r="A34" s="85" t="s">
        <v>86</v>
      </c>
      <c r="B34" s="115">
        <f>SUM(B30:B33)</f>
        <v>2420030</v>
      </c>
      <c r="C34" s="115">
        <f>SUM(C30:C33)</f>
        <v>24730200</v>
      </c>
      <c r="D34" s="141">
        <f>B34/C34</f>
        <v>9.7857275719565553E-2</v>
      </c>
      <c r="G34" s="6"/>
      <c r="H34" s="6"/>
      <c r="I34" s="6"/>
      <c r="J34" s="6"/>
      <c r="K34" s="6"/>
      <c r="L34" s="6"/>
      <c r="M34" s="6"/>
      <c r="N34" s="7"/>
    </row>
    <row r="35" spans="1:14" x14ac:dyDescent="0.3">
      <c r="A35" s="85"/>
      <c r="B35" s="115"/>
      <c r="C35" s="115"/>
      <c r="D35" s="141"/>
      <c r="G35" s="6"/>
      <c r="H35" s="6"/>
      <c r="I35" s="6"/>
      <c r="J35" s="6"/>
      <c r="K35" s="6"/>
      <c r="L35" s="6"/>
      <c r="M35" s="6"/>
      <c r="N35" s="7"/>
    </row>
    <row r="36" spans="1:14" x14ac:dyDescent="0.3">
      <c r="A36" s="119" t="s">
        <v>346</v>
      </c>
      <c r="B36" s="115"/>
      <c r="C36" s="115"/>
      <c r="D36" s="141">
        <f>AVERAGE(D32:D33)</f>
        <v>0.10099992035875718</v>
      </c>
      <c r="G36" s="6"/>
      <c r="H36" s="6"/>
      <c r="I36" s="6"/>
      <c r="J36" s="6"/>
      <c r="K36" s="6"/>
      <c r="L36" s="6"/>
      <c r="M36" s="6"/>
      <c r="N36" s="7"/>
    </row>
    <row r="37" spans="1:14" x14ac:dyDescent="0.3">
      <c r="A37" s="119" t="s">
        <v>347</v>
      </c>
      <c r="B37" s="145"/>
      <c r="C37" s="145"/>
      <c r="D37" s="146"/>
      <c r="E37" s="119"/>
      <c r="G37" s="6"/>
      <c r="H37" s="6"/>
      <c r="I37" s="6"/>
      <c r="J37" s="6"/>
      <c r="K37" s="6"/>
      <c r="L37" s="6"/>
      <c r="M37" s="6"/>
      <c r="N37" s="7"/>
    </row>
    <row r="38" spans="1:14" x14ac:dyDescent="0.3">
      <c r="A38" s="119"/>
      <c r="B38" s="145"/>
      <c r="C38" s="145"/>
      <c r="D38" s="146"/>
      <c r="E38" s="119"/>
      <c r="G38" s="6"/>
      <c r="H38" s="6"/>
      <c r="I38" s="6"/>
      <c r="J38" s="6"/>
      <c r="K38" s="6"/>
      <c r="L38" s="6"/>
      <c r="M38" s="6"/>
      <c r="N38" s="7"/>
    </row>
    <row r="39" spans="1:14" x14ac:dyDescent="0.3">
      <c r="A39" s="119" t="s">
        <v>348</v>
      </c>
      <c r="B39" s="147" t="s">
        <v>349</v>
      </c>
      <c r="C39" s="145"/>
      <c r="D39" s="146"/>
      <c r="E39" s="119"/>
      <c r="G39" s="6"/>
      <c r="H39" s="6"/>
      <c r="I39" s="6"/>
      <c r="J39" s="6"/>
      <c r="K39" s="6"/>
      <c r="L39" s="6"/>
      <c r="M39" s="6"/>
      <c r="N39" s="7"/>
    </row>
    <row r="40" spans="1:14" x14ac:dyDescent="0.3">
      <c r="A40" s="119" t="s">
        <v>350</v>
      </c>
      <c r="B40" s="115">
        <f>D13-D12</f>
        <v>2347500</v>
      </c>
      <c r="C40" s="145"/>
      <c r="D40" s="146"/>
      <c r="E40" s="119"/>
      <c r="F40" s="87"/>
      <c r="G40" s="6"/>
      <c r="H40" s="6"/>
      <c r="I40" s="6"/>
      <c r="J40" s="6"/>
      <c r="K40" s="6"/>
      <c r="L40" s="6"/>
      <c r="M40" s="6"/>
      <c r="N40" s="7"/>
    </row>
    <row r="41" spans="1:14" x14ac:dyDescent="0.3">
      <c r="A41" s="119" t="s">
        <v>351</v>
      </c>
      <c r="B41" s="115">
        <f>D14-D13</f>
        <v>5652700</v>
      </c>
      <c r="C41" s="145"/>
      <c r="D41" s="146"/>
      <c r="E41" s="119"/>
      <c r="G41" s="6"/>
      <c r="H41" s="6"/>
      <c r="I41" s="6"/>
      <c r="J41" s="6"/>
      <c r="K41" s="6"/>
      <c r="L41" s="6"/>
      <c r="M41" s="6"/>
      <c r="N41" s="7"/>
    </row>
    <row r="42" spans="1:14" x14ac:dyDescent="0.3">
      <c r="A42" s="119" t="s">
        <v>93</v>
      </c>
      <c r="B42" s="115">
        <f>D15</f>
        <v>1243600</v>
      </c>
      <c r="C42" s="145"/>
      <c r="D42" s="146"/>
      <c r="E42" s="119"/>
      <c r="G42" s="6"/>
      <c r="H42" s="6"/>
      <c r="I42" s="6"/>
      <c r="J42" s="6"/>
      <c r="K42" s="6"/>
      <c r="L42" s="6"/>
      <c r="M42" s="6"/>
      <c r="N42" s="7"/>
    </row>
    <row r="43" spans="1:14" x14ac:dyDescent="0.3">
      <c r="A43" s="119" t="s">
        <v>352</v>
      </c>
      <c r="B43" s="115">
        <f>B41-B42</f>
        <v>4409100</v>
      </c>
      <c r="C43" s="145"/>
      <c r="D43" s="146"/>
      <c r="E43" s="119"/>
      <c r="F43" s="87"/>
      <c r="G43" s="6"/>
      <c r="H43" s="6"/>
      <c r="I43" s="6"/>
      <c r="J43" s="6"/>
      <c r="K43" s="6"/>
      <c r="L43" s="6"/>
      <c r="M43" s="6"/>
      <c r="N43" s="7"/>
    </row>
    <row r="44" spans="1:14" x14ac:dyDescent="0.3">
      <c r="A44" s="119"/>
      <c r="B44" s="145"/>
      <c r="C44" s="145"/>
      <c r="D44" s="146"/>
      <c r="E44" s="119"/>
      <c r="G44" s="6"/>
      <c r="H44" s="6"/>
      <c r="I44" s="6"/>
      <c r="J44" s="6"/>
      <c r="K44" s="6"/>
      <c r="L44" s="6"/>
      <c r="M44" s="6"/>
      <c r="N44" s="7"/>
    </row>
    <row r="45" spans="1:14" x14ac:dyDescent="0.3">
      <c r="A45" s="148" t="s">
        <v>353</v>
      </c>
      <c r="B45" s="149" t="s">
        <v>349</v>
      </c>
      <c r="C45" s="143" t="s">
        <v>354</v>
      </c>
      <c r="D45" s="144" t="s">
        <v>345</v>
      </c>
      <c r="E45" s="81" t="s">
        <v>355</v>
      </c>
      <c r="G45" s="6"/>
      <c r="H45" s="6"/>
      <c r="I45" s="6"/>
      <c r="J45" s="6"/>
      <c r="K45" s="6"/>
      <c r="L45" s="6"/>
      <c r="M45" s="6"/>
      <c r="N45" s="7"/>
    </row>
    <row r="46" spans="1:14" x14ac:dyDescent="0.3">
      <c r="A46" s="119" t="s">
        <v>350</v>
      </c>
      <c r="B46" s="115">
        <f>B40</f>
        <v>2347500</v>
      </c>
      <c r="C46" s="150">
        <f>C21</f>
        <v>0.6</v>
      </c>
      <c r="D46" s="141">
        <f>$D$36</f>
        <v>0.10099992035875718</v>
      </c>
      <c r="E46" s="115">
        <f>D46*C46*B46</f>
        <v>142258.38782530947</v>
      </c>
      <c r="F46" s="87"/>
      <c r="G46" s="6"/>
      <c r="H46" s="6"/>
      <c r="I46" s="6"/>
      <c r="J46" s="6"/>
      <c r="K46" s="6"/>
      <c r="L46" s="6"/>
      <c r="M46" s="6"/>
      <c r="N46" s="7"/>
    </row>
    <row r="47" spans="1:14" x14ac:dyDescent="0.3">
      <c r="A47" s="119" t="s">
        <v>93</v>
      </c>
      <c r="B47" s="115">
        <f>B42</f>
        <v>1243600</v>
      </c>
      <c r="C47" s="150">
        <v>1</v>
      </c>
      <c r="D47" s="141">
        <f>$D$36</f>
        <v>0.10099992035875718</v>
      </c>
      <c r="E47" s="115">
        <f t="shared" ref="E47:E48" si="3">D47*C47*B47</f>
        <v>125603.50095815043</v>
      </c>
      <c r="F47" s="87"/>
      <c r="G47" s="6"/>
      <c r="H47" s="6"/>
      <c r="I47" s="6"/>
      <c r="J47" s="6"/>
      <c r="K47" s="6"/>
      <c r="L47" s="6"/>
      <c r="M47" s="6"/>
      <c r="N47" s="7"/>
    </row>
    <row r="48" spans="1:14" x14ac:dyDescent="0.3">
      <c r="A48" s="148" t="s">
        <v>352</v>
      </c>
      <c r="B48" s="143">
        <f>B43</f>
        <v>4409100</v>
      </c>
      <c r="C48" s="151">
        <f>C21</f>
        <v>0.6</v>
      </c>
      <c r="D48" s="144">
        <f>$D$36</f>
        <v>0.10099992035875718</v>
      </c>
      <c r="E48" s="143">
        <f t="shared" si="3"/>
        <v>267191.24931227777</v>
      </c>
      <c r="F48" s="87"/>
      <c r="G48" s="6"/>
      <c r="H48" s="6"/>
      <c r="I48" s="6"/>
      <c r="J48" s="6"/>
      <c r="K48" s="6"/>
      <c r="L48" s="6"/>
      <c r="M48" s="6"/>
      <c r="N48" s="7"/>
    </row>
    <row r="49" spans="1:14" x14ac:dyDescent="0.3">
      <c r="A49" s="119" t="s">
        <v>86</v>
      </c>
      <c r="B49" s="119"/>
      <c r="C49" s="119"/>
      <c r="D49" s="119"/>
      <c r="E49" s="115">
        <f>SUM(E46:E48)</f>
        <v>535053.13809573767</v>
      </c>
      <c r="F49" s="119"/>
      <c r="G49" s="6"/>
      <c r="H49" s="6"/>
      <c r="I49" s="6"/>
      <c r="J49" s="6"/>
      <c r="K49" s="6"/>
      <c r="L49" s="6"/>
      <c r="M49" s="6"/>
      <c r="N49" s="7"/>
    </row>
    <row r="50" spans="1:14" x14ac:dyDescent="0.3">
      <c r="M50" s="7"/>
      <c r="N50" s="7"/>
    </row>
    <row r="51" spans="1:14" x14ac:dyDescent="0.3">
      <c r="A51" s="5" t="s">
        <v>5</v>
      </c>
      <c r="B51" s="8" t="s">
        <v>101</v>
      </c>
      <c r="C51" s="4"/>
      <c r="D51" s="4"/>
      <c r="E51" s="4"/>
      <c r="F51" s="4"/>
      <c r="G51" s="4"/>
      <c r="H51" s="4"/>
      <c r="I51" s="4"/>
      <c r="J51" s="4"/>
      <c r="K51" s="4"/>
      <c r="L51" s="4"/>
    </row>
    <row r="52" spans="1:14" x14ac:dyDescent="0.3">
      <c r="A52" s="6"/>
      <c r="B52" s="6"/>
      <c r="C52" s="6"/>
      <c r="D52" s="6"/>
      <c r="E52" s="6"/>
      <c r="F52" s="6"/>
      <c r="G52" s="6"/>
      <c r="H52" s="6"/>
      <c r="I52" s="6"/>
      <c r="J52" s="6"/>
      <c r="K52" s="6"/>
      <c r="L52" s="6"/>
    </row>
    <row r="53" spans="1:14" x14ac:dyDescent="0.3">
      <c r="A53" s="6" t="s">
        <v>1</v>
      </c>
      <c r="B53" s="6"/>
      <c r="C53" s="6"/>
      <c r="D53" s="6"/>
      <c r="E53" s="6"/>
      <c r="F53" s="6"/>
      <c r="G53" s="6"/>
      <c r="H53" s="6"/>
      <c r="I53" s="6"/>
      <c r="J53" s="6"/>
      <c r="K53" s="6"/>
      <c r="L53" s="6"/>
    </row>
    <row r="54" spans="1:14" x14ac:dyDescent="0.3">
      <c r="A54" s="6"/>
      <c r="B54" s="6"/>
      <c r="C54" s="6"/>
      <c r="D54" s="6"/>
      <c r="E54" s="6"/>
      <c r="F54" s="6"/>
      <c r="G54" s="6"/>
      <c r="H54" s="6"/>
      <c r="I54" s="6"/>
      <c r="J54" s="6"/>
      <c r="K54" s="6"/>
      <c r="L54" s="6"/>
    </row>
    <row r="55" spans="1:14" x14ac:dyDescent="0.3">
      <c r="A55" s="6" t="s">
        <v>361</v>
      </c>
      <c r="B55" s="6"/>
      <c r="C55" s="6"/>
      <c r="D55" s="6"/>
      <c r="E55" s="6"/>
      <c r="F55" s="6"/>
      <c r="G55" s="6"/>
      <c r="H55" s="6"/>
      <c r="I55" s="6"/>
      <c r="J55" s="6"/>
      <c r="K55" s="6"/>
      <c r="L55" s="6"/>
    </row>
    <row r="57" spans="1:14" x14ac:dyDescent="0.3">
      <c r="A57" s="5" t="s">
        <v>0</v>
      </c>
      <c r="B57" s="8" t="s">
        <v>102</v>
      </c>
      <c r="C57" s="4"/>
      <c r="D57" s="4"/>
      <c r="E57" s="4"/>
      <c r="F57" s="4"/>
      <c r="G57" s="4"/>
      <c r="H57" s="4"/>
      <c r="I57" s="4"/>
      <c r="J57" s="4"/>
      <c r="K57" s="4"/>
      <c r="L57" s="4"/>
    </row>
    <row r="58" spans="1:14" x14ac:dyDescent="0.3">
      <c r="A58" s="6"/>
      <c r="B58" s="6"/>
      <c r="C58" s="6"/>
      <c r="D58" s="6"/>
      <c r="E58" s="6"/>
      <c r="F58" s="6"/>
      <c r="G58" s="6"/>
      <c r="H58" s="6"/>
      <c r="I58" s="6"/>
      <c r="J58" s="6"/>
      <c r="K58" s="6"/>
      <c r="L58" s="6"/>
    </row>
    <row r="59" spans="1:14" x14ac:dyDescent="0.3">
      <c r="A59" s="6" t="s">
        <v>1</v>
      </c>
      <c r="B59" s="6"/>
      <c r="C59" s="6"/>
      <c r="D59" s="6"/>
      <c r="E59" s="6"/>
      <c r="F59" s="6"/>
      <c r="G59" s="6"/>
      <c r="H59" s="6"/>
      <c r="I59" s="6"/>
      <c r="J59" s="6"/>
      <c r="K59" s="6"/>
      <c r="L59" s="6"/>
    </row>
    <row r="60" spans="1:14" x14ac:dyDescent="0.3">
      <c r="A60" s="6"/>
      <c r="B60" s="6"/>
      <c r="C60" s="6"/>
      <c r="D60" s="6"/>
      <c r="E60" s="6"/>
      <c r="F60" s="6"/>
      <c r="G60" s="6"/>
      <c r="H60" s="6"/>
      <c r="I60" s="6"/>
      <c r="J60" s="6"/>
      <c r="K60" s="6"/>
      <c r="L60" s="6"/>
    </row>
    <row r="61" spans="1:14" x14ac:dyDescent="0.3">
      <c r="A61" s="6" t="s">
        <v>362</v>
      </c>
      <c r="B61" s="6"/>
      <c r="C61" s="6"/>
      <c r="D61" s="6"/>
      <c r="E61" s="6"/>
      <c r="F61" s="6"/>
      <c r="G61" s="6"/>
      <c r="H61" s="6"/>
      <c r="I61" s="6"/>
      <c r="J61" s="6"/>
      <c r="K61" s="6"/>
      <c r="L61" s="6"/>
    </row>
    <row r="62" spans="1:14" x14ac:dyDescent="0.3">
      <c r="M62" s="6"/>
      <c r="N62" s="6"/>
    </row>
    <row r="63" spans="1:14" x14ac:dyDescent="0.3">
      <c r="A63" s="5" t="s">
        <v>2</v>
      </c>
      <c r="B63" s="8" t="s">
        <v>103</v>
      </c>
      <c r="C63" s="4"/>
      <c r="D63" s="4"/>
      <c r="E63" s="4"/>
      <c r="F63" s="4"/>
      <c r="G63" s="4"/>
      <c r="H63" s="4"/>
      <c r="I63" s="4"/>
      <c r="J63" s="4"/>
      <c r="K63" s="4"/>
      <c r="L63" s="4"/>
    </row>
    <row r="64" spans="1:14" x14ac:dyDescent="0.3">
      <c r="A64" s="6"/>
      <c r="B64" s="6"/>
      <c r="C64" s="6"/>
      <c r="D64" s="6"/>
      <c r="E64" s="6"/>
      <c r="F64" s="6"/>
      <c r="G64" s="6"/>
      <c r="H64" s="6"/>
      <c r="I64" s="6"/>
      <c r="J64" s="6"/>
      <c r="K64" s="6"/>
      <c r="L64" s="6"/>
    </row>
    <row r="65" spans="1:13" x14ac:dyDescent="0.3">
      <c r="A65" s="6" t="s">
        <v>1</v>
      </c>
      <c r="B65" s="6"/>
      <c r="C65" s="6"/>
      <c r="D65" s="6"/>
      <c r="E65" s="6"/>
      <c r="F65" s="6"/>
      <c r="G65" s="6"/>
      <c r="H65" s="6"/>
      <c r="I65" s="6"/>
      <c r="J65" s="6"/>
      <c r="K65" s="6"/>
      <c r="L65" s="6"/>
    </row>
    <row r="66" spans="1:13" x14ac:dyDescent="0.3">
      <c r="A66" s="6"/>
      <c r="B66" s="6"/>
      <c r="C66" s="6"/>
      <c r="D66" s="6"/>
      <c r="E66" s="6"/>
      <c r="F66" s="6"/>
      <c r="G66" s="6"/>
      <c r="H66" s="6"/>
      <c r="I66" s="6"/>
      <c r="J66" s="6"/>
      <c r="K66" s="6"/>
      <c r="L66" s="6"/>
    </row>
    <row r="67" spans="1:13" x14ac:dyDescent="0.3">
      <c r="A67" s="6" t="s">
        <v>292</v>
      </c>
      <c r="B67" s="6"/>
      <c r="C67" s="6"/>
      <c r="D67" s="6"/>
      <c r="E67" s="6"/>
      <c r="F67" s="6"/>
      <c r="G67" s="6"/>
      <c r="H67" s="6"/>
      <c r="I67" s="6"/>
      <c r="J67" s="6"/>
      <c r="K67" s="6"/>
      <c r="L67" s="6"/>
    </row>
    <row r="68" spans="1:13" x14ac:dyDescent="0.3">
      <c r="A68" s="1" t="s">
        <v>356</v>
      </c>
    </row>
    <row r="69" spans="1:13" x14ac:dyDescent="0.3">
      <c r="A69" s="1" t="s">
        <v>357</v>
      </c>
    </row>
    <row r="70" spans="1:13" x14ac:dyDescent="0.3">
      <c r="A70" s="1" t="s">
        <v>358</v>
      </c>
      <c r="M70" s="6"/>
    </row>
    <row r="71" spans="1:13" x14ac:dyDescent="0.3">
      <c r="A71" s="1" t="s">
        <v>359</v>
      </c>
    </row>
    <row r="72" spans="1:13" x14ac:dyDescent="0.3">
      <c r="A72" s="1" t="s">
        <v>360</v>
      </c>
    </row>
  </sheetData>
  <mergeCells count="5">
    <mergeCell ref="B11:D11"/>
    <mergeCell ref="B12:C12"/>
    <mergeCell ref="B13:C13"/>
    <mergeCell ref="B14:C14"/>
    <mergeCell ref="B15:C15"/>
  </mergeCell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41E71-036C-4B43-A2B3-33751F8F0355}">
  <dimension ref="A1:R42"/>
  <sheetViews>
    <sheetView zoomScaleNormal="100" workbookViewId="0"/>
  </sheetViews>
  <sheetFormatPr defaultRowHeight="15.6" x14ac:dyDescent="0.3"/>
  <cols>
    <col min="1" max="1" width="12.77734375" style="1" customWidth="1"/>
    <col min="2" max="2" width="14" style="1" customWidth="1"/>
    <col min="3" max="5" width="18.77734375" style="1" customWidth="1"/>
    <col min="6" max="12" width="12.77734375" style="1" customWidth="1"/>
    <col min="13" max="16384" width="8.88671875" style="1"/>
  </cols>
  <sheetData>
    <row r="1" spans="1:18" ht="17.399999999999999" x14ac:dyDescent="0.3">
      <c r="A1" s="2" t="s">
        <v>104</v>
      </c>
      <c r="B1" s="4"/>
      <c r="C1" s="8" t="s">
        <v>31</v>
      </c>
      <c r="D1" s="4"/>
      <c r="E1" s="4"/>
      <c r="F1" s="4"/>
      <c r="G1" s="4"/>
      <c r="H1" s="4"/>
      <c r="I1" s="4"/>
      <c r="J1" s="4"/>
      <c r="K1" s="4"/>
      <c r="L1" s="3"/>
    </row>
    <row r="2" spans="1:18" x14ac:dyDescent="0.3">
      <c r="A2" s="4"/>
      <c r="B2" s="4"/>
      <c r="C2" s="4"/>
      <c r="D2" s="4"/>
      <c r="E2" s="4"/>
      <c r="F2" s="4"/>
      <c r="G2" s="4"/>
      <c r="H2" s="4"/>
      <c r="I2" s="4"/>
      <c r="J2" s="4"/>
      <c r="K2" s="4"/>
      <c r="L2" s="3"/>
    </row>
    <row r="3" spans="1:18" x14ac:dyDescent="0.3">
      <c r="A3" s="8" t="s">
        <v>105</v>
      </c>
      <c r="B3" s="4"/>
      <c r="C3" s="4"/>
      <c r="D3" s="4"/>
      <c r="E3" s="4"/>
      <c r="F3" s="4"/>
      <c r="G3" s="4"/>
      <c r="H3" s="4"/>
      <c r="I3" s="4"/>
      <c r="J3" s="4"/>
      <c r="K3" s="4"/>
      <c r="L3" s="3"/>
    </row>
    <row r="4" spans="1:18" x14ac:dyDescent="0.3">
      <c r="A4" s="6"/>
      <c r="B4" s="6"/>
      <c r="C4" s="6"/>
      <c r="D4" s="6"/>
      <c r="E4" s="6"/>
      <c r="F4" s="6"/>
      <c r="G4" s="6"/>
      <c r="H4" s="6"/>
      <c r="I4" s="6"/>
      <c r="J4" s="6"/>
      <c r="K4" s="6"/>
      <c r="L4" s="6"/>
    </row>
    <row r="5" spans="1:18" x14ac:dyDescent="0.3">
      <c r="A5" s="5" t="s">
        <v>4</v>
      </c>
      <c r="B5" s="8" t="s">
        <v>106</v>
      </c>
      <c r="C5" s="4"/>
      <c r="D5" s="4"/>
      <c r="E5" s="4"/>
      <c r="F5" s="4"/>
      <c r="G5" s="4"/>
      <c r="H5" s="4"/>
      <c r="I5" s="4"/>
      <c r="J5" s="4"/>
      <c r="K5" s="4"/>
      <c r="L5" s="4"/>
      <c r="M5" s="7"/>
      <c r="N5" s="7"/>
      <c r="O5" s="7"/>
      <c r="P5" s="7"/>
      <c r="Q5" s="7"/>
      <c r="R5" s="7"/>
    </row>
    <row r="6" spans="1:18" x14ac:dyDescent="0.3">
      <c r="A6" s="6"/>
      <c r="B6" s="6"/>
      <c r="C6" s="6"/>
      <c r="D6" s="6"/>
      <c r="E6" s="6"/>
      <c r="F6" s="6"/>
      <c r="G6" s="6"/>
      <c r="H6" s="6"/>
      <c r="I6" s="6"/>
      <c r="J6" s="6"/>
      <c r="K6" s="6"/>
      <c r="L6" s="6"/>
      <c r="M6" s="6"/>
    </row>
    <row r="7" spans="1:18" x14ac:dyDescent="0.3">
      <c r="A7" s="6" t="s">
        <v>1</v>
      </c>
      <c r="B7" s="6"/>
      <c r="C7" s="6"/>
      <c r="D7" s="6"/>
      <c r="E7" s="6"/>
      <c r="F7" s="6"/>
      <c r="G7" s="6"/>
      <c r="H7" s="6"/>
      <c r="I7" s="6"/>
      <c r="J7" s="6"/>
      <c r="K7" s="6"/>
      <c r="L7" s="6"/>
      <c r="M7" s="6"/>
      <c r="N7" s="7"/>
    </row>
    <row r="8" spans="1:18" x14ac:dyDescent="0.3">
      <c r="A8" s="6"/>
      <c r="B8" s="6"/>
      <c r="C8" s="6"/>
      <c r="D8" s="6"/>
      <c r="E8" s="6"/>
      <c r="F8" s="6"/>
      <c r="G8" s="6"/>
      <c r="H8" s="6"/>
      <c r="I8" s="6"/>
      <c r="J8" s="6"/>
      <c r="K8" s="6"/>
      <c r="L8" s="6"/>
      <c r="M8" s="6"/>
      <c r="N8" s="7"/>
    </row>
    <row r="9" spans="1:18" x14ac:dyDescent="0.3">
      <c r="A9" s="6" t="s">
        <v>363</v>
      </c>
      <c r="B9" s="6"/>
      <c r="C9" s="6"/>
      <c r="D9" s="6"/>
      <c r="E9" s="6"/>
      <c r="F9" s="6"/>
      <c r="G9" s="6"/>
      <c r="H9" s="6"/>
      <c r="I9" s="6"/>
      <c r="J9" s="6"/>
      <c r="K9" s="6"/>
      <c r="L9" s="6"/>
      <c r="M9" s="6"/>
      <c r="N9" s="7"/>
    </row>
    <row r="10" spans="1:18" x14ac:dyDescent="0.3">
      <c r="M10" s="7"/>
      <c r="N10" s="7"/>
    </row>
    <row r="11" spans="1:18" x14ac:dyDescent="0.3">
      <c r="A11" s="5" t="s">
        <v>5</v>
      </c>
      <c r="B11" s="8" t="s">
        <v>107</v>
      </c>
      <c r="C11" s="4"/>
      <c r="D11" s="4"/>
      <c r="E11" s="4"/>
      <c r="F11" s="4"/>
      <c r="G11" s="4"/>
      <c r="H11" s="4"/>
      <c r="I11" s="4"/>
      <c r="J11" s="4"/>
      <c r="K11" s="4"/>
      <c r="L11" s="4"/>
    </row>
    <row r="12" spans="1:18" x14ac:dyDescent="0.3">
      <c r="A12" s="6"/>
      <c r="B12" s="6"/>
      <c r="C12" s="6"/>
      <c r="D12" s="6"/>
      <c r="E12" s="6"/>
      <c r="F12" s="6"/>
      <c r="G12" s="6"/>
      <c r="H12" s="6"/>
      <c r="I12" s="6"/>
      <c r="J12" s="6"/>
      <c r="K12" s="6"/>
      <c r="L12" s="6"/>
    </row>
    <row r="13" spans="1:18" x14ac:dyDescent="0.3">
      <c r="A13" s="6" t="s">
        <v>1</v>
      </c>
      <c r="B13" s="6"/>
      <c r="C13" s="6"/>
      <c r="D13" s="6"/>
      <c r="E13" s="6"/>
      <c r="F13" s="6"/>
      <c r="G13" s="6"/>
      <c r="H13" s="6"/>
      <c r="I13" s="6"/>
      <c r="J13" s="6"/>
      <c r="K13" s="6"/>
      <c r="L13" s="6"/>
    </row>
    <row r="14" spans="1:18" x14ac:dyDescent="0.3">
      <c r="A14" s="6"/>
      <c r="B14" s="6"/>
      <c r="C14" s="6"/>
      <c r="D14" s="6"/>
      <c r="E14" s="6"/>
      <c r="F14" s="6"/>
      <c r="G14" s="6"/>
      <c r="H14" s="6"/>
      <c r="I14" s="6"/>
      <c r="J14" s="6"/>
      <c r="K14" s="6"/>
      <c r="L14" s="6"/>
    </row>
    <row r="15" spans="1:18" x14ac:dyDescent="0.3">
      <c r="A15" s="6" t="s">
        <v>365</v>
      </c>
      <c r="B15" s="6"/>
      <c r="C15" s="6"/>
      <c r="D15" s="6"/>
      <c r="E15" s="6"/>
      <c r="F15" s="6"/>
      <c r="G15" s="6"/>
      <c r="H15" s="6"/>
      <c r="I15" s="6"/>
      <c r="J15" s="6"/>
      <c r="K15" s="6"/>
      <c r="L15" s="6"/>
    </row>
    <row r="16" spans="1:18" x14ac:dyDescent="0.3">
      <c r="M16" s="6"/>
    </row>
    <row r="17" spans="1:13" x14ac:dyDescent="0.3">
      <c r="A17" s="13" t="s">
        <v>12</v>
      </c>
      <c r="B17" s="8"/>
      <c r="C17" s="8"/>
      <c r="D17" s="8"/>
      <c r="E17" s="8"/>
      <c r="F17" s="8"/>
      <c r="G17" s="8"/>
      <c r="H17" s="12"/>
      <c r="I17" s="12"/>
      <c r="J17" s="12"/>
      <c r="K17" s="12"/>
      <c r="L17" s="12"/>
      <c r="M17" s="6"/>
    </row>
    <row r="18" spans="1:13" x14ac:dyDescent="0.3">
      <c r="A18" s="8"/>
      <c r="B18" s="20" t="s">
        <v>218</v>
      </c>
      <c r="C18" s="8"/>
      <c r="D18" s="57">
        <v>45597</v>
      </c>
      <c r="E18" s="80" t="s">
        <v>217</v>
      </c>
      <c r="F18" s="37">
        <v>19700</v>
      </c>
      <c r="G18" s="8"/>
      <c r="H18" s="8"/>
      <c r="I18" s="12"/>
      <c r="J18" s="12"/>
      <c r="K18" s="12"/>
      <c r="L18" s="12"/>
      <c r="M18" s="6"/>
    </row>
    <row r="19" spans="1:13" x14ac:dyDescent="0.3">
      <c r="A19" s="8"/>
      <c r="B19" s="20" t="s">
        <v>219</v>
      </c>
      <c r="C19" s="79"/>
      <c r="D19" s="8"/>
      <c r="E19" s="8"/>
      <c r="F19" s="8"/>
      <c r="G19" s="8"/>
      <c r="H19" s="8"/>
      <c r="I19" s="37">
        <v>2112000</v>
      </c>
      <c r="J19" s="12"/>
      <c r="K19" s="12"/>
      <c r="L19" s="12"/>
      <c r="M19" s="6"/>
    </row>
    <row r="20" spans="1:13" x14ac:dyDescent="0.3">
      <c r="A20" s="8"/>
      <c r="B20" s="20"/>
      <c r="C20" s="31" t="s">
        <v>114</v>
      </c>
      <c r="D20" s="57">
        <v>45717</v>
      </c>
      <c r="E20" s="8" t="s">
        <v>113</v>
      </c>
      <c r="F20" s="8"/>
      <c r="G20" s="8"/>
      <c r="H20" s="8"/>
      <c r="I20" s="12"/>
      <c r="J20" s="12"/>
      <c r="K20" s="12"/>
      <c r="L20" s="12"/>
      <c r="M20" s="6"/>
    </row>
    <row r="21" spans="1:13" x14ac:dyDescent="0.3">
      <c r="A21" s="8"/>
      <c r="B21" s="20" t="s">
        <v>109</v>
      </c>
      <c r="C21" s="8"/>
      <c r="D21" s="34">
        <v>0.02</v>
      </c>
      <c r="E21" s="8"/>
      <c r="F21" s="8"/>
      <c r="G21" s="8"/>
      <c r="H21" s="8"/>
      <c r="I21" s="12"/>
      <c r="J21" s="12"/>
      <c r="K21" s="12"/>
      <c r="L21" s="12"/>
      <c r="M21" s="6"/>
    </row>
    <row r="22" spans="1:13" x14ac:dyDescent="0.3">
      <c r="A22" s="8"/>
      <c r="B22" s="20" t="s">
        <v>110</v>
      </c>
      <c r="C22" s="8"/>
      <c r="D22" s="34">
        <v>0.1</v>
      </c>
      <c r="E22" s="8"/>
      <c r="F22" s="8"/>
      <c r="G22" s="8"/>
      <c r="H22" s="12"/>
      <c r="I22" s="12"/>
      <c r="J22" s="12"/>
      <c r="K22" s="12"/>
      <c r="L22" s="12"/>
      <c r="M22" s="6"/>
    </row>
    <row r="23" spans="1:13" x14ac:dyDescent="0.3">
      <c r="A23" s="8"/>
      <c r="B23" s="20" t="s">
        <v>111</v>
      </c>
      <c r="C23" s="8"/>
      <c r="D23" s="57">
        <v>45901</v>
      </c>
      <c r="E23" s="8" t="s">
        <v>112</v>
      </c>
      <c r="F23" s="8"/>
      <c r="G23" s="8"/>
      <c r="H23" s="12"/>
      <c r="I23" s="12"/>
      <c r="J23" s="12"/>
      <c r="K23" s="12"/>
      <c r="L23" s="12"/>
      <c r="M23" s="6"/>
    </row>
    <row r="25" spans="1:13" x14ac:dyDescent="0.3">
      <c r="A25" s="5" t="s">
        <v>0</v>
      </c>
      <c r="B25" s="8" t="s">
        <v>108</v>
      </c>
      <c r="C25" s="4"/>
      <c r="D25" s="4"/>
      <c r="E25" s="4"/>
      <c r="F25" s="4"/>
      <c r="G25" s="4"/>
      <c r="H25" s="4"/>
      <c r="I25" s="4"/>
      <c r="J25" s="4"/>
      <c r="K25" s="4"/>
      <c r="L25" s="4"/>
    </row>
    <row r="26" spans="1:13" x14ac:dyDescent="0.3">
      <c r="A26" s="6"/>
      <c r="B26" s="6"/>
      <c r="C26" s="6"/>
      <c r="D26" s="6"/>
      <c r="E26" s="6"/>
      <c r="F26" s="6"/>
      <c r="G26" s="6"/>
      <c r="H26" s="6"/>
      <c r="I26" s="6"/>
      <c r="J26" s="6"/>
      <c r="K26" s="6"/>
      <c r="L26" s="6"/>
    </row>
    <row r="27" spans="1:13" x14ac:dyDescent="0.3">
      <c r="A27" s="6" t="s">
        <v>1</v>
      </c>
      <c r="B27" s="6"/>
      <c r="C27" s="6"/>
      <c r="D27" s="6"/>
      <c r="E27" s="6"/>
      <c r="F27" s="6"/>
      <c r="G27" s="6"/>
      <c r="H27" s="6"/>
      <c r="I27" s="6"/>
      <c r="J27" s="6"/>
      <c r="K27" s="6"/>
      <c r="L27" s="6"/>
    </row>
    <row r="28" spans="1:13" x14ac:dyDescent="0.3">
      <c r="A28" s="6"/>
      <c r="B28" s="6"/>
      <c r="C28" s="6"/>
      <c r="D28" s="6"/>
      <c r="E28" s="6"/>
      <c r="F28" s="6"/>
      <c r="G28" s="6"/>
      <c r="H28" s="6"/>
      <c r="I28" s="6"/>
      <c r="J28" s="6"/>
      <c r="K28" s="6"/>
      <c r="L28" s="6"/>
    </row>
    <row r="29" spans="1:13" x14ac:dyDescent="0.3">
      <c r="A29" s="1" t="s">
        <v>364</v>
      </c>
      <c r="B29"/>
      <c r="C29"/>
      <c r="D29"/>
      <c r="E29" s="187">
        <f>DATE(YEAR(D23)+1,MONTH(D23),DAY(D23))</f>
        <v>46266</v>
      </c>
      <c r="F29"/>
      <c r="G29"/>
    </row>
    <row r="30" spans="1:13" x14ac:dyDescent="0.3">
      <c r="B30"/>
      <c r="C30"/>
      <c r="D30"/>
      <c r="E30" s="187"/>
      <c r="F30"/>
      <c r="G30"/>
    </row>
    <row r="31" spans="1:13" x14ac:dyDescent="0.3">
      <c r="A31" s="1" t="s">
        <v>447</v>
      </c>
      <c r="B31"/>
      <c r="C31"/>
      <c r="D31"/>
      <c r="E31" s="187"/>
      <c r="F31"/>
      <c r="G31"/>
    </row>
    <row r="32" spans="1:13" x14ac:dyDescent="0.3">
      <c r="A32" s="1" t="s">
        <v>366</v>
      </c>
      <c r="B32"/>
      <c r="C32"/>
      <c r="D32"/>
      <c r="E32" s="85">
        <f>(12*YEAR(D20)+MONTH(D20))-(12*YEAR(D18)+MONTH(D18))</f>
        <v>4</v>
      </c>
      <c r="F32"/>
      <c r="G32"/>
    </row>
    <row r="33" spans="1:7" x14ac:dyDescent="0.3">
      <c r="A33" s="1" t="s">
        <v>387</v>
      </c>
      <c r="B33"/>
      <c r="C33"/>
      <c r="D33"/>
      <c r="E33" s="125">
        <f>(1+$D$21)^(E32/12)</f>
        <v>1.006622709560113</v>
      </c>
      <c r="F33"/>
      <c r="G33"/>
    </row>
    <row r="34" spans="1:7" x14ac:dyDescent="0.3">
      <c r="A34" s="1" t="s">
        <v>367</v>
      </c>
      <c r="B34"/>
      <c r="C34"/>
      <c r="D34"/>
      <c r="E34" s="85">
        <f>(12*(YEAR(E29))+MONTH(E29))-(12*YEAR(D20)+MONTH(D20))</f>
        <v>18</v>
      </c>
      <c r="F34"/>
      <c r="G34"/>
    </row>
    <row r="35" spans="1:7" x14ac:dyDescent="0.3">
      <c r="A35" s="1" t="s">
        <v>388</v>
      </c>
      <c r="B35"/>
      <c r="C35"/>
      <c r="D35"/>
      <c r="E35" s="125">
        <f>(1+$D$22)^(E34/12)</f>
        <v>1.1536897329871669</v>
      </c>
      <c r="F35"/>
      <c r="G35"/>
    </row>
    <row r="36" spans="1:7" x14ac:dyDescent="0.3">
      <c r="A36" s="1" t="s">
        <v>389</v>
      </c>
      <c r="B36"/>
      <c r="C36"/>
      <c r="D36"/>
      <c r="E36" s="115">
        <f>I19*E33*E35</f>
        <v>2452729.5619437075</v>
      </c>
      <c r="F36"/>
      <c r="G36"/>
    </row>
    <row r="37" spans="1:7" x14ac:dyDescent="0.3">
      <c r="B37"/>
      <c r="C37"/>
      <c r="D37"/>
      <c r="E37" s="117"/>
      <c r="F37"/>
      <c r="G37"/>
    </row>
    <row r="38" spans="1:7" x14ac:dyDescent="0.3">
      <c r="A38" s="1" t="s">
        <v>446</v>
      </c>
      <c r="B38"/>
      <c r="C38"/>
      <c r="D38"/>
      <c r="E38" s="117"/>
      <c r="F38"/>
      <c r="G38"/>
    </row>
    <row r="39" spans="1:7" x14ac:dyDescent="0.3">
      <c r="A39" s="1" t="s">
        <v>444</v>
      </c>
      <c r="B39"/>
      <c r="C39"/>
      <c r="D39"/>
      <c r="E39" s="85">
        <f>E32+E34</f>
        <v>22</v>
      </c>
      <c r="F39"/>
      <c r="G39"/>
    </row>
    <row r="40" spans="1:7" x14ac:dyDescent="0.3">
      <c r="A40" s="1" t="s">
        <v>390</v>
      </c>
      <c r="B40"/>
      <c r="C40"/>
      <c r="D40"/>
      <c r="E40" s="188">
        <f>F18*(1+D21)^(E39/12)</f>
        <v>20428.346128186491</v>
      </c>
      <c r="F40"/>
      <c r="G40"/>
    </row>
    <row r="41" spans="1:7" x14ac:dyDescent="0.3">
      <c r="B41"/>
      <c r="C41"/>
      <c r="D41"/>
      <c r="E41" s="188"/>
      <c r="F41"/>
      <c r="G41"/>
    </row>
    <row r="42" spans="1:7" x14ac:dyDescent="0.3">
      <c r="A42" s="1" t="s">
        <v>445</v>
      </c>
      <c r="B42"/>
      <c r="C42"/>
      <c r="D42"/>
      <c r="E42" s="168">
        <f>E36/E40</f>
        <v>120.06500901017613</v>
      </c>
      <c r="F42"/>
      <c r="G42"/>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075BD-5145-4797-9305-9CC6163E013C}">
  <dimension ref="A1:R132"/>
  <sheetViews>
    <sheetView zoomScaleNormal="100" workbookViewId="0"/>
  </sheetViews>
  <sheetFormatPr defaultRowHeight="15.6" x14ac:dyDescent="0.3"/>
  <cols>
    <col min="1" max="1" width="8.88671875" style="1" customWidth="1"/>
    <col min="2" max="2" width="15.77734375" style="1" customWidth="1"/>
    <col min="3" max="3" width="18" style="1" customWidth="1"/>
    <col min="4" max="8" width="15.77734375" style="1" customWidth="1"/>
    <col min="9" max="9" width="14.44140625" style="1" customWidth="1"/>
    <col min="10" max="16384" width="8.88671875" style="1"/>
  </cols>
  <sheetData>
    <row r="1" spans="1:18" ht="17.399999999999999" x14ac:dyDescent="0.3">
      <c r="A1" s="2" t="s">
        <v>115</v>
      </c>
      <c r="B1" s="4"/>
      <c r="C1" s="8" t="s">
        <v>22</v>
      </c>
      <c r="D1" s="4"/>
      <c r="E1" s="4"/>
      <c r="F1" s="4"/>
      <c r="G1" s="4"/>
      <c r="H1" s="4"/>
      <c r="I1" s="4"/>
      <c r="J1" s="4"/>
      <c r="K1" s="4"/>
      <c r="L1" s="3"/>
    </row>
    <row r="2" spans="1:18" x14ac:dyDescent="0.3">
      <c r="A2" s="8"/>
      <c r="B2" s="8"/>
      <c r="C2" s="8"/>
      <c r="D2" s="8"/>
      <c r="E2" s="8"/>
      <c r="F2" s="4"/>
      <c r="G2" s="4"/>
      <c r="H2" s="4"/>
      <c r="I2" s="4"/>
      <c r="J2" s="4"/>
      <c r="K2" s="4"/>
      <c r="L2" s="3"/>
    </row>
    <row r="3" spans="1:18" x14ac:dyDescent="0.3">
      <c r="A3" s="8" t="s">
        <v>116</v>
      </c>
      <c r="B3" s="8"/>
      <c r="C3" s="8"/>
      <c r="D3" s="8"/>
      <c r="E3" s="8"/>
      <c r="F3" s="4"/>
      <c r="G3" s="4"/>
      <c r="H3" s="4"/>
      <c r="I3" s="4"/>
      <c r="J3" s="4"/>
      <c r="K3" s="4"/>
      <c r="L3" s="3"/>
    </row>
    <row r="4" spans="1:18" x14ac:dyDescent="0.3">
      <c r="A4" s="9"/>
      <c r="B4" s="4"/>
      <c r="C4" s="4"/>
      <c r="D4" s="4"/>
      <c r="E4" s="4"/>
      <c r="F4" s="4"/>
      <c r="G4" s="4"/>
      <c r="H4" s="8"/>
      <c r="I4" s="8"/>
      <c r="J4" s="8"/>
      <c r="K4" s="8"/>
      <c r="L4" s="8"/>
    </row>
    <row r="5" spans="1:18" x14ac:dyDescent="0.3">
      <c r="A5" s="6"/>
      <c r="B5" s="6"/>
      <c r="C5" s="6"/>
      <c r="D5" s="6"/>
      <c r="E5" s="6"/>
      <c r="F5" s="6"/>
      <c r="G5" s="6"/>
      <c r="H5" s="6"/>
      <c r="I5" s="6"/>
      <c r="J5" s="6"/>
      <c r="K5" s="6"/>
      <c r="L5" s="6"/>
    </row>
    <row r="6" spans="1:18" x14ac:dyDescent="0.3">
      <c r="A6" s="5" t="s">
        <v>4</v>
      </c>
      <c r="B6" s="8" t="s">
        <v>117</v>
      </c>
      <c r="C6" s="4"/>
      <c r="D6" s="4"/>
      <c r="E6" s="4"/>
      <c r="F6" s="4"/>
      <c r="G6" s="4"/>
      <c r="H6" s="4"/>
      <c r="I6" s="4"/>
      <c r="J6" s="4"/>
      <c r="K6" s="4"/>
      <c r="L6" s="4"/>
      <c r="M6" s="7"/>
      <c r="N6" s="7"/>
      <c r="O6" s="7"/>
      <c r="P6" s="7"/>
      <c r="Q6" s="7"/>
      <c r="R6" s="7"/>
    </row>
    <row r="7" spans="1:18" x14ac:dyDescent="0.3">
      <c r="A7" s="6"/>
      <c r="B7" s="6"/>
      <c r="C7" s="6"/>
      <c r="D7" s="6"/>
      <c r="E7" s="6"/>
      <c r="F7" s="6"/>
      <c r="G7" s="6"/>
      <c r="H7" s="6"/>
      <c r="I7" s="6"/>
      <c r="J7" s="6"/>
      <c r="K7" s="6"/>
      <c r="L7" s="6"/>
      <c r="M7" s="6"/>
    </row>
    <row r="8" spans="1:18" x14ac:dyDescent="0.3">
      <c r="A8" s="6" t="s">
        <v>1</v>
      </c>
      <c r="B8" s="6"/>
      <c r="C8" s="6"/>
      <c r="D8" s="6"/>
      <c r="E8" s="6"/>
      <c r="F8" s="6"/>
      <c r="G8" s="6"/>
      <c r="H8" s="6"/>
      <c r="I8" s="6"/>
      <c r="J8" s="6"/>
      <c r="K8" s="6"/>
      <c r="L8" s="6"/>
      <c r="M8" s="6"/>
      <c r="N8" s="7"/>
    </row>
    <row r="9" spans="1:18" x14ac:dyDescent="0.3">
      <c r="A9" s="6"/>
      <c r="B9" s="6"/>
      <c r="C9" s="6"/>
      <c r="D9" s="6"/>
      <c r="E9" s="6"/>
      <c r="F9" s="6"/>
      <c r="G9" s="6"/>
      <c r="H9" s="6"/>
      <c r="I9" s="6"/>
      <c r="J9" s="6"/>
      <c r="K9" s="6"/>
      <c r="L9" s="6"/>
      <c r="M9" s="6"/>
      <c r="N9" s="7"/>
    </row>
    <row r="10" spans="1:18" x14ac:dyDescent="0.3">
      <c r="A10" s="1" t="s">
        <v>369</v>
      </c>
      <c r="M10" s="7"/>
      <c r="N10" s="7"/>
    </row>
    <row r="11" spans="1:18" x14ac:dyDescent="0.3">
      <c r="A11" s="1" t="s">
        <v>368</v>
      </c>
      <c r="M11" s="7"/>
      <c r="N11" s="7"/>
    </row>
    <row r="12" spans="1:18" x14ac:dyDescent="0.3">
      <c r="M12" s="7"/>
      <c r="N12" s="7"/>
    </row>
    <row r="13" spans="1:18" x14ac:dyDescent="0.3">
      <c r="A13" s="8" t="s">
        <v>118</v>
      </c>
      <c r="B13" s="8"/>
      <c r="C13" s="8"/>
      <c r="D13" s="8"/>
      <c r="E13" s="8"/>
      <c r="F13" s="8"/>
      <c r="G13" s="12"/>
      <c r="H13" s="12"/>
      <c r="I13" s="12"/>
      <c r="J13" s="12"/>
      <c r="K13" s="12"/>
      <c r="L13" s="12"/>
      <c r="M13" s="7"/>
      <c r="N13" s="7"/>
    </row>
    <row r="14" spans="1:18" x14ac:dyDescent="0.3">
      <c r="A14" s="8"/>
      <c r="B14" s="8"/>
      <c r="C14" s="8"/>
      <c r="D14" s="8"/>
      <c r="E14" s="8"/>
      <c r="F14" s="8"/>
      <c r="G14" s="12"/>
      <c r="H14" s="12"/>
      <c r="I14" s="12"/>
      <c r="J14" s="12"/>
      <c r="K14" s="12"/>
      <c r="L14" s="12"/>
      <c r="M14" s="7"/>
      <c r="N14" s="7"/>
    </row>
    <row r="15" spans="1:18" x14ac:dyDescent="0.3">
      <c r="A15" s="8"/>
      <c r="B15" s="30" t="s">
        <v>29</v>
      </c>
      <c r="C15" s="196" t="s">
        <v>119</v>
      </c>
      <c r="D15" s="196"/>
      <c r="E15" s="8"/>
      <c r="F15" s="8"/>
      <c r="G15" s="12"/>
      <c r="H15" s="12"/>
      <c r="I15" s="12"/>
      <c r="J15" s="12"/>
      <c r="K15" s="12"/>
      <c r="L15" s="12"/>
      <c r="M15" s="7"/>
      <c r="N15" s="7"/>
    </row>
    <row r="16" spans="1:18" x14ac:dyDescent="0.3">
      <c r="A16" s="12"/>
      <c r="B16" s="19">
        <v>2019</v>
      </c>
      <c r="C16" s="194">
        <v>5030</v>
      </c>
      <c r="D16" s="194"/>
      <c r="E16" s="12"/>
      <c r="F16" s="12"/>
      <c r="G16" s="12"/>
      <c r="H16" s="12"/>
      <c r="I16" s="12"/>
      <c r="J16" s="12"/>
      <c r="K16" s="12"/>
      <c r="L16" s="12"/>
      <c r="M16" s="7"/>
      <c r="N16" s="7"/>
    </row>
    <row r="17" spans="1:14" x14ac:dyDescent="0.3">
      <c r="A17" s="12"/>
      <c r="B17" s="19">
        <v>2020</v>
      </c>
      <c r="C17" s="194">
        <v>5467</v>
      </c>
      <c r="D17" s="194"/>
      <c r="E17" s="12"/>
      <c r="F17" s="12"/>
      <c r="G17" s="12"/>
      <c r="H17" s="12"/>
      <c r="I17" s="12"/>
      <c r="J17" s="12"/>
      <c r="K17" s="12"/>
      <c r="L17" s="12"/>
      <c r="M17" s="7"/>
      <c r="N17" s="7"/>
    </row>
    <row r="18" spans="1:14" x14ac:dyDescent="0.3">
      <c r="A18" s="12"/>
      <c r="B18" s="19">
        <v>2021</v>
      </c>
      <c r="C18" s="194">
        <v>5718</v>
      </c>
      <c r="D18" s="194"/>
      <c r="E18" s="12"/>
      <c r="F18" s="12"/>
      <c r="G18" s="12"/>
      <c r="H18" s="12"/>
      <c r="I18" s="12"/>
      <c r="J18" s="12"/>
      <c r="K18" s="12"/>
      <c r="L18" s="12"/>
      <c r="M18" s="7"/>
      <c r="N18" s="7"/>
    </row>
    <row r="19" spans="1:14" x14ac:dyDescent="0.3">
      <c r="A19" s="12"/>
      <c r="B19" s="19">
        <v>2022</v>
      </c>
      <c r="C19" s="194">
        <v>6098</v>
      </c>
      <c r="D19" s="194"/>
      <c r="E19" s="12"/>
      <c r="F19" s="12"/>
      <c r="G19" s="12"/>
      <c r="H19" s="12"/>
      <c r="I19" s="12"/>
      <c r="J19" s="12"/>
      <c r="K19" s="12"/>
      <c r="L19" s="12"/>
      <c r="M19" s="7"/>
      <c r="N19" s="7"/>
    </row>
    <row r="20" spans="1:14" x14ac:dyDescent="0.3">
      <c r="A20" s="12"/>
      <c r="B20" s="19">
        <v>2023</v>
      </c>
      <c r="C20" s="194">
        <v>6620</v>
      </c>
      <c r="D20" s="194"/>
      <c r="E20" s="12"/>
      <c r="F20" s="12"/>
      <c r="G20" s="12"/>
      <c r="H20" s="12"/>
      <c r="I20" s="12"/>
      <c r="J20" s="12"/>
      <c r="K20" s="12"/>
      <c r="L20" s="12"/>
      <c r="M20" s="7"/>
      <c r="N20" s="7"/>
    </row>
    <row r="21" spans="1:14" x14ac:dyDescent="0.3">
      <c r="A21" s="12"/>
      <c r="B21" s="19">
        <v>2024</v>
      </c>
      <c r="C21" s="194">
        <v>6789</v>
      </c>
      <c r="D21" s="194"/>
      <c r="E21" s="12"/>
      <c r="F21" s="12"/>
      <c r="G21" s="12"/>
      <c r="H21" s="12"/>
      <c r="I21" s="12"/>
      <c r="J21" s="12"/>
      <c r="K21" s="12"/>
      <c r="L21" s="12"/>
      <c r="M21" s="7"/>
      <c r="N21" s="7"/>
    </row>
    <row r="22" spans="1:14" x14ac:dyDescent="0.3">
      <c r="M22" s="7"/>
      <c r="N22" s="7"/>
    </row>
    <row r="23" spans="1:14" x14ac:dyDescent="0.3">
      <c r="A23" s="5" t="s">
        <v>5</v>
      </c>
      <c r="B23" s="8" t="s">
        <v>120</v>
      </c>
      <c r="C23" s="4"/>
      <c r="D23" s="4"/>
      <c r="E23" s="4"/>
      <c r="F23" s="4"/>
      <c r="G23" s="4"/>
      <c r="H23" s="4"/>
      <c r="I23" s="4"/>
      <c r="J23" s="4"/>
      <c r="K23" s="4"/>
      <c r="L23" s="4"/>
    </row>
    <row r="24" spans="1:14" x14ac:dyDescent="0.3">
      <c r="A24" s="6"/>
      <c r="B24" s="6"/>
      <c r="C24" s="6"/>
      <c r="D24" s="6"/>
      <c r="E24" s="6"/>
      <c r="F24" s="6"/>
      <c r="G24" s="6"/>
      <c r="H24" s="6"/>
      <c r="I24" s="6"/>
      <c r="J24" s="6"/>
      <c r="K24" s="6"/>
      <c r="L24" s="6"/>
    </row>
    <row r="25" spans="1:14" x14ac:dyDescent="0.3">
      <c r="A25" s="6" t="s">
        <v>1</v>
      </c>
      <c r="B25" s="6"/>
      <c r="C25" s="6"/>
      <c r="D25" s="6"/>
      <c r="E25" s="6"/>
      <c r="F25" s="6"/>
      <c r="G25" s="6"/>
      <c r="H25" s="6"/>
      <c r="I25" s="6"/>
      <c r="J25" s="6"/>
      <c r="K25" s="6"/>
      <c r="L25" s="6"/>
    </row>
    <row r="26" spans="1:14" x14ac:dyDescent="0.3">
      <c r="A26" s="6"/>
      <c r="B26" s="6"/>
      <c r="C26" s="6"/>
      <c r="D26" s="6"/>
      <c r="E26" s="6"/>
      <c r="F26" s="6"/>
      <c r="G26" s="6"/>
      <c r="H26" s="6"/>
      <c r="I26" s="6"/>
      <c r="J26" s="6"/>
      <c r="K26" s="6"/>
      <c r="L26" s="6"/>
    </row>
    <row r="27" spans="1:14" ht="31.2" x14ac:dyDescent="0.3">
      <c r="A27" s="6"/>
      <c r="B27" s="102" t="s">
        <v>29</v>
      </c>
      <c r="C27" s="102" t="s">
        <v>119</v>
      </c>
      <c r="D27" s="102" t="s">
        <v>370</v>
      </c>
      <c r="E27" s="6"/>
      <c r="F27" s="6"/>
      <c r="G27" s="6"/>
      <c r="H27" s="6"/>
      <c r="I27" s="6"/>
      <c r="J27" s="6"/>
      <c r="K27" s="6"/>
      <c r="L27" s="6"/>
    </row>
    <row r="28" spans="1:14" x14ac:dyDescent="0.3">
      <c r="A28" s="6"/>
      <c r="B28" s="98">
        <f>B16</f>
        <v>2019</v>
      </c>
      <c r="C28" s="103">
        <f t="shared" ref="C28:C33" si="0">C16</f>
        <v>5030</v>
      </c>
      <c r="D28" s="6"/>
      <c r="E28" s="6"/>
      <c r="F28" s="6"/>
      <c r="G28" s="6"/>
      <c r="H28" s="6"/>
      <c r="I28" s="6"/>
      <c r="J28" s="6"/>
      <c r="K28" s="6"/>
      <c r="L28" s="6"/>
    </row>
    <row r="29" spans="1:14" x14ac:dyDescent="0.3">
      <c r="A29" s="6"/>
      <c r="B29" s="98">
        <f t="shared" ref="B29" si="1">B17</f>
        <v>2020</v>
      </c>
      <c r="C29" s="103">
        <f t="shared" si="0"/>
        <v>5467</v>
      </c>
      <c r="D29" s="154">
        <f>C29/C28-1</f>
        <v>8.6878727634194908E-2</v>
      </c>
      <c r="E29" s="6"/>
      <c r="F29" s="6"/>
      <c r="G29" s="6"/>
      <c r="H29" s="6"/>
      <c r="I29" s="6"/>
      <c r="J29" s="6"/>
      <c r="K29" s="6"/>
      <c r="L29" s="6"/>
    </row>
    <row r="30" spans="1:14" x14ac:dyDescent="0.3">
      <c r="A30" s="6"/>
      <c r="B30" s="98">
        <f t="shared" ref="B30" si="2">B18</f>
        <v>2021</v>
      </c>
      <c r="C30" s="103">
        <f t="shared" si="0"/>
        <v>5718</v>
      </c>
      <c r="D30" s="154">
        <f t="shared" ref="D30:D33" si="3">C30/C29-1</f>
        <v>4.5911834644229099E-2</v>
      </c>
      <c r="E30" s="6"/>
      <c r="F30" s="6"/>
      <c r="G30" s="6"/>
      <c r="H30" s="6"/>
      <c r="I30" s="6"/>
      <c r="J30" s="6"/>
      <c r="K30" s="6"/>
      <c r="L30" s="6"/>
    </row>
    <row r="31" spans="1:14" x14ac:dyDescent="0.3">
      <c r="A31" s="6"/>
      <c r="B31" s="98">
        <f t="shared" ref="B31" si="4">B19</f>
        <v>2022</v>
      </c>
      <c r="C31" s="103">
        <f t="shared" si="0"/>
        <v>6098</v>
      </c>
      <c r="D31" s="154">
        <f t="shared" si="3"/>
        <v>6.6456803077999282E-2</v>
      </c>
      <c r="E31" s="6"/>
      <c r="F31" s="6"/>
      <c r="G31" s="6"/>
      <c r="H31" s="6"/>
      <c r="I31" s="6"/>
      <c r="J31" s="6"/>
      <c r="K31" s="6"/>
      <c r="L31" s="6"/>
    </row>
    <row r="32" spans="1:14" x14ac:dyDescent="0.3">
      <c r="A32" s="6"/>
      <c r="B32" s="98">
        <f t="shared" ref="B32" si="5">B20</f>
        <v>2023</v>
      </c>
      <c r="C32" s="103">
        <f t="shared" si="0"/>
        <v>6620</v>
      </c>
      <c r="D32" s="154">
        <f t="shared" si="3"/>
        <v>8.5601836667760001E-2</v>
      </c>
      <c r="E32" s="6"/>
      <c r="F32" s="6"/>
      <c r="G32" s="6"/>
      <c r="H32" s="6"/>
      <c r="I32" s="6"/>
      <c r="J32" s="6"/>
      <c r="K32" s="6"/>
      <c r="L32" s="6"/>
    </row>
    <row r="33" spans="1:13" x14ac:dyDescent="0.3">
      <c r="A33" s="6"/>
      <c r="B33" s="98">
        <f t="shared" ref="B33" si="6">B21</f>
        <v>2024</v>
      </c>
      <c r="C33" s="103">
        <f t="shared" si="0"/>
        <v>6789</v>
      </c>
      <c r="D33" s="154">
        <f t="shared" si="3"/>
        <v>2.5528700906344515E-2</v>
      </c>
      <c r="E33" s="6"/>
      <c r="F33" s="6"/>
      <c r="G33" s="6"/>
      <c r="H33" s="6"/>
      <c r="I33" s="6"/>
      <c r="J33" s="6"/>
      <c r="K33" s="6"/>
      <c r="L33" s="6"/>
    </row>
    <row r="34" spans="1:13" x14ac:dyDescent="0.3">
      <c r="A34" s="6"/>
      <c r="B34" s="6" t="s">
        <v>371</v>
      </c>
      <c r="C34" s="6"/>
      <c r="D34" s="153">
        <f>AVERAGE(D29:D33)</f>
        <v>6.2075580586105558E-2</v>
      </c>
      <c r="E34" s="6"/>
      <c r="F34" s="6"/>
      <c r="G34" s="6"/>
      <c r="H34" s="6"/>
      <c r="I34" s="6"/>
      <c r="J34" s="6"/>
      <c r="K34" s="6"/>
      <c r="L34" s="6"/>
    </row>
    <row r="35" spans="1:13" x14ac:dyDescent="0.3">
      <c r="A35" s="6"/>
      <c r="B35" s="6" t="s">
        <v>372</v>
      </c>
      <c r="C35" s="6"/>
      <c r="D35" s="152" cm="1">
        <f t="array" ref="D35">EXP(_xlfn.SINGLE(INDEX(LINEST(LN(C28:C33),),1)))-1</f>
        <v>6.2985655161444498E-2</v>
      </c>
      <c r="E35" s="6"/>
      <c r="F35" s="6"/>
      <c r="G35" s="6"/>
      <c r="H35" s="6"/>
      <c r="I35" s="6"/>
      <c r="J35" s="6"/>
      <c r="K35" s="6"/>
      <c r="L35" s="6"/>
    </row>
    <row r="36" spans="1:13" x14ac:dyDescent="0.3">
      <c r="A36" s="6"/>
      <c r="B36" s="6"/>
      <c r="C36" s="6"/>
      <c r="D36" s="6"/>
      <c r="E36" s="6"/>
      <c r="F36" s="6"/>
      <c r="G36" s="6"/>
      <c r="H36" s="6"/>
      <c r="I36" s="6"/>
      <c r="J36" s="6"/>
      <c r="K36" s="6"/>
      <c r="L36" s="6"/>
    </row>
    <row r="37" spans="1:13" x14ac:dyDescent="0.3">
      <c r="A37" s="6"/>
      <c r="B37" s="6" t="s">
        <v>373</v>
      </c>
      <c r="C37" s="6"/>
      <c r="D37" s="153">
        <f>D34</f>
        <v>6.2075580586105558E-2</v>
      </c>
      <c r="E37" s="6"/>
      <c r="F37" s="6"/>
      <c r="G37" s="6"/>
      <c r="H37" s="6"/>
      <c r="I37" s="6"/>
      <c r="J37" s="6"/>
      <c r="K37" s="6"/>
      <c r="L37" s="6"/>
    </row>
    <row r="38" spans="1:13" x14ac:dyDescent="0.3">
      <c r="A38" s="6"/>
      <c r="B38" s="6" t="s">
        <v>374</v>
      </c>
      <c r="C38" s="6"/>
      <c r="D38" s="153"/>
      <c r="E38" s="6"/>
      <c r="F38" s="6"/>
      <c r="G38" s="6"/>
      <c r="H38" s="6"/>
      <c r="I38" s="6"/>
      <c r="J38" s="6"/>
      <c r="K38" s="6"/>
      <c r="L38" s="6"/>
    </row>
    <row r="39" spans="1:13" x14ac:dyDescent="0.3">
      <c r="M39" s="6"/>
    </row>
    <row r="40" spans="1:13" x14ac:dyDescent="0.3">
      <c r="A40" s="8" t="s">
        <v>121</v>
      </c>
      <c r="B40" s="8"/>
      <c r="C40" s="8"/>
      <c r="D40" s="8"/>
      <c r="E40" s="8"/>
      <c r="F40" s="8"/>
      <c r="G40" s="8"/>
      <c r="H40" s="8"/>
      <c r="I40" s="8"/>
      <c r="J40" s="8"/>
      <c r="K40" s="8"/>
      <c r="L40" s="8"/>
    </row>
    <row r="42" spans="1:13" x14ac:dyDescent="0.3">
      <c r="A42" s="5" t="s">
        <v>0</v>
      </c>
      <c r="B42" s="191" t="s">
        <v>122</v>
      </c>
      <c r="C42" s="191"/>
      <c r="D42" s="191"/>
      <c r="E42" s="191"/>
      <c r="F42" s="191"/>
      <c r="G42" s="191"/>
      <c r="H42" s="191"/>
      <c r="I42" s="191"/>
      <c r="J42" s="191"/>
      <c r="K42" s="191"/>
      <c r="L42" s="4"/>
    </row>
    <row r="43" spans="1:13" x14ac:dyDescent="0.3">
      <c r="A43" s="5"/>
      <c r="B43" s="191"/>
      <c r="C43" s="191"/>
      <c r="D43" s="191"/>
      <c r="E43" s="191"/>
      <c r="F43" s="191"/>
      <c r="G43" s="191"/>
      <c r="H43" s="191"/>
      <c r="I43" s="191"/>
      <c r="J43" s="191"/>
      <c r="K43" s="191"/>
      <c r="L43" s="4"/>
    </row>
    <row r="44" spans="1:13" x14ac:dyDescent="0.3">
      <c r="A44" s="6"/>
      <c r="B44" s="6"/>
      <c r="C44" s="6"/>
      <c r="D44" s="6"/>
      <c r="E44" s="6"/>
      <c r="F44" s="6"/>
      <c r="G44" s="6"/>
      <c r="H44" s="6"/>
      <c r="I44" s="6"/>
      <c r="J44" s="6"/>
      <c r="K44" s="6"/>
      <c r="L44" s="6"/>
    </row>
    <row r="45" spans="1:13" x14ac:dyDescent="0.3">
      <c r="A45" s="6" t="s">
        <v>1</v>
      </c>
      <c r="B45" s="6"/>
      <c r="C45" s="6"/>
      <c r="D45" s="6"/>
      <c r="E45" s="6"/>
      <c r="F45" s="6"/>
      <c r="G45" s="6"/>
      <c r="H45" s="6"/>
      <c r="I45" s="6"/>
      <c r="J45" s="6"/>
      <c r="K45" s="6"/>
      <c r="L45" s="6"/>
    </row>
    <row r="46" spans="1:13" x14ac:dyDescent="0.3">
      <c r="A46" s="6"/>
      <c r="B46" s="6"/>
      <c r="C46" s="6"/>
      <c r="D46" s="6"/>
      <c r="E46" s="6"/>
      <c r="F46" s="6"/>
      <c r="G46" s="6"/>
      <c r="H46" s="6"/>
      <c r="I46" s="6"/>
      <c r="J46" s="6"/>
      <c r="K46" s="6"/>
      <c r="L46" s="6"/>
    </row>
    <row r="47" spans="1:13" x14ac:dyDescent="0.3">
      <c r="A47" s="6" t="s">
        <v>375</v>
      </c>
      <c r="B47" s="6"/>
      <c r="C47" s="6"/>
      <c r="D47" s="6"/>
      <c r="E47" s="6"/>
      <c r="F47" s="6"/>
      <c r="G47" s="6"/>
      <c r="H47" s="6"/>
      <c r="I47" s="6"/>
      <c r="J47" s="6"/>
      <c r="K47" s="6"/>
      <c r="L47" s="6"/>
    </row>
    <row r="48" spans="1:13" x14ac:dyDescent="0.3">
      <c r="A48" s="1" t="s">
        <v>376</v>
      </c>
    </row>
    <row r="49" spans="1:14" x14ac:dyDescent="0.3">
      <c r="M49" s="6"/>
      <c r="N49" s="6"/>
    </row>
    <row r="50" spans="1:14" x14ac:dyDescent="0.3">
      <c r="A50" s="13" t="s">
        <v>28</v>
      </c>
      <c r="B50" s="8"/>
      <c r="C50" s="8"/>
      <c r="D50" s="8"/>
      <c r="E50" s="8"/>
      <c r="F50" s="8"/>
      <c r="G50" s="8"/>
      <c r="H50" s="8"/>
      <c r="I50" s="8"/>
      <c r="J50" s="8"/>
      <c r="K50" s="8"/>
      <c r="L50" s="8"/>
      <c r="M50" s="6"/>
      <c r="N50" s="6"/>
    </row>
    <row r="51" spans="1:14" x14ac:dyDescent="0.3">
      <c r="A51" s="8"/>
      <c r="B51" s="8"/>
      <c r="C51" s="8"/>
      <c r="D51" s="8"/>
      <c r="E51" s="8"/>
      <c r="F51" s="8"/>
      <c r="G51" s="8"/>
      <c r="H51" s="8"/>
      <c r="I51" s="8"/>
      <c r="J51" s="8"/>
      <c r="K51" s="8"/>
      <c r="L51" s="8"/>
      <c r="M51" s="6"/>
      <c r="N51" s="6"/>
    </row>
    <row r="52" spans="1:14" x14ac:dyDescent="0.3">
      <c r="A52" s="8"/>
      <c r="B52" s="14" t="s">
        <v>13</v>
      </c>
      <c r="C52" s="207" t="s">
        <v>123</v>
      </c>
      <c r="D52" s="190"/>
      <c r="E52" s="190"/>
      <c r="F52" s="190"/>
      <c r="G52" s="190"/>
      <c r="H52" s="190"/>
      <c r="I52" s="8"/>
      <c r="J52" s="8"/>
      <c r="K52" s="8"/>
      <c r="L52" s="8"/>
      <c r="M52" s="6"/>
      <c r="N52" s="6"/>
    </row>
    <row r="53" spans="1:14" x14ac:dyDescent="0.3">
      <c r="A53" s="8"/>
      <c r="B53" s="15" t="s">
        <v>15</v>
      </c>
      <c r="C53" s="58">
        <v>12</v>
      </c>
      <c r="D53" s="18">
        <v>24</v>
      </c>
      <c r="E53" s="18">
        <v>36</v>
      </c>
      <c r="F53" s="18">
        <v>48</v>
      </c>
      <c r="G53" s="18">
        <v>60</v>
      </c>
      <c r="H53" s="18">
        <v>72</v>
      </c>
      <c r="I53" s="8"/>
      <c r="J53" s="8"/>
      <c r="K53" s="8"/>
      <c r="L53" s="8"/>
      <c r="M53" s="6"/>
      <c r="N53" s="6"/>
    </row>
    <row r="54" spans="1:14" x14ac:dyDescent="0.3">
      <c r="A54" s="8"/>
      <c r="B54" s="59">
        <v>2019</v>
      </c>
      <c r="C54" s="29">
        <v>2662</v>
      </c>
      <c r="D54" s="29">
        <v>4830</v>
      </c>
      <c r="E54" s="29">
        <v>5873</v>
      </c>
      <c r="F54" s="29">
        <v>6281</v>
      </c>
      <c r="G54" s="29">
        <v>6375</v>
      </c>
      <c r="H54" s="29">
        <v>7193</v>
      </c>
      <c r="I54" s="8"/>
      <c r="J54" s="8"/>
      <c r="K54" s="8"/>
      <c r="L54" s="8"/>
      <c r="M54" s="6"/>
      <c r="N54" s="6"/>
    </row>
    <row r="55" spans="1:14" x14ac:dyDescent="0.3">
      <c r="A55" s="8"/>
      <c r="B55" s="19">
        <v>2020</v>
      </c>
      <c r="C55" s="29">
        <v>2897</v>
      </c>
      <c r="D55" s="29">
        <v>4949</v>
      </c>
      <c r="E55" s="29">
        <v>6637</v>
      </c>
      <c r="F55" s="29">
        <v>6969</v>
      </c>
      <c r="G55" s="29">
        <v>7049</v>
      </c>
      <c r="H55" s="19"/>
      <c r="I55" s="8"/>
      <c r="J55" s="8"/>
      <c r="K55" s="8"/>
      <c r="L55" s="8"/>
      <c r="M55" s="6"/>
      <c r="N55" s="6"/>
    </row>
    <row r="56" spans="1:14" x14ac:dyDescent="0.3">
      <c r="A56" s="8"/>
      <c r="B56" s="19">
        <v>2021</v>
      </c>
      <c r="C56" s="29">
        <v>3222</v>
      </c>
      <c r="D56" s="29">
        <v>5111</v>
      </c>
      <c r="E56" s="29">
        <v>6996</v>
      </c>
      <c r="F56" s="29">
        <v>7006</v>
      </c>
      <c r="G56" s="19"/>
      <c r="H56" s="19"/>
      <c r="I56" s="8"/>
      <c r="J56" s="8"/>
      <c r="K56" s="8"/>
      <c r="L56" s="8"/>
      <c r="M56" s="6"/>
      <c r="N56" s="6"/>
    </row>
    <row r="57" spans="1:14" x14ac:dyDescent="0.3">
      <c r="A57" s="8"/>
      <c r="B57" s="19">
        <v>2022</v>
      </c>
      <c r="C57" s="29">
        <v>3413</v>
      </c>
      <c r="D57" s="29">
        <v>5868</v>
      </c>
      <c r="E57" s="29">
        <v>6787</v>
      </c>
      <c r="F57" s="19"/>
      <c r="G57" s="19"/>
      <c r="H57" s="19"/>
      <c r="I57" s="8"/>
      <c r="J57" s="8"/>
      <c r="K57" s="8"/>
      <c r="L57" s="8"/>
      <c r="M57" s="6"/>
      <c r="N57" s="6"/>
    </row>
    <row r="58" spans="1:14" x14ac:dyDescent="0.3">
      <c r="A58" s="8"/>
      <c r="B58" s="19">
        <v>2023</v>
      </c>
      <c r="C58" s="29">
        <v>3494</v>
      </c>
      <c r="D58" s="29">
        <v>6187</v>
      </c>
      <c r="E58" s="19"/>
      <c r="F58" s="19"/>
      <c r="G58" s="19"/>
      <c r="H58" s="19"/>
      <c r="I58" s="8"/>
      <c r="J58" s="8"/>
      <c r="K58" s="8"/>
      <c r="L58" s="8"/>
      <c r="M58" s="6"/>
      <c r="N58" s="6"/>
    </row>
    <row r="59" spans="1:14" x14ac:dyDescent="0.3">
      <c r="A59" s="8"/>
      <c r="B59" s="19">
        <v>2024</v>
      </c>
      <c r="C59" s="29">
        <v>3653</v>
      </c>
      <c r="D59" s="19"/>
      <c r="E59" s="19"/>
      <c r="F59" s="19"/>
      <c r="G59" s="19"/>
      <c r="H59" s="19"/>
      <c r="I59" s="8"/>
      <c r="J59" s="8"/>
      <c r="K59" s="8"/>
      <c r="L59" s="8"/>
      <c r="M59" s="6"/>
      <c r="N59" s="6"/>
    </row>
    <row r="60" spans="1:14" x14ac:dyDescent="0.3">
      <c r="A60" s="8"/>
      <c r="B60" s="8"/>
      <c r="C60" s="8"/>
      <c r="D60" s="8"/>
      <c r="E60" s="8"/>
      <c r="F60" s="8"/>
      <c r="G60" s="8"/>
      <c r="H60" s="8"/>
      <c r="I60" s="8"/>
      <c r="J60" s="8"/>
      <c r="K60" s="8"/>
      <c r="L60" s="8"/>
      <c r="M60" s="6"/>
      <c r="N60" s="6"/>
    </row>
    <row r="61" spans="1:14" x14ac:dyDescent="0.3">
      <c r="A61" s="8"/>
      <c r="B61" s="20" t="s">
        <v>124</v>
      </c>
      <c r="C61" s="8"/>
      <c r="D61" s="8"/>
      <c r="E61" s="8"/>
      <c r="F61" s="8"/>
      <c r="G61" s="8"/>
      <c r="H61" s="8"/>
      <c r="I61" s="8"/>
      <c r="J61" s="8"/>
      <c r="K61" s="8"/>
      <c r="L61" s="8"/>
      <c r="M61" s="6"/>
      <c r="N61" s="6"/>
    </row>
    <row r="62" spans="1:14" x14ac:dyDescent="0.3">
      <c r="A62" s="8"/>
      <c r="B62" s="20" t="s">
        <v>125</v>
      </c>
      <c r="C62" s="8"/>
      <c r="D62" s="8"/>
      <c r="E62" s="8"/>
      <c r="F62" s="8"/>
      <c r="G62" s="8"/>
      <c r="H62" s="8"/>
      <c r="I62" s="8"/>
      <c r="J62" s="8"/>
      <c r="K62" s="8"/>
      <c r="L62" s="8"/>
      <c r="M62" s="6"/>
      <c r="N62" s="6"/>
    </row>
    <row r="63" spans="1:14" x14ac:dyDescent="0.3">
      <c r="M63" s="6"/>
      <c r="N63" s="6"/>
    </row>
    <row r="64" spans="1:14" x14ac:dyDescent="0.3">
      <c r="A64" s="5" t="s">
        <v>2</v>
      </c>
      <c r="B64" s="191" t="s">
        <v>126</v>
      </c>
      <c r="C64" s="191"/>
      <c r="D64" s="191"/>
      <c r="E64" s="191"/>
      <c r="F64" s="191"/>
      <c r="G64" s="191"/>
      <c r="H64" s="191"/>
      <c r="I64" s="191"/>
      <c r="J64" s="191"/>
      <c r="K64" s="191"/>
      <c r="L64" s="4"/>
    </row>
    <row r="65" spans="1:13" x14ac:dyDescent="0.3">
      <c r="A65" s="5"/>
      <c r="B65" s="191"/>
      <c r="C65" s="191"/>
      <c r="D65" s="191"/>
      <c r="E65" s="191"/>
      <c r="F65" s="191"/>
      <c r="G65" s="191"/>
      <c r="H65" s="191"/>
      <c r="I65" s="191"/>
      <c r="J65" s="191"/>
      <c r="K65" s="191"/>
      <c r="L65" s="4"/>
    </row>
    <row r="66" spans="1:13" x14ac:dyDescent="0.3">
      <c r="A66" s="6"/>
      <c r="B66" s="6"/>
      <c r="C66" s="6"/>
      <c r="D66" s="6"/>
      <c r="E66" s="6"/>
      <c r="F66" s="6"/>
      <c r="G66" s="6"/>
      <c r="H66" s="6"/>
      <c r="I66" s="6"/>
      <c r="J66" s="6"/>
      <c r="K66" s="6"/>
      <c r="L66" s="6"/>
    </row>
    <row r="67" spans="1:13" x14ac:dyDescent="0.3">
      <c r="A67" s="6" t="s">
        <v>1</v>
      </c>
      <c r="B67" s="6"/>
      <c r="C67" s="6"/>
      <c r="D67" s="6"/>
      <c r="E67" s="6"/>
      <c r="F67" s="6"/>
      <c r="G67" s="6"/>
      <c r="H67" s="6"/>
      <c r="I67" s="6"/>
      <c r="J67" s="6"/>
      <c r="K67" s="6"/>
      <c r="L67" s="6"/>
    </row>
    <row r="68" spans="1:13" x14ac:dyDescent="0.3">
      <c r="A68" s="6"/>
      <c r="B68" s="6"/>
      <c r="C68" s="6"/>
      <c r="D68" s="6"/>
      <c r="E68" s="6"/>
      <c r="F68" s="6"/>
      <c r="G68" s="6"/>
      <c r="H68" s="6"/>
      <c r="I68" s="6"/>
      <c r="J68" s="6"/>
      <c r="K68" s="6"/>
      <c r="L68" s="6"/>
    </row>
    <row r="69" spans="1:13" x14ac:dyDescent="0.3">
      <c r="A69" s="89" t="s">
        <v>13</v>
      </c>
      <c r="B69" s="197" t="s">
        <v>377</v>
      </c>
      <c r="C69" s="198"/>
      <c r="D69" s="198"/>
      <c r="E69" s="198"/>
      <c r="F69" s="198"/>
      <c r="G69" s="198"/>
      <c r="H69" s="6"/>
      <c r="I69" s="6"/>
      <c r="J69" s="6"/>
      <c r="K69" s="6"/>
      <c r="L69" s="6"/>
    </row>
    <row r="70" spans="1:13" x14ac:dyDescent="0.3">
      <c r="A70" s="92" t="s">
        <v>15</v>
      </c>
      <c r="B70" s="90">
        <v>12</v>
      </c>
      <c r="C70" s="91">
        <f>B70+12</f>
        <v>24</v>
      </c>
      <c r="D70" s="91">
        <f>C70+12</f>
        <v>36</v>
      </c>
      <c r="E70" s="91">
        <f>D70+12</f>
        <v>48</v>
      </c>
      <c r="F70" s="91">
        <f>E70+12</f>
        <v>60</v>
      </c>
      <c r="G70" s="91">
        <f>F70+12</f>
        <v>72</v>
      </c>
      <c r="H70" s="6"/>
      <c r="I70" s="6"/>
      <c r="J70" s="6"/>
      <c r="K70" s="6"/>
      <c r="L70" s="6"/>
    </row>
    <row r="71" spans="1:13" x14ac:dyDescent="0.3">
      <c r="A71" s="92">
        <v>2019</v>
      </c>
      <c r="B71" s="93">
        <f t="shared" ref="B71:G71" si="7">C54*(1+$D$37)^($A$76-$A71)</f>
        <v>3597.3705010780732</v>
      </c>
      <c r="C71" s="93">
        <f t="shared" si="7"/>
        <v>6527.159849814836</v>
      </c>
      <c r="D71" s="93">
        <f t="shared" si="7"/>
        <v>7936.6479912965906</v>
      </c>
      <c r="E71" s="93">
        <f t="shared" si="7"/>
        <v>8488.0105624610733</v>
      </c>
      <c r="F71" s="93">
        <f t="shared" si="7"/>
        <v>8615.0401744450483</v>
      </c>
      <c r="G71" s="93">
        <f t="shared" si="7"/>
        <v>9720.4680744758007</v>
      </c>
      <c r="H71" s="6"/>
      <c r="I71" s="6"/>
      <c r="J71" s="6"/>
      <c r="K71" s="6"/>
      <c r="L71" s="6"/>
    </row>
    <row r="72" spans="1:13" x14ac:dyDescent="0.3">
      <c r="A72" s="91">
        <v>2020</v>
      </c>
      <c r="B72" s="93">
        <f>C55*(1+$D$37)^($A$76-$A72)</f>
        <v>3686.126112491495</v>
      </c>
      <c r="C72" s="93">
        <f>D55*(1+$D$37)^($A$76-$A72)</f>
        <v>6297.0790924129815</v>
      </c>
      <c r="D72" s="93">
        <f>E55*(1+$D$37)^($A$76-$A72)</f>
        <v>8444.8805690735426</v>
      </c>
      <c r="E72" s="93">
        <f>F55*(1+$D$37)^($A$76-$A72)</f>
        <v>8867.3154566631783</v>
      </c>
      <c r="F72" s="93">
        <f>G55*(1+$D$37)^($A$76-$A72)</f>
        <v>8969.1069958414027</v>
      </c>
      <c r="G72" s="93"/>
      <c r="H72" s="6"/>
      <c r="I72" s="6"/>
      <c r="J72" s="6"/>
      <c r="K72" s="6"/>
      <c r="L72" s="6"/>
    </row>
    <row r="73" spans="1:13" x14ac:dyDescent="0.3">
      <c r="A73" s="91">
        <v>2021</v>
      </c>
      <c r="B73" s="93">
        <f>C56*(1+$D$37)^($A$76-$A73)</f>
        <v>3860.0400153637329</v>
      </c>
      <c r="C73" s="93">
        <f>D56*(1+$D$37)^($A$76-$A73)</f>
        <v>6123.111272043463</v>
      </c>
      <c r="D73" s="93">
        <f>E56*(1+$D$37)^($A$76-$A73)</f>
        <v>8381.3904244210662</v>
      </c>
      <c r="E73" s="93">
        <f>F56*(1+$D$37)^($A$76-$A73)</f>
        <v>8393.3706851763855</v>
      </c>
      <c r="F73" s="93"/>
      <c r="G73" s="93"/>
      <c r="H73" s="6"/>
      <c r="I73" s="6"/>
      <c r="J73" s="6"/>
      <c r="K73" s="6"/>
      <c r="L73" s="6"/>
    </row>
    <row r="74" spans="1:13" x14ac:dyDescent="0.3">
      <c r="A74" s="91">
        <v>2022</v>
      </c>
      <c r="B74" s="93">
        <f>C57*(1+$D$37)^($A$76-$A74)</f>
        <v>3849.8794911882701</v>
      </c>
      <c r="C74" s="93">
        <f>D57*(1+$D$37)^($A$76-$A74)</f>
        <v>6619.1306341320742</v>
      </c>
      <c r="D74" s="93">
        <f>E57*(1+$D$37)^($A$76-$A74)</f>
        <v>7655.7668053603247</v>
      </c>
      <c r="E74" s="93"/>
      <c r="F74" s="93"/>
      <c r="G74" s="93"/>
      <c r="H74" s="6"/>
      <c r="I74" s="6"/>
      <c r="J74" s="6"/>
      <c r="K74" s="6"/>
      <c r="L74" s="6"/>
    </row>
    <row r="75" spans="1:13" x14ac:dyDescent="0.3">
      <c r="A75" s="91">
        <v>2023</v>
      </c>
      <c r="B75" s="93">
        <f>C58*(1+$D$37)^($A$76-$A75)</f>
        <v>3710.8920785678529</v>
      </c>
      <c r="C75" s="93">
        <f>D58*(1+$D$37)^($A$76-$A75)</f>
        <v>6571.0616170862349</v>
      </c>
      <c r="D75" s="93"/>
      <c r="E75" s="93"/>
      <c r="F75" s="93"/>
      <c r="G75" s="93"/>
      <c r="H75" s="6"/>
      <c r="I75" s="6"/>
      <c r="J75" s="6"/>
      <c r="K75" s="6"/>
      <c r="L75" s="6"/>
    </row>
    <row r="76" spans="1:13" x14ac:dyDescent="0.3">
      <c r="A76" s="91">
        <v>2024</v>
      </c>
      <c r="B76" s="93">
        <f>C59*(1+$D$37)^($A$76-$A76)</f>
        <v>3653</v>
      </c>
      <c r="C76" s="93"/>
      <c r="D76" s="93"/>
      <c r="E76" s="93"/>
      <c r="F76" s="93"/>
      <c r="G76" s="93"/>
      <c r="H76" s="6"/>
      <c r="I76" s="6"/>
      <c r="J76" s="6"/>
      <c r="K76" s="6"/>
      <c r="L76" s="6"/>
    </row>
    <row r="77" spans="1:13" x14ac:dyDescent="0.3">
      <c r="A77" s="6"/>
      <c r="B77" s="6"/>
      <c r="C77" s="6"/>
      <c r="D77" s="6"/>
      <c r="E77" s="6"/>
      <c r="F77" s="6"/>
      <c r="G77" s="6"/>
      <c r="H77" s="6"/>
      <c r="I77" s="6"/>
      <c r="J77" s="6"/>
      <c r="K77" s="6"/>
      <c r="L77" s="6"/>
    </row>
    <row r="78" spans="1:13" x14ac:dyDescent="0.3">
      <c r="A78" s="6" t="s">
        <v>378</v>
      </c>
      <c r="B78" s="103">
        <f>AVERAGE(B71:B76)</f>
        <v>3726.2180331149043</v>
      </c>
      <c r="C78" s="103">
        <f t="shared" ref="C78:G78" si="8">AVERAGE(C71:C76)</f>
        <v>6427.5084930979183</v>
      </c>
      <c r="D78" s="103">
        <f t="shared" si="8"/>
        <v>8104.6714475378812</v>
      </c>
      <c r="E78" s="103">
        <f t="shared" si="8"/>
        <v>8582.8989014335457</v>
      </c>
      <c r="F78" s="103">
        <f t="shared" si="8"/>
        <v>8792.0735851432255</v>
      </c>
      <c r="G78" s="103">
        <f t="shared" si="8"/>
        <v>9720.4680744758007</v>
      </c>
      <c r="H78" s="6"/>
      <c r="I78" s="6"/>
      <c r="J78" s="6"/>
      <c r="K78" s="6"/>
      <c r="L78" s="6"/>
    </row>
    <row r="80" spans="1:13" x14ac:dyDescent="0.3">
      <c r="A80" s="13" t="s">
        <v>28</v>
      </c>
      <c r="B80" s="8"/>
      <c r="C80" s="8"/>
      <c r="D80" s="8"/>
      <c r="E80" s="8"/>
      <c r="F80" s="8"/>
      <c r="G80" s="8"/>
      <c r="H80" s="8"/>
      <c r="I80" s="8"/>
      <c r="J80" s="8"/>
      <c r="K80" s="8"/>
      <c r="L80" s="8"/>
      <c r="M80" s="6"/>
    </row>
    <row r="81" spans="1:13" x14ac:dyDescent="0.3">
      <c r="A81" s="8"/>
      <c r="B81" s="8"/>
      <c r="C81" s="8"/>
      <c r="D81" s="8"/>
      <c r="E81" s="8"/>
      <c r="F81" s="8"/>
      <c r="G81" s="8"/>
      <c r="H81" s="8"/>
      <c r="I81" s="8"/>
      <c r="J81" s="8"/>
      <c r="K81" s="8"/>
      <c r="L81" s="8"/>
      <c r="M81" s="6"/>
    </row>
    <row r="82" spans="1:13" x14ac:dyDescent="0.3">
      <c r="A82" s="8"/>
      <c r="B82" s="190" t="s">
        <v>127</v>
      </c>
      <c r="C82" s="190"/>
      <c r="D82" s="190"/>
      <c r="E82" s="190"/>
      <c r="F82" s="190"/>
      <c r="G82" s="190"/>
      <c r="H82" s="190"/>
      <c r="I82" s="8"/>
      <c r="J82" s="8"/>
      <c r="K82" s="8"/>
      <c r="L82" s="8"/>
      <c r="M82" s="6"/>
    </row>
    <row r="83" spans="1:13" x14ac:dyDescent="0.3">
      <c r="A83" s="8"/>
      <c r="B83" s="18">
        <v>12</v>
      </c>
      <c r="C83" s="18">
        <v>24</v>
      </c>
      <c r="D83" s="18">
        <v>36</v>
      </c>
      <c r="E83" s="18">
        <v>48</v>
      </c>
      <c r="F83" s="18">
        <v>60</v>
      </c>
      <c r="G83" s="18">
        <v>72</v>
      </c>
      <c r="H83" s="30">
        <v>84</v>
      </c>
      <c r="I83" s="8"/>
      <c r="J83" s="8"/>
      <c r="K83" s="8"/>
      <c r="L83" s="8"/>
      <c r="M83" s="6"/>
    </row>
    <row r="84" spans="1:13" x14ac:dyDescent="0.3">
      <c r="A84" s="8"/>
      <c r="B84" s="19">
        <v>0.251</v>
      </c>
      <c r="C84" s="19">
        <v>0.30399999999999999</v>
      </c>
      <c r="D84" s="19">
        <v>0.371</v>
      </c>
      <c r="E84" s="19">
        <v>0.61599999999999999</v>
      </c>
      <c r="F84" s="19">
        <v>0.73799999999999999</v>
      </c>
      <c r="G84" s="19">
        <v>0.65200000000000002</v>
      </c>
      <c r="H84" s="161">
        <v>1</v>
      </c>
      <c r="I84" s="8"/>
      <c r="J84" s="8"/>
      <c r="K84" s="8"/>
      <c r="L84" s="8"/>
      <c r="M84" s="6"/>
    </row>
    <row r="85" spans="1:13" x14ac:dyDescent="0.3">
      <c r="A85" s="8"/>
      <c r="B85" s="8"/>
      <c r="C85" s="8"/>
      <c r="D85" s="8"/>
      <c r="E85" s="8"/>
      <c r="F85" s="8"/>
      <c r="G85" s="8"/>
      <c r="H85" s="8"/>
      <c r="I85" s="8"/>
      <c r="J85" s="8"/>
      <c r="K85" s="8"/>
      <c r="L85" s="8"/>
      <c r="M85" s="6"/>
    </row>
    <row r="86" spans="1:13" ht="53.4" customHeight="1" x14ac:dyDescent="0.3">
      <c r="A86" s="8"/>
      <c r="B86" s="196" t="s">
        <v>128</v>
      </c>
      <c r="C86" s="196"/>
      <c r="D86" s="8"/>
      <c r="E86" s="8"/>
      <c r="F86" s="8"/>
      <c r="G86" s="8"/>
      <c r="H86" s="8"/>
      <c r="I86" s="8"/>
      <c r="J86" s="8"/>
      <c r="K86" s="8"/>
      <c r="L86" s="8"/>
      <c r="M86" s="6"/>
    </row>
    <row r="87" spans="1:13" x14ac:dyDescent="0.3">
      <c r="A87" s="8"/>
      <c r="B87" s="18" t="s">
        <v>129</v>
      </c>
      <c r="C87" s="18" t="s">
        <v>130</v>
      </c>
      <c r="D87" s="8"/>
      <c r="E87" s="8"/>
      <c r="F87" s="8"/>
      <c r="G87" s="8"/>
      <c r="H87" s="8"/>
      <c r="I87" s="8"/>
      <c r="J87" s="8"/>
      <c r="K87" s="8"/>
      <c r="L87" s="8"/>
      <c r="M87" s="6"/>
    </row>
    <row r="88" spans="1:13" x14ac:dyDescent="0.3">
      <c r="A88" s="8"/>
      <c r="B88" s="19" t="s">
        <v>131</v>
      </c>
      <c r="C88" s="19">
        <v>1.026</v>
      </c>
      <c r="D88" s="8"/>
      <c r="E88" s="8"/>
      <c r="F88" s="8"/>
      <c r="G88" s="8"/>
      <c r="H88" s="8"/>
      <c r="I88" s="8"/>
      <c r="J88" s="8"/>
      <c r="K88" s="8"/>
      <c r="L88" s="8"/>
      <c r="M88" s="6"/>
    </row>
    <row r="89" spans="1:13" x14ac:dyDescent="0.3">
      <c r="A89" s="8"/>
      <c r="B89" s="19" t="s">
        <v>132</v>
      </c>
      <c r="C89" s="19">
        <v>1.0529999999999999</v>
      </c>
      <c r="D89" s="8"/>
      <c r="E89" s="8"/>
      <c r="F89" s="8"/>
      <c r="G89" s="8"/>
      <c r="H89" s="8"/>
      <c r="I89" s="8"/>
      <c r="J89" s="8"/>
      <c r="K89" s="8"/>
      <c r="L89" s="8"/>
      <c r="M89" s="6"/>
    </row>
    <row r="90" spans="1:13" x14ac:dyDescent="0.3">
      <c r="A90" s="8"/>
      <c r="B90" s="19" t="s">
        <v>133</v>
      </c>
      <c r="C90" s="19">
        <v>1.2110000000000001</v>
      </c>
      <c r="D90" s="8"/>
      <c r="E90" s="8"/>
      <c r="F90" s="8"/>
      <c r="G90" s="8"/>
      <c r="H90" s="8"/>
      <c r="I90" s="8"/>
      <c r="J90" s="8"/>
      <c r="K90" s="8"/>
      <c r="L90" s="8"/>
      <c r="M90" s="6"/>
    </row>
    <row r="91" spans="1:13" x14ac:dyDescent="0.3">
      <c r="A91" s="8"/>
      <c r="B91" s="19" t="s">
        <v>134</v>
      </c>
      <c r="C91" s="19">
        <v>1.4990000000000001</v>
      </c>
      <c r="D91" s="8"/>
      <c r="E91" s="8"/>
      <c r="F91" s="8"/>
      <c r="G91" s="8"/>
      <c r="H91" s="8"/>
      <c r="I91" s="8"/>
      <c r="J91" s="8"/>
      <c r="K91" s="8"/>
      <c r="L91" s="8"/>
      <c r="M91" s="6"/>
    </row>
    <row r="92" spans="1:13" x14ac:dyDescent="0.3">
      <c r="A92" s="8"/>
      <c r="B92" s="19" t="s">
        <v>135</v>
      </c>
      <c r="C92" s="19">
        <v>2.105</v>
      </c>
      <c r="D92" s="8"/>
      <c r="E92" s="8"/>
      <c r="F92" s="8"/>
      <c r="G92" s="8"/>
      <c r="H92" s="8"/>
      <c r="I92" s="8"/>
      <c r="J92" s="8"/>
      <c r="K92" s="8"/>
      <c r="L92" s="8"/>
      <c r="M92" s="6"/>
    </row>
    <row r="93" spans="1:13" x14ac:dyDescent="0.3">
      <c r="A93" s="8"/>
      <c r="B93" s="19" t="s">
        <v>136</v>
      </c>
      <c r="C93" s="19">
        <v>4.0039999999999996</v>
      </c>
      <c r="D93" s="8"/>
      <c r="E93" s="8"/>
      <c r="F93" s="8"/>
      <c r="G93" s="8"/>
      <c r="H93" s="8"/>
      <c r="I93" s="8"/>
      <c r="J93" s="8"/>
      <c r="K93" s="8"/>
      <c r="L93" s="8"/>
      <c r="M93" s="6"/>
    </row>
    <row r="94" spans="1:13" x14ac:dyDescent="0.3">
      <c r="A94" s="8"/>
      <c r="B94" s="8"/>
      <c r="C94" s="8"/>
      <c r="D94" s="8"/>
      <c r="E94" s="8"/>
      <c r="F94" s="8"/>
      <c r="G94" s="8"/>
      <c r="H94" s="8"/>
      <c r="I94" s="8"/>
      <c r="J94" s="8"/>
      <c r="K94" s="8"/>
      <c r="L94" s="8"/>
      <c r="M94" s="6"/>
    </row>
    <row r="95" spans="1:13" x14ac:dyDescent="0.3">
      <c r="A95" s="8"/>
      <c r="B95" s="14" t="s">
        <v>13</v>
      </c>
      <c r="C95" s="207" t="s">
        <v>137</v>
      </c>
      <c r="D95" s="190"/>
      <c r="E95" s="190"/>
      <c r="F95" s="8"/>
      <c r="G95" s="8"/>
      <c r="H95" s="8"/>
      <c r="I95" s="8"/>
      <c r="J95" s="8"/>
      <c r="K95" s="8"/>
      <c r="L95" s="8"/>
      <c r="M95" s="6"/>
    </row>
    <row r="96" spans="1:13" x14ac:dyDescent="0.3">
      <c r="A96" s="8"/>
      <c r="B96" s="15" t="s">
        <v>15</v>
      </c>
      <c r="C96" s="58">
        <v>12</v>
      </c>
      <c r="D96" s="18">
        <v>24</v>
      </c>
      <c r="E96" s="18">
        <v>36</v>
      </c>
      <c r="F96" s="8"/>
      <c r="G96" s="8"/>
      <c r="H96" s="8"/>
      <c r="I96" s="8"/>
      <c r="J96" s="8"/>
      <c r="K96" s="8"/>
      <c r="L96" s="8"/>
      <c r="M96" s="6"/>
    </row>
    <row r="97" spans="1:13" x14ac:dyDescent="0.3">
      <c r="A97" s="8"/>
      <c r="B97" s="59">
        <v>2022</v>
      </c>
      <c r="C97" s="19">
        <v>60</v>
      </c>
      <c r="D97" s="19">
        <v>54</v>
      </c>
      <c r="E97" s="19">
        <v>48</v>
      </c>
      <c r="F97" s="8"/>
      <c r="G97" s="8"/>
      <c r="H97" s="8"/>
      <c r="I97" s="8"/>
      <c r="J97" s="8"/>
      <c r="K97" s="8"/>
      <c r="L97" s="8"/>
      <c r="M97" s="6"/>
    </row>
    <row r="98" spans="1:13" x14ac:dyDescent="0.3">
      <c r="A98" s="8"/>
      <c r="B98" s="19">
        <v>2023</v>
      </c>
      <c r="C98" s="19">
        <v>145</v>
      </c>
      <c r="D98" s="19">
        <v>130</v>
      </c>
      <c r="E98" s="19"/>
      <c r="F98" s="8"/>
      <c r="G98" s="8"/>
      <c r="H98" s="8"/>
      <c r="I98" s="8"/>
      <c r="J98" s="8"/>
      <c r="K98" s="8"/>
      <c r="L98" s="8"/>
      <c r="M98" s="6"/>
    </row>
    <row r="99" spans="1:13" x14ac:dyDescent="0.3">
      <c r="A99" s="8"/>
      <c r="B99" s="19">
        <v>2024</v>
      </c>
      <c r="C99" s="19">
        <v>203</v>
      </c>
      <c r="D99" s="19"/>
      <c r="E99" s="19"/>
      <c r="F99" s="8"/>
      <c r="G99" s="8"/>
      <c r="H99" s="8"/>
      <c r="I99" s="8"/>
      <c r="J99" s="8"/>
      <c r="K99" s="8"/>
      <c r="L99" s="8"/>
      <c r="M99" s="6"/>
    </row>
    <row r="100" spans="1:13" x14ac:dyDescent="0.3">
      <c r="A100" s="8"/>
      <c r="B100" s="8"/>
      <c r="C100" s="8"/>
      <c r="D100" s="8"/>
      <c r="E100" s="8"/>
      <c r="F100" s="8"/>
      <c r="G100" s="8"/>
      <c r="H100" s="8"/>
      <c r="I100" s="8"/>
      <c r="J100" s="8"/>
      <c r="K100" s="8"/>
      <c r="L100" s="8"/>
      <c r="M100" s="6"/>
    </row>
    <row r="101" spans="1:13" x14ac:dyDescent="0.3">
      <c r="A101" s="8"/>
      <c r="B101" s="20" t="s">
        <v>138</v>
      </c>
      <c r="C101" s="8"/>
      <c r="D101" s="8"/>
      <c r="E101" s="8"/>
      <c r="F101" s="8"/>
      <c r="G101" s="8"/>
      <c r="H101" s="8"/>
      <c r="I101" s="8"/>
      <c r="J101" s="8"/>
      <c r="K101" s="8"/>
      <c r="L101" s="8"/>
      <c r="M101" s="6"/>
    </row>
    <row r="102" spans="1:13" x14ac:dyDescent="0.3">
      <c r="A102" s="8"/>
      <c r="B102" s="20" t="s">
        <v>139</v>
      </c>
      <c r="C102" s="8"/>
      <c r="D102" s="8"/>
      <c r="E102" s="8"/>
      <c r="F102" s="8"/>
      <c r="G102" s="8"/>
      <c r="H102" s="8"/>
      <c r="I102" s="8"/>
      <c r="J102" s="8"/>
      <c r="K102" s="8"/>
      <c r="L102" s="8"/>
      <c r="M102" s="6"/>
    </row>
    <row r="103" spans="1:13" x14ac:dyDescent="0.3">
      <c r="A103" s="8"/>
      <c r="B103" s="20" t="s">
        <v>140</v>
      </c>
      <c r="C103" s="8"/>
      <c r="D103" s="8"/>
      <c r="E103" s="8"/>
      <c r="F103" s="8"/>
      <c r="G103" s="8"/>
      <c r="H103" s="8"/>
      <c r="I103" s="8"/>
      <c r="J103" s="8"/>
      <c r="K103" s="8"/>
      <c r="L103" s="8"/>
      <c r="M103" s="6"/>
    </row>
    <row r="105" spans="1:13" x14ac:dyDescent="0.3">
      <c r="A105" s="5" t="s">
        <v>3</v>
      </c>
      <c r="B105" s="8" t="s">
        <v>141</v>
      </c>
      <c r="C105" s="4"/>
      <c r="D105" s="4"/>
      <c r="E105" s="4"/>
      <c r="F105" s="4"/>
      <c r="G105" s="4"/>
      <c r="H105" s="4"/>
      <c r="I105" s="4"/>
      <c r="J105" s="4"/>
      <c r="K105" s="4"/>
      <c r="L105" s="4"/>
    </row>
    <row r="106" spans="1:13" x14ac:dyDescent="0.3">
      <c r="A106" s="6"/>
      <c r="B106" s="6"/>
      <c r="C106" s="6"/>
      <c r="D106" s="6"/>
      <c r="E106" s="6"/>
      <c r="F106" s="6"/>
      <c r="G106" s="6"/>
      <c r="H106" s="6"/>
      <c r="I106" s="6"/>
      <c r="J106" s="6"/>
      <c r="K106" s="6"/>
      <c r="L106" s="6"/>
    </row>
    <row r="107" spans="1:13" x14ac:dyDescent="0.3">
      <c r="A107" s="6" t="s">
        <v>1</v>
      </c>
      <c r="B107" s="6"/>
      <c r="C107" s="6"/>
      <c r="D107" s="6"/>
      <c r="E107" s="6"/>
      <c r="F107" s="6"/>
      <c r="G107" s="6"/>
      <c r="H107" s="6"/>
      <c r="I107" s="6"/>
      <c r="J107" s="6"/>
      <c r="K107" s="6"/>
      <c r="L107" s="6"/>
    </row>
    <row r="108" spans="1:13" x14ac:dyDescent="0.3">
      <c r="A108" s="6"/>
      <c r="B108" s="6"/>
      <c r="C108" s="6"/>
      <c r="D108" s="6"/>
      <c r="E108" s="6"/>
      <c r="F108" s="6"/>
      <c r="G108" s="6"/>
      <c r="H108" s="6"/>
      <c r="I108" s="6"/>
    </row>
    <row r="109" spans="1:13" x14ac:dyDescent="0.3">
      <c r="A109" s="6" t="s">
        <v>380</v>
      </c>
      <c r="B109" s="6"/>
      <c r="C109" s="6"/>
      <c r="D109" s="6"/>
      <c r="E109" s="6"/>
      <c r="F109" s="6"/>
      <c r="G109" s="6"/>
      <c r="H109" s="6"/>
      <c r="I109" s="6"/>
    </row>
    <row r="110" spans="1:13" ht="31.2" x14ac:dyDescent="0.3">
      <c r="A110" s="157" t="s">
        <v>245</v>
      </c>
      <c r="B110" s="157" t="s">
        <v>381</v>
      </c>
      <c r="C110" s="157" t="s">
        <v>382</v>
      </c>
      <c r="D110" s="157" t="s">
        <v>383</v>
      </c>
      <c r="E110" s="6"/>
      <c r="F110" s="6"/>
      <c r="G110" s="6"/>
      <c r="H110" s="6"/>
      <c r="I110" s="6"/>
    </row>
    <row r="111" spans="1:13" x14ac:dyDescent="0.3">
      <c r="A111" s="91">
        <f>B97</f>
        <v>2022</v>
      </c>
      <c r="B111" s="91">
        <f>SUM(C97:E97)</f>
        <v>162</v>
      </c>
      <c r="C111" s="91">
        <f>C91</f>
        <v>1.4990000000000001</v>
      </c>
      <c r="D111" s="155">
        <f>C111*B111</f>
        <v>242.83800000000002</v>
      </c>
      <c r="E111" s="6"/>
      <c r="F111" s="6"/>
      <c r="G111" s="6"/>
      <c r="H111" s="6"/>
      <c r="I111" s="6"/>
    </row>
    <row r="112" spans="1:13" x14ac:dyDescent="0.3">
      <c r="A112" s="91">
        <f t="shared" ref="A112:A113" si="9">B98</f>
        <v>2023</v>
      </c>
      <c r="B112" s="91">
        <f t="shared" ref="B112:B113" si="10">SUM(C98:E98)</f>
        <v>275</v>
      </c>
      <c r="C112" s="91">
        <f t="shared" ref="C112:C113" si="11">C92</f>
        <v>2.105</v>
      </c>
      <c r="D112" s="155">
        <f>C112*B112</f>
        <v>578.875</v>
      </c>
      <c r="E112" s="6"/>
      <c r="F112" s="6"/>
      <c r="G112" s="6"/>
      <c r="H112" s="6"/>
      <c r="I112" s="6"/>
    </row>
    <row r="113" spans="1:9" x14ac:dyDescent="0.3">
      <c r="A113" s="91">
        <f t="shared" si="9"/>
        <v>2024</v>
      </c>
      <c r="B113" s="91">
        <f t="shared" si="10"/>
        <v>203</v>
      </c>
      <c r="C113" s="91">
        <f t="shared" si="11"/>
        <v>4.0039999999999996</v>
      </c>
      <c r="D113" s="155">
        <f>C113*B113</f>
        <v>812.8119999999999</v>
      </c>
      <c r="E113" s="6"/>
      <c r="F113" s="6"/>
      <c r="G113" s="6"/>
      <c r="H113" s="6"/>
      <c r="I113" s="6"/>
    </row>
    <row r="114" spans="1:9" x14ac:dyDescent="0.3">
      <c r="A114" s="6"/>
      <c r="B114" s="6"/>
      <c r="C114" s="6"/>
      <c r="D114" s="6"/>
      <c r="E114" s="6"/>
      <c r="F114" s="6"/>
      <c r="G114" s="6"/>
      <c r="H114" s="6"/>
      <c r="I114" s="6"/>
    </row>
    <row r="115" spans="1:9" x14ac:dyDescent="0.3">
      <c r="A115" s="89" t="s">
        <v>13</v>
      </c>
      <c r="B115" s="198" t="s">
        <v>379</v>
      </c>
      <c r="C115" s="198"/>
      <c r="D115" s="198"/>
      <c r="E115" s="198"/>
      <c r="F115" s="198"/>
      <c r="G115" s="198"/>
      <c r="H115" s="198"/>
      <c r="I115" s="198"/>
    </row>
    <row r="116" spans="1:9" x14ac:dyDescent="0.3">
      <c r="A116" s="92" t="s">
        <v>15</v>
      </c>
      <c r="B116" s="90">
        <v>12</v>
      </c>
      <c r="C116" s="91">
        <f>B116+12</f>
        <v>24</v>
      </c>
      <c r="D116" s="91">
        <f>C116+12</f>
        <v>36</v>
      </c>
      <c r="E116" s="91">
        <f t="shared" ref="E116:H116" si="12">D116+12</f>
        <v>48</v>
      </c>
      <c r="F116" s="91">
        <f t="shared" si="12"/>
        <v>60</v>
      </c>
      <c r="G116" s="91">
        <f t="shared" si="12"/>
        <v>72</v>
      </c>
      <c r="H116" s="91">
        <f t="shared" si="12"/>
        <v>84</v>
      </c>
      <c r="I116" s="91" t="s">
        <v>254</v>
      </c>
    </row>
    <row r="117" spans="1:9" x14ac:dyDescent="0.3">
      <c r="A117" s="91">
        <f>A111</f>
        <v>2022</v>
      </c>
      <c r="B117" s="160">
        <f>C97</f>
        <v>60</v>
      </c>
      <c r="C117" s="160">
        <f t="shared" ref="C117:C118" si="13">D97</f>
        <v>54</v>
      </c>
      <c r="D117" s="160">
        <f>E97</f>
        <v>48</v>
      </c>
      <c r="E117" s="155">
        <f>E$84*($I117-SUM($B117:D117))</f>
        <v>49.796208000000014</v>
      </c>
      <c r="F117" s="155">
        <f>F$84*($I117-SUM($B117:E117))</f>
        <v>22.908842496000013</v>
      </c>
      <c r="G117" s="155">
        <f>G$84*($I117-SUM($B117:F117))</f>
        <v>5.3026830766080062</v>
      </c>
      <c r="H117" s="155">
        <f>H$84*($I117-SUM($B117:G117))</f>
        <v>2.8302664273919902</v>
      </c>
      <c r="I117" s="155">
        <f>D111</f>
        <v>242.83800000000002</v>
      </c>
    </row>
    <row r="118" spans="1:9" x14ac:dyDescent="0.3">
      <c r="A118" s="91">
        <f t="shared" ref="A118:A119" si="14">A112</f>
        <v>2023</v>
      </c>
      <c r="B118" s="160">
        <f t="shared" ref="B118:B119" si="15">C98</f>
        <v>145</v>
      </c>
      <c r="C118" s="160">
        <f t="shared" si="13"/>
        <v>130</v>
      </c>
      <c r="D118" s="155">
        <f>D$84*($I118-SUM($B118:C118))</f>
        <v>112.73762499999999</v>
      </c>
      <c r="E118" s="155">
        <f>E$84*($I118-SUM($B118:D118))</f>
        <v>117.74062300000001</v>
      </c>
      <c r="F118" s="155">
        <f>F$84*($I118-SUM($B118:E118))</f>
        <v>54.166802975999992</v>
      </c>
      <c r="G118" s="155">
        <f>G$84*($I118-SUM($B118:F118))</f>
        <v>12.537926763648004</v>
      </c>
      <c r="H118" s="155">
        <f>H$84*($I118-SUM($B118:G118))</f>
        <v>6.6920222603520187</v>
      </c>
      <c r="I118" s="155">
        <f t="shared" ref="I118:I119" si="16">D112</f>
        <v>578.875</v>
      </c>
    </row>
    <row r="119" spans="1:9" x14ac:dyDescent="0.3">
      <c r="A119" s="91">
        <f t="shared" si="14"/>
        <v>2024</v>
      </c>
      <c r="B119" s="160">
        <f t="shared" si="15"/>
        <v>203</v>
      </c>
      <c r="C119" s="155">
        <f>C$84*($I119-SUM($B119:B119))</f>
        <v>185.38284799999997</v>
      </c>
      <c r="D119" s="155">
        <f>D$84*($I119-SUM($B119:C119))</f>
        <v>157.46321539199997</v>
      </c>
      <c r="E119" s="155">
        <f>E$84*($I119-SUM($B119:D119))</f>
        <v>164.45101695052799</v>
      </c>
      <c r="F119" s="155">
        <f>F$84*($I119-SUM($B119:E119))</f>
        <v>75.656010707214321</v>
      </c>
      <c r="G119" s="155">
        <f>G$84*($I119-SUM($B119:F119))</f>
        <v>17.512008635567966</v>
      </c>
      <c r="H119" s="155">
        <f>H$84*($I119-SUM($B119:G119))</f>
        <v>9.3469003146896057</v>
      </c>
      <c r="I119" s="155">
        <f t="shared" si="16"/>
        <v>812.8119999999999</v>
      </c>
    </row>
    <row r="120" spans="1:9" x14ac:dyDescent="0.3">
      <c r="A120" s="156"/>
      <c r="B120" s="107"/>
      <c r="C120" s="6"/>
      <c r="D120" s="6"/>
      <c r="E120" s="6"/>
      <c r="F120" s="6"/>
      <c r="G120" s="6"/>
      <c r="H120" s="6"/>
      <c r="I120" s="6"/>
    </row>
    <row r="121" spans="1:9" x14ac:dyDescent="0.3">
      <c r="A121" s="89" t="s">
        <v>13</v>
      </c>
      <c r="B121" s="205" t="s">
        <v>384</v>
      </c>
      <c r="C121" s="206"/>
      <c r="D121" s="206"/>
      <c r="E121" s="206"/>
      <c r="F121" s="206"/>
      <c r="G121" s="206"/>
      <c r="H121" s="197"/>
      <c r="I121" s="6"/>
    </row>
    <row r="122" spans="1:9" x14ac:dyDescent="0.3">
      <c r="A122" s="92" t="s">
        <v>15</v>
      </c>
      <c r="B122" s="90">
        <v>12</v>
      </c>
      <c r="C122" s="91">
        <f>B122+12</f>
        <v>24</v>
      </c>
      <c r="D122" s="91">
        <f>C122+12</f>
        <v>36</v>
      </c>
      <c r="E122" s="91">
        <f t="shared" ref="E122:H122" si="17">D122+12</f>
        <v>48</v>
      </c>
      <c r="F122" s="91">
        <f t="shared" si="17"/>
        <v>60</v>
      </c>
      <c r="G122" s="91">
        <f t="shared" si="17"/>
        <v>72</v>
      </c>
      <c r="H122" s="91">
        <f t="shared" si="17"/>
        <v>84</v>
      </c>
      <c r="I122" s="6"/>
    </row>
    <row r="123" spans="1:9" x14ac:dyDescent="0.3">
      <c r="A123" s="91">
        <f>A117</f>
        <v>2022</v>
      </c>
      <c r="B123" s="91"/>
      <c r="C123" s="93"/>
      <c r="D123" s="93"/>
      <c r="E123" s="93">
        <f t="shared" ref="E123:H124" si="18">E124/(1+$D$37)</f>
        <v>7608.922309812674</v>
      </c>
      <c r="F123" s="93">
        <f t="shared" si="18"/>
        <v>7794.3601130309744</v>
      </c>
      <c r="G123" s="93">
        <f t="shared" si="18"/>
        <v>8617.4015613008469</v>
      </c>
      <c r="H123" s="93">
        <f t="shared" si="18"/>
        <v>8617.4015613008469</v>
      </c>
      <c r="I123" s="158"/>
    </row>
    <row r="124" spans="1:9" x14ac:dyDescent="0.3">
      <c r="A124" s="91">
        <f>A118</f>
        <v>2023</v>
      </c>
      <c r="B124" s="91"/>
      <c r="C124" s="93"/>
      <c r="D124" s="93">
        <f>D125/(1+$D$37)</f>
        <v>7630.974288162548</v>
      </c>
      <c r="E124" s="93">
        <f t="shared" si="18"/>
        <v>8081.2505798288666</v>
      </c>
      <c r="F124" s="93">
        <f t="shared" si="18"/>
        <v>8278.1995423445551</v>
      </c>
      <c r="G124" s="93">
        <f t="shared" si="18"/>
        <v>9152.3317663622092</v>
      </c>
      <c r="H124" s="93">
        <f t="shared" si="18"/>
        <v>9152.3317663622092</v>
      </c>
      <c r="I124" s="158"/>
    </row>
    <row r="125" spans="1:9" x14ac:dyDescent="0.3">
      <c r="A125" s="91">
        <f>A119</f>
        <v>2024</v>
      </c>
      <c r="B125" s="91"/>
      <c r="C125" s="93">
        <f>C78</f>
        <v>6427.5084930979183</v>
      </c>
      <c r="D125" s="93">
        <f>D78</f>
        <v>8104.6714475378812</v>
      </c>
      <c r="E125" s="93">
        <f>E78</f>
        <v>8582.8989014335457</v>
      </c>
      <c r="F125" s="93">
        <f>F78</f>
        <v>8792.0735851432255</v>
      </c>
      <c r="G125" s="93">
        <f>G78</f>
        <v>9720.4680744758007</v>
      </c>
      <c r="H125" s="93">
        <f>G125</f>
        <v>9720.4680744758007</v>
      </c>
      <c r="I125" s="158"/>
    </row>
    <row r="126" spans="1:9" x14ac:dyDescent="0.3">
      <c r="A126" s="6"/>
      <c r="B126" s="6"/>
      <c r="C126" s="6"/>
      <c r="D126" s="6"/>
      <c r="E126" s="6"/>
      <c r="F126" s="6"/>
      <c r="G126" s="6"/>
      <c r="H126" s="6"/>
      <c r="I126" s="6"/>
    </row>
    <row r="127" spans="1:9" x14ac:dyDescent="0.3">
      <c r="A127" s="89" t="s">
        <v>13</v>
      </c>
      <c r="B127" s="205" t="s">
        <v>385</v>
      </c>
      <c r="C127" s="206"/>
      <c r="D127" s="206"/>
      <c r="E127" s="206"/>
      <c r="F127" s="206"/>
      <c r="G127" s="206"/>
      <c r="H127" s="206"/>
      <c r="I127" s="163"/>
    </row>
    <row r="128" spans="1:9" x14ac:dyDescent="0.3">
      <c r="A128" s="92" t="s">
        <v>15</v>
      </c>
      <c r="B128" s="90">
        <v>12</v>
      </c>
      <c r="C128" s="91">
        <f>B128+12</f>
        <v>24</v>
      </c>
      <c r="D128" s="91">
        <f>C128+12</f>
        <v>36</v>
      </c>
      <c r="E128" s="91">
        <f t="shared" ref="E128:H128" si="19">D128+12</f>
        <v>48</v>
      </c>
      <c r="F128" s="91">
        <f t="shared" si="19"/>
        <v>60</v>
      </c>
      <c r="G128" s="91">
        <f t="shared" si="19"/>
        <v>72</v>
      </c>
      <c r="H128" s="159">
        <f t="shared" si="19"/>
        <v>84</v>
      </c>
      <c r="I128" s="91" t="s">
        <v>386</v>
      </c>
    </row>
    <row r="129" spans="1:9" x14ac:dyDescent="0.3">
      <c r="A129" s="91">
        <f>A123</f>
        <v>2022</v>
      </c>
      <c r="B129" s="91"/>
      <c r="C129" s="93"/>
      <c r="D129" s="93"/>
      <c r="E129" s="93">
        <f t="shared" ref="E129:H131" si="20">E123*E117</f>
        <v>378895.47799527249</v>
      </c>
      <c r="F129" s="93">
        <f t="shared" si="20"/>
        <v>178559.76818653144</v>
      </c>
      <c r="G129" s="93">
        <f t="shared" si="20"/>
        <v>45695.349423445412</v>
      </c>
      <c r="H129" s="162">
        <f t="shared" si="20"/>
        <v>24389.542330305107</v>
      </c>
      <c r="I129" s="93">
        <f>SUM(C129:H129)</f>
        <v>627540.13793555449</v>
      </c>
    </row>
    <row r="130" spans="1:9" x14ac:dyDescent="0.3">
      <c r="A130" s="91">
        <f t="shared" ref="A130:A131" si="21">A124</f>
        <v>2023</v>
      </c>
      <c r="B130" s="91"/>
      <c r="C130" s="93"/>
      <c r="D130" s="93">
        <f>D124*D118</f>
        <v>860297.91768351127</v>
      </c>
      <c r="E130" s="93">
        <f t="shared" si="20"/>
        <v>951491.47788816213</v>
      </c>
      <c r="F130" s="93">
        <f t="shared" si="20"/>
        <v>448403.60360619082</v>
      </c>
      <c r="G130" s="93">
        <f t="shared" si="20"/>
        <v>114751.26540325856</v>
      </c>
      <c r="H130" s="162">
        <f t="shared" si="20"/>
        <v>61247.607914622815</v>
      </c>
      <c r="I130" s="93">
        <f t="shared" ref="I130:I131" si="22">SUM(C130:H130)</f>
        <v>2436191.8724957458</v>
      </c>
    </row>
    <row r="131" spans="1:9" x14ac:dyDescent="0.3">
      <c r="A131" s="91">
        <f t="shared" si="21"/>
        <v>2024</v>
      </c>
      <c r="B131" s="91"/>
      <c r="C131" s="93">
        <f>C125*C119</f>
        <v>1191549.8299946801</v>
      </c>
      <c r="D131" s="93">
        <f>D125*D119</f>
        <v>1276187.6258250496</v>
      </c>
      <c r="E131" s="93">
        <f t="shared" si="20"/>
        <v>1411466.4527243162</v>
      </c>
      <c r="F131" s="93">
        <f t="shared" si="20"/>
        <v>665173.21329621202</v>
      </c>
      <c r="G131" s="93">
        <f t="shared" si="20"/>
        <v>170224.92086198294</v>
      </c>
      <c r="H131" s="162">
        <f t="shared" si="20"/>
        <v>90856.24610424813</v>
      </c>
      <c r="I131" s="93">
        <f t="shared" si="22"/>
        <v>4805458.2888064887</v>
      </c>
    </row>
    <row r="132" spans="1:9" x14ac:dyDescent="0.3">
      <c r="A132" s="6"/>
      <c r="B132" s="6"/>
      <c r="C132" s="6"/>
      <c r="D132" s="6"/>
      <c r="E132" s="6"/>
      <c r="F132" s="6"/>
      <c r="G132" s="6"/>
      <c r="H132" s="6"/>
      <c r="I132" s="93">
        <f>SUM(I129:I131)</f>
        <v>7869190.2992377896</v>
      </c>
    </row>
  </sheetData>
  <mergeCells count="17">
    <mergeCell ref="C15:D15"/>
    <mergeCell ref="C16:D16"/>
    <mergeCell ref="C17:D17"/>
    <mergeCell ref="C18:D18"/>
    <mergeCell ref="C19:D19"/>
    <mergeCell ref="B69:G69"/>
    <mergeCell ref="B127:H127"/>
    <mergeCell ref="B115:I115"/>
    <mergeCell ref="B121:H121"/>
    <mergeCell ref="C20:D20"/>
    <mergeCell ref="C95:E95"/>
    <mergeCell ref="C21:D21"/>
    <mergeCell ref="B42:K43"/>
    <mergeCell ref="C52:H52"/>
    <mergeCell ref="B64:K65"/>
    <mergeCell ref="B82:H82"/>
    <mergeCell ref="B86:C86"/>
  </mergeCells>
  <pageMargins left="0.7" right="0.7" top="0.75" bottom="0.75" header="0.3" footer="0.3"/>
  <pageSetup orientation="portrait" verticalDpi="0" r:id="rId1"/>
</worksheet>
</file>

<file path=docMetadata/LabelInfo.xml><?xml version="1.0" encoding="utf-8"?>
<clbl:labelList xmlns:clbl="http://schemas.microsoft.com/office/2020/mipLabelMetadata">
  <clbl:label id="{7b72dd6e-c27c-4639-b124-2b12953460bf}" enabled="0" method="" siteId="{7b72dd6e-c27c-4639-b124-2b12953460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Question 1</vt:lpstr>
      <vt:lpstr>Question 2</vt:lpstr>
      <vt:lpstr>Question 3</vt:lpstr>
      <vt:lpstr>Question 4</vt:lpstr>
      <vt:lpstr>Question 5</vt:lpstr>
      <vt:lpstr>Question 6</vt:lpstr>
      <vt:lpstr>Question 7</vt:lpstr>
      <vt:lpstr>Question 8</vt:lpstr>
      <vt:lpstr>Question 9</vt:lpstr>
      <vt:lpstr>Question 10</vt:lpstr>
      <vt:lpstr>Question 11</vt:lpstr>
      <vt:lpstr>Question 12</vt:lpstr>
      <vt:lpstr>Question 13</vt:lpstr>
      <vt:lpstr>Question 14</vt:lpstr>
      <vt:lpstr>'Question 8'!_Hlk79498264</vt:lpstr>
      <vt:lpstr>'Question 9'!OLE_LINK37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Scott Lennox</cp:lastModifiedBy>
  <cp:lastPrinted>2018-12-31T14:01:19Z</cp:lastPrinted>
  <dcterms:created xsi:type="dcterms:W3CDTF">2016-11-07T18:30:57Z</dcterms:created>
  <dcterms:modified xsi:type="dcterms:W3CDTF">2025-08-01T19:48:19Z</dcterms:modified>
</cp:coreProperties>
</file>