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1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10" documentId="8_{024569CD-6D68-4724-A644-C7931AF06A12}" xr6:coauthVersionLast="47" xr6:coauthVersionMax="47" xr10:uidLastSave="{E3FBBC6F-5C68-4E62-BDC0-F4438BE31A73}"/>
  <bookViews>
    <workbookView xWindow="67080" yWindow="-120" windowWidth="38640" windowHeight="21120" xr2:uid="{99E47DBF-6FB3-4B07-9419-F1C5DE2884BC}"/>
  </bookViews>
  <sheets>
    <sheet name="Cover " sheetId="102" r:id="rId1"/>
    <sheet name="TOC" sheetId="4" r:id="rId2"/>
    <sheet name="F2020_Q1" sheetId="6" r:id="rId3"/>
    <sheet name="F2020_Q2" sheetId="7" r:id="rId4"/>
    <sheet name="F2020_Q5" sheetId="8" r:id="rId5"/>
    <sheet name="F2020_Q9" sheetId="9" r:id="rId6"/>
    <sheet name="F2020_Q13" sheetId="10" r:id="rId7"/>
    <sheet name="F2020_Q15" sheetId="2" r:id="rId8"/>
    <sheet name="F2020_Q16" sheetId="11" r:id="rId9"/>
    <sheet name="F2020_Q19" sheetId="12" r:id="rId10"/>
    <sheet name="F2020_Q20" sheetId="13" r:id="rId11"/>
    <sheet name="S2021_Q1" sheetId="14" r:id="rId12"/>
    <sheet name="S2021_Q2" sheetId="15" r:id="rId13"/>
    <sheet name="S2021_Q3" sheetId="16" r:id="rId14"/>
    <sheet name="S2021_Q9" sheetId="17" r:id="rId15"/>
    <sheet name="S2021_Q12" sheetId="18" r:id="rId16"/>
    <sheet name="S2021_Q14" sheetId="19" r:id="rId17"/>
    <sheet name="S2021_Q16" sheetId="20" r:id="rId18"/>
    <sheet name="S2021_Q18" sheetId="21" r:id="rId19"/>
    <sheet name="S2021_Q19" sheetId="22" r:id="rId20"/>
    <sheet name="F2021_Q1" sheetId="23" r:id="rId21"/>
    <sheet name="F2021_Q2" sheetId="24" r:id="rId22"/>
    <sheet name="F2021_Q4" sheetId="25" r:id="rId23"/>
    <sheet name="F2021_Q5" sheetId="26" r:id="rId24"/>
    <sheet name="F2021_Q6" sheetId="5" r:id="rId25"/>
    <sheet name="F2021_Q11" sheetId="27" r:id="rId26"/>
    <sheet name="F2021_Q15" sheetId="29" r:id="rId27"/>
    <sheet name="F2021_Q16" sheetId="30" r:id="rId28"/>
    <sheet name="F2021_Q18" sheetId="31" r:id="rId29"/>
    <sheet name="F2021_Q20" sheetId="32" r:id="rId30"/>
    <sheet name="S2022_Q1" sheetId="33" r:id="rId31"/>
    <sheet name="S2022_Q2" sheetId="34" r:id="rId32"/>
    <sheet name="S2022_Q8" sheetId="35" r:id="rId33"/>
    <sheet name="S2022_Q12" sheetId="37" r:id="rId34"/>
    <sheet name="S2022_Q15" sheetId="38" r:id="rId35"/>
    <sheet name="S2022_Q16" sheetId="39" r:id="rId36"/>
    <sheet name="S2022_Q17" sheetId="40" r:id="rId37"/>
    <sheet name="F2022_Q2" sheetId="41" r:id="rId38"/>
    <sheet name="F2022_Q5" sheetId="42" r:id="rId39"/>
    <sheet name="F2022_Q6" sheetId="43" r:id="rId40"/>
    <sheet name="F2022_Q11" sheetId="44" r:id="rId41"/>
    <sheet name="F2022_Q12" sheetId="45" r:id="rId42"/>
    <sheet name="F2022_Q14" sheetId="46" r:id="rId43"/>
    <sheet name="F2022_Q15" sheetId="47" r:id="rId44"/>
    <sheet name="F2022_Q16" sheetId="48" r:id="rId45"/>
    <sheet name="F2022_Q17" sheetId="49" r:id="rId46"/>
    <sheet name="F2022_Q18" sheetId="50" r:id="rId47"/>
    <sheet name="S2023_Q1" sheetId="51" r:id="rId48"/>
    <sheet name="S2023_Q2" sheetId="52" r:id="rId49"/>
    <sheet name="S2023_Q3" sheetId="53" r:id="rId50"/>
    <sheet name="S2023_Q4" sheetId="54" r:id="rId51"/>
    <sheet name="S2023_Q5" sheetId="55" r:id="rId52"/>
    <sheet name="S2023_Q6" sheetId="56" r:id="rId53"/>
    <sheet name="S2023_Q8" sheetId="57" r:id="rId54"/>
    <sheet name="S2023_Q9" sheetId="58" r:id="rId55"/>
    <sheet name="S2023_Q11" sheetId="59" r:id="rId56"/>
    <sheet name="S2023_Q13" sheetId="60" r:id="rId57"/>
    <sheet name="S2023_Q14" sheetId="61" r:id="rId58"/>
    <sheet name="F2023_Q1" sheetId="62" r:id="rId59"/>
    <sheet name="F2023_Q3" sheetId="64" r:id="rId60"/>
    <sheet name="F2023_Q4" sheetId="65" r:id="rId61"/>
    <sheet name="F2023_Q5" sheetId="66" r:id="rId62"/>
    <sheet name="F2023_Q8" sheetId="69" r:id="rId63"/>
    <sheet name="F2023_Q9" sheetId="70" r:id="rId64"/>
    <sheet name="F2023_Q10" sheetId="71" r:id="rId65"/>
    <sheet name="F2023_Q11" sheetId="72" r:id="rId66"/>
    <sheet name="F2023_Q12" sheetId="73" r:id="rId67"/>
    <sheet name="F2023_Q13" sheetId="74" r:id="rId68"/>
    <sheet name="F2023_Q14" sheetId="75" r:id="rId69"/>
    <sheet name="F2023_Q15" sheetId="76" r:id="rId70"/>
    <sheet name="S2024_Q1" sheetId="77" r:id="rId71"/>
    <sheet name="S2024_Q2" sheetId="78" r:id="rId72"/>
    <sheet name="S2024_Q3" sheetId="79" r:id="rId73"/>
    <sheet name="S2024_Q5" sheetId="81" r:id="rId74"/>
    <sheet name="S2024_Q7" sheetId="83" r:id="rId75"/>
    <sheet name="S2024_Q8" sheetId="84" r:id="rId76"/>
    <sheet name="S2024_Q10" sheetId="86" r:id="rId77"/>
    <sheet name="S2024_Q12" sheetId="88" r:id="rId78"/>
    <sheet name="S2024_Q13" sheetId="89" r:id="rId79"/>
    <sheet name="F2024_Q2" sheetId="90" r:id="rId80"/>
    <sheet name="F2024_Q3" sheetId="91" r:id="rId81"/>
    <sheet name="F2024_Q4" sheetId="92" r:id="rId82"/>
    <sheet name="F2024_Q5" sheetId="93" r:id="rId83"/>
    <sheet name="F2024_Q6" sheetId="94" r:id="rId84"/>
    <sheet name="F2024_Q8" sheetId="96" r:id="rId85"/>
    <sheet name="F2024_Q9" sheetId="97" r:id="rId86"/>
    <sheet name="F2024_Q10" sheetId="98" r:id="rId87"/>
    <sheet name="F2024_Q11" sheetId="99" r:id="rId88"/>
    <sheet name="F2024_Q12" sheetId="100" r:id="rId89"/>
    <sheet name="F2024_Q13" sheetId="101" r:id="rId90"/>
  </sheets>
  <externalReferences>
    <externalReference r:id="rId91"/>
    <externalReference r:id="rId92"/>
    <externalReference r:id="rId93"/>
  </externalReferences>
  <definedNames>
    <definedName name="AAD">[1]Q13!#REF!</definedName>
    <definedName name="Allocations">#REF!</definedName>
    <definedName name="Attach">[1]Q13!#REF!</definedName>
    <definedName name="CognitiveLevels">#REF!</definedName>
    <definedName name="CommonGuidance">#REF!</definedName>
    <definedName name="Cover">[1]Q13!#REF!</definedName>
    <definedName name="lambda">#REF!</definedName>
    <definedName name="LO_1">#REF!</definedName>
    <definedName name="LO_2">#REF!</definedName>
    <definedName name="LOList">#REF!</definedName>
    <definedName name="_xlnm.Print_Area" localSheetId="2">F2020_Q1!$A$3:$L$83</definedName>
    <definedName name="_xlnm.Print_Area" localSheetId="6">F2020_Q13!$A$3:$L$57</definedName>
    <definedName name="_xlnm.Print_Area" localSheetId="7">F2020_Q15!$A$3:$L$51</definedName>
    <definedName name="_xlnm.Print_Area" localSheetId="8">F2020_Q16!$A$3:$AB$128</definedName>
    <definedName name="_xlnm.Print_Area" localSheetId="9">F2020_Q19!$A$3:$L$81</definedName>
    <definedName name="_xlnm.Print_Area" localSheetId="3">F2020_Q2!$A$3:$L$59</definedName>
    <definedName name="_xlnm.Print_Area" localSheetId="10">F2020_Q20!$A$3:$L$56</definedName>
    <definedName name="_xlnm.Print_Area" localSheetId="4">F2020_Q5!$A$3:$L$44</definedName>
    <definedName name="_xlnm.Print_Area" localSheetId="5">F2020_Q9!$A$3:$AB$55</definedName>
    <definedName name="_xlnm.Print_Area" localSheetId="20">F2021_Q1!$A$1:$L$63</definedName>
    <definedName name="_xlnm.Print_Area" localSheetId="25">F2021_Q11!$A$1:$L$57</definedName>
    <definedName name="_xlnm.Print_Area" localSheetId="26">F2021_Q15!$A$1:$L$41</definedName>
    <definedName name="_xlnm.Print_Area" localSheetId="27">F2021_Q16!$A$1:$L$129</definedName>
    <definedName name="_xlnm.Print_Area" localSheetId="28">F2021_Q18!$A$1:$L$123</definedName>
    <definedName name="_xlnm.Print_Area" localSheetId="21">F2021_Q2!$A$1:$L$71</definedName>
    <definedName name="_xlnm.Print_Area" localSheetId="29">F2021_Q20!$A$1:$L$44</definedName>
    <definedName name="_xlnm.Print_Area" localSheetId="22">F2021_Q4!$A$1:$L$72</definedName>
    <definedName name="_xlnm.Print_Area" localSheetId="23">F2021_Q5!$A$1:$L$50</definedName>
    <definedName name="_xlnm.Print_Area" localSheetId="24">F2021_Q6!$A$1:$L$80</definedName>
    <definedName name="_xlnm.Print_Titles" localSheetId="2">F2020_Q1!$1:$2</definedName>
    <definedName name="_xlnm.Print_Titles" localSheetId="6">F2020_Q13!$1:$2</definedName>
    <definedName name="_xlnm.Print_Titles" localSheetId="7">F2020_Q15!$1:$2</definedName>
    <definedName name="_xlnm.Print_Titles" localSheetId="8">F2020_Q16!$1:$2</definedName>
    <definedName name="_xlnm.Print_Titles" localSheetId="9">F2020_Q19!$1:$2</definedName>
    <definedName name="_xlnm.Print_Titles" localSheetId="3">F2020_Q2!$1:$2</definedName>
    <definedName name="_xlnm.Print_Titles" localSheetId="10">F2020_Q20!$1:$2</definedName>
    <definedName name="_xlnm.Print_Titles" localSheetId="4">F2020_Q5!$1:$2</definedName>
    <definedName name="_xlnm.Print_Titles" localSheetId="5">F2020_Q9!$1:$2</definedName>
    <definedName name="Q_sources">#REF!</definedName>
    <definedName name="SyllabusListing">#REF!</definedName>
    <definedName name="Tail">'[3]Question 14'!$D$44</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101" l="1"/>
  <c r="H46" i="101" s="1"/>
  <c r="B46" i="101"/>
  <c r="G46" i="101" s="1"/>
  <c r="A46" i="101"/>
  <c r="H45" i="101"/>
  <c r="E45" i="101"/>
  <c r="D45" i="101"/>
  <c r="D44" i="101" s="1"/>
  <c r="D43" i="101" s="1"/>
  <c r="D42" i="101" s="1"/>
  <c r="C45" i="101"/>
  <c r="B45" i="101"/>
  <c r="A45" i="101"/>
  <c r="G44" i="101"/>
  <c r="E44" i="101"/>
  <c r="C44" i="101"/>
  <c r="B44" i="101"/>
  <c r="A44" i="101"/>
  <c r="C43" i="101"/>
  <c r="B43" i="101"/>
  <c r="A43" i="101"/>
  <c r="F42" i="101"/>
  <c r="F43" i="101" s="1"/>
  <c r="F44" i="101" s="1"/>
  <c r="F45" i="101" s="1"/>
  <c r="C42" i="101"/>
  <c r="B42" i="101"/>
  <c r="A42" i="101"/>
  <c r="F41" i="101"/>
  <c r="C41" i="101"/>
  <c r="B41" i="101"/>
  <c r="A41" i="101"/>
  <c r="C40" i="101"/>
  <c r="B40" i="101"/>
  <c r="A40" i="101"/>
  <c r="B30" i="101"/>
  <c r="D30" i="101" s="1"/>
  <c r="A30" i="101"/>
  <c r="B29" i="101"/>
  <c r="A29" i="101"/>
  <c r="B28" i="101"/>
  <c r="A28" i="101"/>
  <c r="C27" i="101"/>
  <c r="B27" i="101"/>
  <c r="A27" i="101"/>
  <c r="B26" i="101"/>
  <c r="D26" i="101" s="1"/>
  <c r="E26" i="101" s="1"/>
  <c r="A26" i="101"/>
  <c r="C25" i="101"/>
  <c r="C26" i="101" s="1"/>
  <c r="B25" i="101"/>
  <c r="D25" i="101" s="1"/>
  <c r="E25" i="101" s="1"/>
  <c r="A25" i="101"/>
  <c r="B24" i="101"/>
  <c r="D24" i="101" s="1"/>
  <c r="A24" i="101"/>
  <c r="B103" i="100"/>
  <c r="B104" i="100" s="1"/>
  <c r="A103" i="100"/>
  <c r="I102" i="100"/>
  <c r="I101" i="100" s="1"/>
  <c r="I100" i="100" s="1"/>
  <c r="I99" i="100" s="1"/>
  <c r="B102" i="100"/>
  <c r="A102" i="100"/>
  <c r="B101" i="100"/>
  <c r="A101" i="100"/>
  <c r="A100" i="100"/>
  <c r="B99" i="100"/>
  <c r="A99" i="100"/>
  <c r="H94" i="100"/>
  <c r="G94" i="100"/>
  <c r="F94" i="100"/>
  <c r="E94" i="100"/>
  <c r="D94" i="100"/>
  <c r="E93" i="100"/>
  <c r="C93" i="100"/>
  <c r="E91" i="100"/>
  <c r="F91" i="100" s="1"/>
  <c r="G91" i="100" s="1"/>
  <c r="H91" i="100" s="1"/>
  <c r="D78" i="100"/>
  <c r="D77" i="100"/>
  <c r="A77" i="100"/>
  <c r="C77" i="100" s="1"/>
  <c r="D76" i="100"/>
  <c r="A76" i="100"/>
  <c r="C76" i="100" s="1"/>
  <c r="D75" i="100"/>
  <c r="A75" i="100"/>
  <c r="C75" i="100" s="1"/>
  <c r="D74" i="100"/>
  <c r="B100" i="100" s="1"/>
  <c r="A74" i="100"/>
  <c r="C74" i="100" s="1"/>
  <c r="D73" i="100"/>
  <c r="C73" i="100"/>
  <c r="A73" i="100"/>
  <c r="A56" i="100"/>
  <c r="B56" i="100" s="1"/>
  <c r="A55" i="100"/>
  <c r="A54" i="100"/>
  <c r="A53" i="100"/>
  <c r="A52" i="100"/>
  <c r="B48" i="100"/>
  <c r="D47" i="100"/>
  <c r="D48" i="100" s="1"/>
  <c r="E45" i="100"/>
  <c r="D45" i="100"/>
  <c r="B45" i="100"/>
  <c r="A45" i="100"/>
  <c r="E44" i="100"/>
  <c r="C44" i="100"/>
  <c r="A44" i="100"/>
  <c r="C43" i="100"/>
  <c r="B43" i="100"/>
  <c r="A43" i="100"/>
  <c r="B42" i="100"/>
  <c r="B46" i="100" s="1"/>
  <c r="A42" i="100"/>
  <c r="B38" i="100"/>
  <c r="C37" i="100"/>
  <c r="B37" i="100"/>
  <c r="D36" i="100"/>
  <c r="C36" i="100"/>
  <c r="B36" i="100"/>
  <c r="B44" i="100" s="1"/>
  <c r="E35" i="100"/>
  <c r="D35" i="100"/>
  <c r="D43" i="100" s="1"/>
  <c r="C35" i="100"/>
  <c r="B47" i="100" s="1"/>
  <c r="B35" i="100"/>
  <c r="F34" i="100"/>
  <c r="E47" i="100" s="1"/>
  <c r="E48" i="100" s="1"/>
  <c r="F48" i="100" s="1"/>
  <c r="F49" i="100" s="1"/>
  <c r="C52" i="100" s="1"/>
  <c r="E34" i="100"/>
  <c r="D34" i="100"/>
  <c r="C34" i="100"/>
  <c r="B34" i="100"/>
  <c r="C57" i="99"/>
  <c r="D57" i="99" s="1"/>
  <c r="E57" i="99" s="1"/>
  <c r="F57" i="99" s="1"/>
  <c r="B57" i="99"/>
  <c r="C56" i="99"/>
  <c r="B56" i="99"/>
  <c r="D56" i="99" s="1"/>
  <c r="E56" i="99" s="1"/>
  <c r="F56" i="99" s="1"/>
  <c r="Q49" i="99"/>
  <c r="U49" i="99" s="1"/>
  <c r="F37" i="99"/>
  <c r="D37" i="99"/>
  <c r="B36" i="99"/>
  <c r="A36" i="99"/>
  <c r="D35" i="99"/>
  <c r="B35" i="99"/>
  <c r="C35" i="99" s="1"/>
  <c r="A35" i="99"/>
  <c r="D34" i="99"/>
  <c r="E33" i="99"/>
  <c r="E32" i="99"/>
  <c r="F32" i="99" s="1"/>
  <c r="Q25" i="99"/>
  <c r="U25" i="99" s="1"/>
  <c r="A142" i="98"/>
  <c r="A141" i="98"/>
  <c r="A140" i="98"/>
  <c r="A139" i="98"/>
  <c r="D138" i="98"/>
  <c r="A138" i="98"/>
  <c r="E137" i="98"/>
  <c r="A137" i="98"/>
  <c r="B136" i="98"/>
  <c r="A136" i="98"/>
  <c r="C135" i="98"/>
  <c r="B135" i="98"/>
  <c r="A135" i="98"/>
  <c r="C131" i="98"/>
  <c r="B131" i="98"/>
  <c r="B130" i="98" s="1"/>
  <c r="H127" i="98"/>
  <c r="A127" i="98"/>
  <c r="H126" i="98"/>
  <c r="A126" i="98"/>
  <c r="H125" i="98"/>
  <c r="B125" i="98"/>
  <c r="H124" i="98"/>
  <c r="C124" i="98"/>
  <c r="B124" i="98"/>
  <c r="B139" i="98" s="1"/>
  <c r="H123" i="98"/>
  <c r="D123" i="98"/>
  <c r="C123" i="98"/>
  <c r="B123" i="98"/>
  <c r="B138" i="98" s="1"/>
  <c r="H122" i="98"/>
  <c r="E131" i="98" s="1"/>
  <c r="E122" i="98"/>
  <c r="D122" i="98"/>
  <c r="D137" i="98" s="1"/>
  <c r="C122" i="98"/>
  <c r="C137" i="98" s="1"/>
  <c r="B122" i="98"/>
  <c r="B137" i="98" s="1"/>
  <c r="H121" i="98"/>
  <c r="F121" i="98"/>
  <c r="F136" i="98" s="1"/>
  <c r="E121" i="98"/>
  <c r="D121" i="98"/>
  <c r="D136" i="98" s="1"/>
  <c r="C121" i="98"/>
  <c r="C136" i="98" s="1"/>
  <c r="B121" i="98"/>
  <c r="H120" i="98"/>
  <c r="G131" i="98" s="1"/>
  <c r="G120" i="98"/>
  <c r="F120" i="98"/>
  <c r="F135" i="98" s="1"/>
  <c r="E120" i="98"/>
  <c r="E135" i="98" s="1"/>
  <c r="D120" i="98"/>
  <c r="D135" i="98" s="1"/>
  <c r="C120" i="98"/>
  <c r="B120" i="98"/>
  <c r="D96" i="98"/>
  <c r="A96" i="98"/>
  <c r="B96" i="98" s="1"/>
  <c r="C96" i="98" s="1"/>
  <c r="B95" i="98"/>
  <c r="C95" i="98" s="1"/>
  <c r="A95" i="98"/>
  <c r="D95" i="98" s="1"/>
  <c r="B76" i="98"/>
  <c r="C76" i="98" s="1"/>
  <c r="B73" i="98"/>
  <c r="C73" i="98" s="1"/>
  <c r="D73" i="98" s="1"/>
  <c r="E73" i="98" s="1"/>
  <c r="F73" i="98" s="1"/>
  <c r="B68" i="98"/>
  <c r="B77" i="98" s="1"/>
  <c r="C67" i="98"/>
  <c r="B67" i="98"/>
  <c r="B66" i="98"/>
  <c r="B75" i="98" s="1"/>
  <c r="C75" i="98" s="1"/>
  <c r="D75" i="98" s="1"/>
  <c r="E65" i="98"/>
  <c r="D65" i="98"/>
  <c r="E64" i="98"/>
  <c r="D64" i="98"/>
  <c r="C64" i="98"/>
  <c r="B64" i="98"/>
  <c r="E63" i="98"/>
  <c r="D63" i="98"/>
  <c r="C63" i="98"/>
  <c r="B50" i="98"/>
  <c r="C49" i="98"/>
  <c r="B49" i="98"/>
  <c r="D48" i="98"/>
  <c r="D66" i="98" s="1"/>
  <c r="C48" i="98"/>
  <c r="C66" i="98" s="1"/>
  <c r="B48" i="98"/>
  <c r="E47" i="98"/>
  <c r="D47" i="98"/>
  <c r="C47" i="98"/>
  <c r="C65" i="98" s="1"/>
  <c r="B47" i="98"/>
  <c r="B65" i="98" s="1"/>
  <c r="B74" i="98" s="1"/>
  <c r="C74" i="98" s="1"/>
  <c r="D74" i="98" s="1"/>
  <c r="E74" i="98" s="1"/>
  <c r="F46" i="98"/>
  <c r="F64" i="98" s="1"/>
  <c r="E46" i="98"/>
  <c r="D46" i="98"/>
  <c r="C46" i="98"/>
  <c r="B46" i="98"/>
  <c r="G45" i="98"/>
  <c r="G63" i="98" s="1"/>
  <c r="F45" i="98"/>
  <c r="F63" i="98" s="1"/>
  <c r="E45" i="98"/>
  <c r="D45" i="98"/>
  <c r="C45" i="98"/>
  <c r="B45" i="98"/>
  <c r="B63" i="98" s="1"/>
  <c r="B72" i="98" s="1"/>
  <c r="G115" i="97"/>
  <c r="D115" i="97"/>
  <c r="C115" i="97"/>
  <c r="B115" i="97"/>
  <c r="E115" i="97" s="1"/>
  <c r="G114" i="97"/>
  <c r="E114" i="97"/>
  <c r="D114" i="97"/>
  <c r="C114" i="97"/>
  <c r="B114" i="97"/>
  <c r="G113" i="97"/>
  <c r="D113" i="97"/>
  <c r="C113" i="97"/>
  <c r="B113" i="97"/>
  <c r="E113" i="97" s="1"/>
  <c r="A113" i="97"/>
  <c r="A114" i="97" s="1"/>
  <c r="A115" i="97" s="1"/>
  <c r="E107" i="97"/>
  <c r="D107" i="97"/>
  <c r="C107" i="97"/>
  <c r="B107" i="97"/>
  <c r="G107" i="97" s="1"/>
  <c r="E106" i="97"/>
  <c r="D106" i="97"/>
  <c r="C106" i="97"/>
  <c r="B106" i="97"/>
  <c r="E105" i="97"/>
  <c r="D105" i="97"/>
  <c r="C105" i="97"/>
  <c r="B105" i="97"/>
  <c r="E104" i="97"/>
  <c r="D104" i="97"/>
  <c r="C104" i="97"/>
  <c r="F107" i="97" s="1"/>
  <c r="B95" i="97"/>
  <c r="B96" i="97" s="1"/>
  <c r="B97" i="97" s="1"/>
  <c r="B63" i="97"/>
  <c r="C62" i="97"/>
  <c r="B62" i="97"/>
  <c r="C61" i="97"/>
  <c r="B61" i="97"/>
  <c r="D55" i="97"/>
  <c r="D54" i="97"/>
  <c r="C54" i="97"/>
  <c r="B54" i="97"/>
  <c r="C53" i="97"/>
  <c r="B53" i="97"/>
  <c r="D52" i="97"/>
  <c r="C52" i="97"/>
  <c r="B52" i="97"/>
  <c r="E49" i="96"/>
  <c r="E50" i="96" s="1"/>
  <c r="E51" i="96" s="1"/>
  <c r="E52" i="96" s="1"/>
  <c r="D60" i="94"/>
  <c r="C60" i="94"/>
  <c r="B60" i="94"/>
  <c r="C59" i="94"/>
  <c r="D59" i="94" s="1"/>
  <c r="B59" i="94"/>
  <c r="C58" i="94"/>
  <c r="D58" i="94" s="1"/>
  <c r="B58" i="94"/>
  <c r="C57" i="94"/>
  <c r="D57" i="94" s="1"/>
  <c r="B57" i="94"/>
  <c r="C56" i="94"/>
  <c r="D56" i="94" s="1"/>
  <c r="B56" i="94"/>
  <c r="E53" i="94"/>
  <c r="E60" i="94" s="1"/>
  <c r="F60" i="94" s="1"/>
  <c r="B38" i="94"/>
  <c r="B37" i="94"/>
  <c r="B36" i="94"/>
  <c r="D35" i="94"/>
  <c r="B35" i="94"/>
  <c r="B34" i="94"/>
  <c r="E28" i="94"/>
  <c r="D38" i="94" s="1"/>
  <c r="D41" i="94" s="1"/>
  <c r="C28" i="94"/>
  <c r="D28" i="94" s="1"/>
  <c r="F28" i="94" s="1"/>
  <c r="E38" i="94" s="1"/>
  <c r="E27" i="94"/>
  <c r="D37" i="94" s="1"/>
  <c r="D27" i="94"/>
  <c r="C27" i="94"/>
  <c r="E26" i="94"/>
  <c r="D36" i="94" s="1"/>
  <c r="C26" i="94"/>
  <c r="D26" i="94" s="1"/>
  <c r="E25" i="94"/>
  <c r="C25" i="94"/>
  <c r="D25" i="94" s="1"/>
  <c r="F25" i="94" s="1"/>
  <c r="E35" i="94" s="1"/>
  <c r="E24" i="94"/>
  <c r="D34" i="94" s="1"/>
  <c r="C24" i="94"/>
  <c r="D24" i="94" s="1"/>
  <c r="B24" i="94"/>
  <c r="B25" i="94" s="1"/>
  <c r="B26" i="94" s="1"/>
  <c r="B27" i="94" s="1"/>
  <c r="B28" i="94" s="1"/>
  <c r="D63" i="93"/>
  <c r="B61" i="93"/>
  <c r="E38" i="93"/>
  <c r="E37" i="93"/>
  <c r="E39" i="93" s="1"/>
  <c r="E34" i="93"/>
  <c r="E33" i="93"/>
  <c r="C30" i="93"/>
  <c r="D30" i="93" s="1"/>
  <c r="B30" i="93"/>
  <c r="A30" i="93"/>
  <c r="C29" i="93"/>
  <c r="B29" i="93"/>
  <c r="D29" i="93" s="1"/>
  <c r="A29" i="93"/>
  <c r="D28" i="93"/>
  <c r="C28" i="93"/>
  <c r="B28" i="93"/>
  <c r="A28" i="93"/>
  <c r="C27" i="93"/>
  <c r="D27" i="93" s="1"/>
  <c r="B27" i="93"/>
  <c r="A27" i="93"/>
  <c r="C26" i="93"/>
  <c r="B26" i="93"/>
  <c r="D26" i="93" s="1"/>
  <c r="A26" i="93"/>
  <c r="A120" i="92"/>
  <c r="C101" i="92"/>
  <c r="C100" i="92"/>
  <c r="C74" i="92"/>
  <c r="D65" i="92"/>
  <c r="C65" i="92"/>
  <c r="D63" i="92"/>
  <c r="E63" i="92" s="1"/>
  <c r="G57" i="92"/>
  <c r="F57" i="92"/>
  <c r="B57" i="92"/>
  <c r="H57" i="92" s="1"/>
  <c r="B56" i="92"/>
  <c r="H56" i="92" s="1"/>
  <c r="H55" i="92"/>
  <c r="G55" i="92"/>
  <c r="F55" i="92"/>
  <c r="B55" i="92"/>
  <c r="G54" i="92"/>
  <c r="F54" i="92"/>
  <c r="B54" i="92"/>
  <c r="B53" i="92"/>
  <c r="B52" i="92"/>
  <c r="B51" i="92"/>
  <c r="G51" i="92" s="1"/>
  <c r="G50" i="92"/>
  <c r="B50" i="92"/>
  <c r="F50" i="92" s="1"/>
  <c r="G49" i="92"/>
  <c r="F49" i="92"/>
  <c r="B49" i="92"/>
  <c r="F48" i="92"/>
  <c r="B48" i="92"/>
  <c r="G48" i="92" s="1"/>
  <c r="B47" i="92"/>
  <c r="G47" i="92" s="1"/>
  <c r="B46" i="92"/>
  <c r="E45" i="92"/>
  <c r="E46" i="92" s="1"/>
  <c r="H46" i="92" s="1"/>
  <c r="B45" i="92"/>
  <c r="H44" i="92"/>
  <c r="G44" i="92"/>
  <c r="B44" i="92"/>
  <c r="F44" i="92" s="1"/>
  <c r="G43" i="92"/>
  <c r="F43" i="92"/>
  <c r="E43" i="92"/>
  <c r="E44" i="92" s="1"/>
  <c r="B43" i="92"/>
  <c r="F42" i="92"/>
  <c r="B42" i="92"/>
  <c r="F41" i="92"/>
  <c r="B41" i="92"/>
  <c r="F40" i="92"/>
  <c r="B40" i="92"/>
  <c r="F39" i="92"/>
  <c r="B39" i="92"/>
  <c r="F38" i="92"/>
  <c r="B38" i="92"/>
  <c r="F37" i="92"/>
  <c r="B37" i="92"/>
  <c r="F36" i="92"/>
  <c r="B36" i="92"/>
  <c r="F35" i="92"/>
  <c r="B35" i="92"/>
  <c r="F34" i="92"/>
  <c r="B34" i="92"/>
  <c r="F33" i="92"/>
  <c r="E33" i="92"/>
  <c r="H33" i="92" s="1"/>
  <c r="D33" i="92"/>
  <c r="B33" i="92"/>
  <c r="G32" i="92"/>
  <c r="F32" i="92"/>
  <c r="E32" i="92"/>
  <c r="H32" i="92" s="1"/>
  <c r="D32" i="92"/>
  <c r="B32" i="92"/>
  <c r="E31" i="92"/>
  <c r="B31" i="92"/>
  <c r="G31" i="92" s="1"/>
  <c r="G30" i="92"/>
  <c r="B30" i="92"/>
  <c r="B29" i="92"/>
  <c r="G29" i="92" s="1"/>
  <c r="G28" i="92"/>
  <c r="B28" i="92"/>
  <c r="B27" i="92"/>
  <c r="G27" i="92" s="1"/>
  <c r="G26" i="92"/>
  <c r="B26" i="92"/>
  <c r="B25" i="92"/>
  <c r="G25" i="92" s="1"/>
  <c r="G24" i="92"/>
  <c r="B24" i="92"/>
  <c r="C23" i="92"/>
  <c r="C24" i="92" s="1"/>
  <c r="B23" i="92"/>
  <c r="G23" i="92" s="1"/>
  <c r="E22" i="92"/>
  <c r="B22" i="92"/>
  <c r="F22" i="92" s="1"/>
  <c r="G21" i="92"/>
  <c r="H21" i="92" s="1"/>
  <c r="D21" i="92"/>
  <c r="E21" i="92" s="1"/>
  <c r="C62" i="91"/>
  <c r="A62" i="91"/>
  <c r="C61" i="91"/>
  <c r="C60" i="91"/>
  <c r="B57" i="91"/>
  <c r="B56" i="91" s="1"/>
  <c r="A57" i="91"/>
  <c r="F56" i="91"/>
  <c r="A56" i="91"/>
  <c r="A61" i="91" s="1"/>
  <c r="B55" i="91"/>
  <c r="C55" i="91" s="1"/>
  <c r="E55" i="91" s="1"/>
  <c r="A55" i="91"/>
  <c r="A60" i="91" s="1"/>
  <c r="D54" i="91"/>
  <c r="D56" i="91" s="1"/>
  <c r="D51" i="91"/>
  <c r="D50" i="91"/>
  <c r="C54" i="91" s="1"/>
  <c r="D61" i="90"/>
  <c r="D62" i="90" s="1"/>
  <c r="D60" i="90"/>
  <c r="B51" i="90"/>
  <c r="C50" i="90"/>
  <c r="B50" i="90"/>
  <c r="E50" i="90" s="1"/>
  <c r="A50" i="90"/>
  <c r="C49" i="90"/>
  <c r="C48" i="90" s="1"/>
  <c r="B49" i="90"/>
  <c r="E49" i="90" s="1"/>
  <c r="A49" i="90"/>
  <c r="A48" i="90" s="1"/>
  <c r="A47" i="90" s="1"/>
  <c r="A46" i="90" s="1"/>
  <c r="A45" i="90" s="1"/>
  <c r="E48" i="90"/>
  <c r="D48" i="90"/>
  <c r="B48" i="90"/>
  <c r="C47" i="90"/>
  <c r="D47" i="90" s="1"/>
  <c r="B47" i="90"/>
  <c r="B46" i="90"/>
  <c r="B45" i="90"/>
  <c r="G42" i="101" l="1"/>
  <c r="D41" i="101"/>
  <c r="D40" i="101" s="1"/>
  <c r="G40" i="101" s="1"/>
  <c r="E99" i="100"/>
  <c r="F99" i="100" s="1"/>
  <c r="B73" i="100"/>
  <c r="F73" i="100" s="1"/>
  <c r="C36" i="99"/>
  <c r="C36" i="94"/>
  <c r="F26" i="94"/>
  <c r="E36" i="94" s="1"/>
  <c r="F24" i="92"/>
  <c r="E24" i="92"/>
  <c r="H24" i="92" s="1"/>
  <c r="C25" i="92"/>
  <c r="E96" i="98"/>
  <c r="E32" i="93"/>
  <c r="E35" i="93" s="1"/>
  <c r="E40" i="93" s="1"/>
  <c r="C38" i="94"/>
  <c r="D62" i="97"/>
  <c r="D39" i="94"/>
  <c r="H22" i="92"/>
  <c r="G45" i="92"/>
  <c r="F45" i="92"/>
  <c r="E45" i="90"/>
  <c r="D45" i="90"/>
  <c r="D52" i="90" s="1"/>
  <c r="D55" i="90" s="1"/>
  <c r="E136" i="98"/>
  <c r="G135" i="98"/>
  <c r="C46" i="90"/>
  <c r="C45" i="90" s="1"/>
  <c r="E23" i="92"/>
  <c r="H23" i="92" s="1"/>
  <c r="E47" i="92"/>
  <c r="C72" i="98"/>
  <c r="D72" i="98" s="1"/>
  <c r="E72" i="98" s="1"/>
  <c r="F72" i="98" s="1"/>
  <c r="G72" i="98" s="1"/>
  <c r="D46" i="90"/>
  <c r="D49" i="90"/>
  <c r="F47" i="92"/>
  <c r="C35" i="94"/>
  <c r="D53" i="97"/>
  <c r="D57" i="97" s="1"/>
  <c r="F131" i="98"/>
  <c r="F130" i="98" s="1"/>
  <c r="B127" i="98"/>
  <c r="D39" i="99"/>
  <c r="B54" i="100"/>
  <c r="G41" i="101"/>
  <c r="D49" i="100"/>
  <c r="C54" i="100" s="1"/>
  <c r="F27" i="94"/>
  <c r="E37" i="94" s="1"/>
  <c r="C37" i="94"/>
  <c r="E130" i="98"/>
  <c r="F122" i="98" s="1"/>
  <c r="H103" i="100"/>
  <c r="D55" i="91"/>
  <c r="F55" i="91" s="1"/>
  <c r="B60" i="91" s="1"/>
  <c r="D60" i="91" s="1"/>
  <c r="G22" i="92"/>
  <c r="B52" i="100"/>
  <c r="C78" i="100"/>
  <c r="C139" i="98"/>
  <c r="E96" i="100"/>
  <c r="C100" i="100" s="1"/>
  <c r="D100" i="100" s="1"/>
  <c r="H95" i="100"/>
  <c r="H96" i="100" s="1"/>
  <c r="C103" i="100" s="1"/>
  <c r="D103" i="100" s="1"/>
  <c r="G95" i="100"/>
  <c r="G96" i="100" s="1"/>
  <c r="C102" i="100" s="1"/>
  <c r="D102" i="100" s="1"/>
  <c r="E95" i="100"/>
  <c r="D95" i="100"/>
  <c r="D96" i="100" s="1"/>
  <c r="C99" i="100" s="1"/>
  <c r="D99" i="100" s="1"/>
  <c r="F95" i="100"/>
  <c r="F96" i="100" s="1"/>
  <c r="C101" i="100" s="1"/>
  <c r="D101" i="100" s="1"/>
  <c r="G52" i="92"/>
  <c r="F52" i="92"/>
  <c r="E59" i="94"/>
  <c r="E49" i="100"/>
  <c r="C53" i="100" s="1"/>
  <c r="G105" i="97"/>
  <c r="H44" i="101"/>
  <c r="E43" i="101"/>
  <c r="H45" i="92"/>
  <c r="F24" i="94"/>
  <c r="E34" i="94" s="1"/>
  <c r="C34" i="94"/>
  <c r="G45" i="101"/>
  <c r="G46" i="92"/>
  <c r="F46" i="92"/>
  <c r="G43" i="101"/>
  <c r="G60" i="94"/>
  <c r="G121" i="98"/>
  <c r="G136" i="98" s="1"/>
  <c r="B53" i="100"/>
  <c r="C56" i="91"/>
  <c r="E56" i="91" s="1"/>
  <c r="B61" i="91" s="1"/>
  <c r="D61" i="91" s="1"/>
  <c r="C57" i="91"/>
  <c r="E57" i="91" s="1"/>
  <c r="C125" i="98"/>
  <c r="B140" i="98"/>
  <c r="C47" i="100"/>
  <c r="C48" i="100" s="1"/>
  <c r="C49" i="100" s="1"/>
  <c r="C55" i="100" s="1"/>
  <c r="D42" i="100"/>
  <c r="D46" i="100" s="1"/>
  <c r="C42" i="100"/>
  <c r="C46" i="100" s="1"/>
  <c r="E95" i="98"/>
  <c r="H31" i="92"/>
  <c r="F31" i="92"/>
  <c r="C138" i="98"/>
  <c r="C28" i="101"/>
  <c r="C29" i="101" s="1"/>
  <c r="D29" i="101" s="1"/>
  <c r="E30" i="101" s="1"/>
  <c r="D27" i="101"/>
  <c r="E27" i="101" s="1"/>
  <c r="E65" i="92"/>
  <c r="D131" i="98"/>
  <c r="F23" i="92"/>
  <c r="B126" i="98"/>
  <c r="D28" i="101"/>
  <c r="E28" i="101" s="1"/>
  <c r="E47" i="90"/>
  <c r="D57" i="91"/>
  <c r="F57" i="91" s="1"/>
  <c r="B62" i="91" s="1"/>
  <c r="D62" i="91" s="1"/>
  <c r="D34" i="92"/>
  <c r="G33" i="92"/>
  <c r="G53" i="92"/>
  <c r="F53" i="92"/>
  <c r="E34" i="99"/>
  <c r="E42" i="100"/>
  <c r="E46" i="100" s="1"/>
  <c r="B55" i="100"/>
  <c r="F106" i="97"/>
  <c r="G106" i="97" s="1"/>
  <c r="H43" i="92"/>
  <c r="F56" i="92"/>
  <c r="F51" i="92"/>
  <c r="G56" i="92"/>
  <c r="F105" i="97"/>
  <c r="D50" i="90"/>
  <c r="G122" i="98" l="1"/>
  <c r="G137" i="98" s="1"/>
  <c r="F137" i="98"/>
  <c r="D104" i="100"/>
  <c r="C126" i="98"/>
  <c r="B141" i="98"/>
  <c r="D54" i="100"/>
  <c r="E54" i="100" s="1"/>
  <c r="H101" i="100"/>
  <c r="H47" i="92"/>
  <c r="E48" i="92"/>
  <c r="D130" i="98"/>
  <c r="E123" i="98" s="1"/>
  <c r="C130" i="98"/>
  <c r="D124" i="98" s="1"/>
  <c r="B76" i="100"/>
  <c r="F76" i="100" s="1"/>
  <c r="E102" i="100"/>
  <c r="F102" i="100" s="1"/>
  <c r="F25" i="92"/>
  <c r="C26" i="92"/>
  <c r="E25" i="92"/>
  <c r="H25" i="92" s="1"/>
  <c r="B57" i="100"/>
  <c r="D52" i="100"/>
  <c r="H99" i="100"/>
  <c r="C39" i="94"/>
  <c r="B142" i="98"/>
  <c r="C127" i="98"/>
  <c r="B49" i="100"/>
  <c r="C56" i="100" s="1"/>
  <c r="G109" i="97"/>
  <c r="E52" i="90"/>
  <c r="E55" i="90" s="1"/>
  <c r="D63" i="90" s="1"/>
  <c r="E101" i="100"/>
  <c r="F101" i="100" s="1"/>
  <c r="B75" i="100"/>
  <c r="F75" i="100" s="1"/>
  <c r="G99" i="100"/>
  <c r="L99" i="100"/>
  <c r="C41" i="94"/>
  <c r="E41" i="94" s="1"/>
  <c r="E39" i="94"/>
  <c r="H102" i="100"/>
  <c r="D55" i="100"/>
  <c r="E55" i="100" s="1"/>
  <c r="E58" i="94"/>
  <c r="F59" i="94"/>
  <c r="G59" i="94" s="1"/>
  <c r="J103" i="100"/>
  <c r="D63" i="97"/>
  <c r="D61" i="97"/>
  <c r="D64" i="97" s="1"/>
  <c r="D41" i="99"/>
  <c r="D53" i="100"/>
  <c r="E53" i="100" s="1"/>
  <c r="H100" i="100"/>
  <c r="E100" i="100"/>
  <c r="F100" i="100" s="1"/>
  <c r="B74" i="100"/>
  <c r="F74" i="100" s="1"/>
  <c r="G48" i="101"/>
  <c r="G49" i="101" s="1"/>
  <c r="G47" i="101"/>
  <c r="E35" i="99"/>
  <c r="E37" i="99" s="1"/>
  <c r="E39" i="99" s="1"/>
  <c r="E41" i="99" s="1"/>
  <c r="C140" i="98"/>
  <c r="E46" i="90"/>
  <c r="E29" i="101"/>
  <c r="D35" i="92"/>
  <c r="G34" i="92"/>
  <c r="E34" i="92"/>
  <c r="H34" i="92" s="1"/>
  <c r="C68" i="91"/>
  <c r="H43" i="101"/>
  <c r="E42" i="101"/>
  <c r="F39" i="99"/>
  <c r="F41" i="99" s="1"/>
  <c r="E26" i="92" l="1"/>
  <c r="H26" i="92" s="1"/>
  <c r="C27" i="92"/>
  <c r="F26" i="92"/>
  <c r="H115" i="97"/>
  <c r="I115" i="97" s="1"/>
  <c r="H114" i="97"/>
  <c r="I114" i="97" s="1"/>
  <c r="H113" i="97"/>
  <c r="I113" i="97" s="1"/>
  <c r="E124" i="98"/>
  <c r="D139" i="98"/>
  <c r="C141" i="98"/>
  <c r="D126" i="98"/>
  <c r="J100" i="100"/>
  <c r="E41" i="101"/>
  <c r="H42" i="101"/>
  <c r="L101" i="100"/>
  <c r="G101" i="100"/>
  <c r="L102" i="100"/>
  <c r="G102" i="100"/>
  <c r="B77" i="100"/>
  <c r="F77" i="100" s="1"/>
  <c r="F78" i="100" s="1"/>
  <c r="E103" i="100"/>
  <c r="F103" i="100" s="1"/>
  <c r="D56" i="100"/>
  <c r="E56" i="100" s="1"/>
  <c r="G100" i="100"/>
  <c r="L100" i="100"/>
  <c r="D36" i="92"/>
  <c r="G35" i="92"/>
  <c r="E35" i="92"/>
  <c r="H35" i="92" s="1"/>
  <c r="E52" i="100"/>
  <c r="J101" i="100"/>
  <c r="F58" i="94"/>
  <c r="G58" i="94" s="1"/>
  <c r="G62" i="94" s="1"/>
  <c r="E57" i="94"/>
  <c r="D127" i="98"/>
  <c r="C142" i="98"/>
  <c r="F123" i="98"/>
  <c r="E138" i="98"/>
  <c r="C144" i="98" s="1"/>
  <c r="E32" i="101"/>
  <c r="E31" i="101"/>
  <c r="J102" i="100"/>
  <c r="E49" i="92"/>
  <c r="H48" i="92"/>
  <c r="H104" i="100"/>
  <c r="J99" i="100"/>
  <c r="D125" i="98"/>
  <c r="E40" i="101" l="1"/>
  <c r="H40" i="101" s="1"/>
  <c r="H41" i="101"/>
  <c r="E125" i="98"/>
  <c r="D140" i="98"/>
  <c r="J104" i="100"/>
  <c r="E50" i="92"/>
  <c r="H49" i="92"/>
  <c r="F124" i="98"/>
  <c r="E139" i="98"/>
  <c r="F27" i="92"/>
  <c r="E27" i="92"/>
  <c r="H27" i="92" s="1"/>
  <c r="C28" i="92"/>
  <c r="G123" i="98"/>
  <c r="G138" i="98" s="1"/>
  <c r="F138" i="98"/>
  <c r="E127" i="98"/>
  <c r="D142" i="98"/>
  <c r="E56" i="94"/>
  <c r="F56" i="94" s="1"/>
  <c r="G56" i="94" s="1"/>
  <c r="F57" i="94"/>
  <c r="G57" i="94" s="1"/>
  <c r="I116" i="97"/>
  <c r="D57" i="100"/>
  <c r="E57" i="100"/>
  <c r="G36" i="92"/>
  <c r="D37" i="92"/>
  <c r="E36" i="92"/>
  <c r="H36" i="92" s="1"/>
  <c r="D141" i="98"/>
  <c r="E126" i="98"/>
  <c r="L103" i="100"/>
  <c r="G103" i="100"/>
  <c r="G104" i="100" s="1"/>
  <c r="E51" i="92" l="1"/>
  <c r="H50" i="92"/>
  <c r="F139" i="98"/>
  <c r="G124" i="98"/>
  <c r="G139" i="98" s="1"/>
  <c r="E141" i="98"/>
  <c r="F126" i="98"/>
  <c r="J106" i="100"/>
  <c r="F127" i="98"/>
  <c r="E142" i="98"/>
  <c r="C145" i="98"/>
  <c r="E140" i="98"/>
  <c r="F125" i="98"/>
  <c r="D38" i="92"/>
  <c r="G37" i="92"/>
  <c r="E37" i="92"/>
  <c r="H37" i="92" s="1"/>
  <c r="C29" i="92"/>
  <c r="F28" i="92"/>
  <c r="E28" i="92"/>
  <c r="H28" i="92" s="1"/>
  <c r="H48" i="101"/>
  <c r="H49" i="101" s="1"/>
  <c r="H47" i="101"/>
  <c r="G127" i="98" l="1"/>
  <c r="G142" i="98" s="1"/>
  <c r="F142" i="98"/>
  <c r="I40" i="101"/>
  <c r="I42" i="101"/>
  <c r="I41" i="101"/>
  <c r="I43" i="101"/>
  <c r="I44" i="101"/>
  <c r="I45" i="101"/>
  <c r="I46" i="101"/>
  <c r="K100" i="100"/>
  <c r="M100" i="100" s="1"/>
  <c r="N100" i="100" s="1"/>
  <c r="K103" i="100"/>
  <c r="M103" i="100" s="1"/>
  <c r="N103" i="100" s="1"/>
  <c r="K99" i="100"/>
  <c r="K101" i="100"/>
  <c r="M101" i="100" s="1"/>
  <c r="N101" i="100" s="1"/>
  <c r="K102" i="100"/>
  <c r="M102" i="100" s="1"/>
  <c r="N102" i="100" s="1"/>
  <c r="F141" i="98"/>
  <c r="G126" i="98"/>
  <c r="G141" i="98" s="1"/>
  <c r="F29" i="92"/>
  <c r="E29" i="92"/>
  <c r="H29" i="92" s="1"/>
  <c r="C30" i="92"/>
  <c r="F140" i="98"/>
  <c r="G125" i="98"/>
  <c r="G140" i="98" s="1"/>
  <c r="E52" i="92"/>
  <c r="H51" i="92"/>
  <c r="G38" i="92"/>
  <c r="D39" i="92"/>
  <c r="E38" i="92"/>
  <c r="H38" i="92" s="1"/>
  <c r="K104" i="100" l="1"/>
  <c r="M99" i="100"/>
  <c r="H52" i="92"/>
  <c r="E53" i="92"/>
  <c r="F30" i="92"/>
  <c r="F58" i="92" s="1"/>
  <c r="E30" i="92"/>
  <c r="H30" i="92" s="1"/>
  <c r="I47" i="101"/>
  <c r="D40" i="92"/>
  <c r="G39" i="92"/>
  <c r="E39" i="92"/>
  <c r="H39" i="92" s="1"/>
  <c r="D41" i="92" l="1"/>
  <c r="E40" i="92"/>
  <c r="H40" i="92" s="1"/>
  <c r="G40" i="92"/>
  <c r="D116" i="92"/>
  <c r="C64" i="92"/>
  <c r="C66" i="92" s="1"/>
  <c r="M104" i="100"/>
  <c r="N99" i="100"/>
  <c r="N104" i="100" s="1"/>
  <c r="H53" i="92"/>
  <c r="E54" i="92"/>
  <c r="H54" i="92" s="1"/>
  <c r="D42" i="92" l="1"/>
  <c r="G41" i="92"/>
  <c r="E41" i="92"/>
  <c r="H41" i="92" s="1"/>
  <c r="G42" i="92" l="1"/>
  <c r="G58" i="92" s="1"/>
  <c r="E42" i="92"/>
  <c r="H42" i="92" s="1"/>
  <c r="H58" i="92" s="1"/>
  <c r="E64" i="92" l="1"/>
  <c r="B120" i="92"/>
  <c r="C120" i="92" s="1"/>
  <c r="D120" i="92" s="1"/>
  <c r="C104" i="92"/>
  <c r="D64" i="92"/>
  <c r="D66" i="92" s="1"/>
  <c r="B119" i="92"/>
  <c r="C119" i="92" s="1"/>
  <c r="D119" i="92" s="1"/>
  <c r="C103" i="92"/>
  <c r="E66" i="92" l="1"/>
  <c r="D119" i="89" l="1"/>
  <c r="E119" i="89" s="1"/>
  <c r="D112" i="89"/>
  <c r="E112" i="89" s="1"/>
  <c r="D100" i="89"/>
  <c r="E100" i="89" s="1"/>
  <c r="D92" i="89"/>
  <c r="E92" i="89" s="1"/>
  <c r="B67" i="89"/>
  <c r="A67" i="89"/>
  <c r="B66" i="89"/>
  <c r="A66" i="89"/>
  <c r="A57" i="89"/>
  <c r="A56" i="89"/>
  <c r="B53" i="89"/>
  <c r="B57" i="89" s="1"/>
  <c r="C57" i="89" s="1"/>
  <c r="C52" i="89"/>
  <c r="B52" i="89"/>
  <c r="B56" i="89" s="1"/>
  <c r="D51" i="89"/>
  <c r="C51" i="89"/>
  <c r="B51" i="89"/>
  <c r="E50" i="89"/>
  <c r="D50" i="89"/>
  <c r="C50" i="89"/>
  <c r="B50" i="89"/>
  <c r="F49" i="89"/>
  <c r="E49" i="89"/>
  <c r="D49" i="89"/>
  <c r="C49" i="89"/>
  <c r="B49" i="89"/>
  <c r="G48" i="89"/>
  <c r="F48" i="89"/>
  <c r="E48" i="89"/>
  <c r="D48" i="89"/>
  <c r="C48" i="89"/>
  <c r="B48" i="89"/>
  <c r="G47" i="89"/>
  <c r="F47" i="89"/>
  <c r="E47" i="89"/>
  <c r="D47" i="89"/>
  <c r="C47" i="89"/>
  <c r="B47" i="89"/>
  <c r="G46" i="89"/>
  <c r="F46" i="89"/>
  <c r="E46" i="89"/>
  <c r="D46" i="89"/>
  <c r="C46" i="89"/>
  <c r="B46" i="89"/>
  <c r="G45" i="89"/>
  <c r="F45" i="89"/>
  <c r="E45" i="89"/>
  <c r="D45" i="89"/>
  <c r="C45" i="89"/>
  <c r="B45" i="89"/>
  <c r="E44" i="89"/>
  <c r="F44" i="89" s="1"/>
  <c r="G44" i="89" s="1"/>
  <c r="D44" i="89"/>
  <c r="C44" i="89"/>
  <c r="C95" i="88"/>
  <c r="C94" i="88"/>
  <c r="B94" i="88"/>
  <c r="B93" i="88"/>
  <c r="C93" i="88" s="1"/>
  <c r="A93" i="88"/>
  <c r="A94" i="88" s="1"/>
  <c r="A95" i="88" s="1"/>
  <c r="A92" i="88"/>
  <c r="A90" i="88"/>
  <c r="A91" i="88" s="1"/>
  <c r="A50" i="88"/>
  <c r="A51" i="88" s="1"/>
  <c r="A52" i="88" s="1"/>
  <c r="A53" i="88" s="1"/>
  <c r="A54" i="88" s="1"/>
  <c r="A55" i="88" s="1"/>
  <c r="D39" i="88"/>
  <c r="C39" i="88"/>
  <c r="B39" i="88"/>
  <c r="D38" i="88"/>
  <c r="C38" i="88"/>
  <c r="B38" i="88"/>
  <c r="C37" i="88"/>
  <c r="B37" i="88"/>
  <c r="A37" i="88"/>
  <c r="A38" i="88" s="1"/>
  <c r="A39" i="88" s="1"/>
  <c r="C36" i="88"/>
  <c r="B36" i="88"/>
  <c r="D35" i="88"/>
  <c r="E35" i="88" s="1"/>
  <c r="C35" i="88"/>
  <c r="B35" i="88"/>
  <c r="A35" i="88"/>
  <c r="A36" i="88" s="1"/>
  <c r="D34" i="88"/>
  <c r="C34" i="88"/>
  <c r="B34" i="88"/>
  <c r="A34" i="88"/>
  <c r="A138" i="86"/>
  <c r="A139" i="86" s="1"/>
  <c r="A140" i="86" s="1"/>
  <c r="A137" i="86"/>
  <c r="A136" i="86"/>
  <c r="G135" i="86"/>
  <c r="E134" i="86"/>
  <c r="F134" i="86" s="1"/>
  <c r="G134" i="86" s="1"/>
  <c r="D134" i="86"/>
  <c r="C134" i="86"/>
  <c r="H131" i="86"/>
  <c r="A131" i="86"/>
  <c r="H130" i="86"/>
  <c r="A130" i="86"/>
  <c r="H129" i="86"/>
  <c r="H128" i="86"/>
  <c r="H127" i="86"/>
  <c r="A127" i="86"/>
  <c r="A128" i="86" s="1"/>
  <c r="A129" i="86" s="1"/>
  <c r="H126" i="86"/>
  <c r="G126" i="86"/>
  <c r="C126" i="86"/>
  <c r="C135" i="86" s="1"/>
  <c r="C125" i="86"/>
  <c r="D125" i="86" s="1"/>
  <c r="E125" i="86" s="1"/>
  <c r="F125" i="86" s="1"/>
  <c r="G125" i="86" s="1"/>
  <c r="G122" i="86"/>
  <c r="H121" i="86"/>
  <c r="B121" i="86" s="1"/>
  <c r="B122" i="86" s="1"/>
  <c r="H120" i="86"/>
  <c r="C120" i="86" s="1"/>
  <c r="C122" i="86" s="1"/>
  <c r="B120" i="86"/>
  <c r="A120" i="86"/>
  <c r="A121" i="86" s="1"/>
  <c r="H119" i="86"/>
  <c r="A119" i="86"/>
  <c r="H118" i="86"/>
  <c r="E118" i="86" s="1"/>
  <c r="E122" i="86" s="1"/>
  <c r="D118" i="86"/>
  <c r="C118" i="86"/>
  <c r="A118" i="86"/>
  <c r="H117" i="86"/>
  <c r="F117" i="86"/>
  <c r="F122" i="86" s="1"/>
  <c r="B117" i="86"/>
  <c r="A117" i="86"/>
  <c r="H116" i="86"/>
  <c r="E116" i="86" s="1"/>
  <c r="G116" i="86"/>
  <c r="F116" i="86"/>
  <c r="D116" i="86"/>
  <c r="C116" i="86"/>
  <c r="B116" i="86"/>
  <c r="D115" i="86"/>
  <c r="E115" i="86" s="1"/>
  <c r="F115" i="86" s="1"/>
  <c r="G115" i="86" s="1"/>
  <c r="C115" i="86"/>
  <c r="B95" i="86"/>
  <c r="D93" i="86"/>
  <c r="B91" i="86"/>
  <c r="C90" i="86"/>
  <c r="D90" i="86" s="1"/>
  <c r="E90" i="86" s="1"/>
  <c r="F90" i="86" s="1"/>
  <c r="G90" i="86" s="1"/>
  <c r="B87" i="86"/>
  <c r="C86" i="86"/>
  <c r="C94" i="86" s="1"/>
  <c r="B86" i="86"/>
  <c r="B94" i="86" s="1"/>
  <c r="D85" i="86"/>
  <c r="C85" i="86"/>
  <c r="B85" i="86"/>
  <c r="B93" i="86" s="1"/>
  <c r="E84" i="86"/>
  <c r="D84" i="86"/>
  <c r="C84" i="86"/>
  <c r="B84" i="86"/>
  <c r="B92" i="86" s="1"/>
  <c r="B96" i="86" s="1"/>
  <c r="F83" i="86"/>
  <c r="F91" i="86" s="1"/>
  <c r="F96" i="86" s="1"/>
  <c r="E83" i="86"/>
  <c r="E92" i="86" s="1"/>
  <c r="D83" i="86"/>
  <c r="D91" i="86" s="1"/>
  <c r="C83" i="86"/>
  <c r="B83" i="86"/>
  <c r="A83" i="86"/>
  <c r="A91" i="86" s="1"/>
  <c r="G82" i="86"/>
  <c r="F82" i="86"/>
  <c r="E82" i="86"/>
  <c r="D82" i="86"/>
  <c r="C82" i="86"/>
  <c r="C91" i="86" s="1"/>
  <c r="B82" i="86"/>
  <c r="E81" i="86"/>
  <c r="F81" i="86" s="1"/>
  <c r="G81" i="86" s="1"/>
  <c r="D81" i="86"/>
  <c r="C81" i="86"/>
  <c r="B68" i="86"/>
  <c r="C67" i="86"/>
  <c r="B67" i="86"/>
  <c r="A67" i="86"/>
  <c r="A68" i="86" s="1"/>
  <c r="D66" i="86"/>
  <c r="C66" i="86"/>
  <c r="B66" i="86"/>
  <c r="E65" i="86"/>
  <c r="D65" i="86"/>
  <c r="C65" i="86"/>
  <c r="B65" i="86"/>
  <c r="A65" i="86"/>
  <c r="A66" i="86" s="1"/>
  <c r="F64" i="86"/>
  <c r="E64" i="86"/>
  <c r="D64" i="86"/>
  <c r="C64" i="86"/>
  <c r="B64" i="86"/>
  <c r="A64" i="86"/>
  <c r="G63" i="86"/>
  <c r="F63" i="86"/>
  <c r="E63" i="86"/>
  <c r="D63" i="86"/>
  <c r="C63" i="86"/>
  <c r="B63" i="86"/>
  <c r="E62" i="86"/>
  <c r="F62" i="86" s="1"/>
  <c r="G62" i="86" s="1"/>
  <c r="D62" i="86"/>
  <c r="C62" i="86"/>
  <c r="B57" i="86"/>
  <c r="C56" i="86"/>
  <c r="B56" i="86"/>
  <c r="D55" i="86"/>
  <c r="C55" i="86"/>
  <c r="B55" i="86"/>
  <c r="A55" i="86"/>
  <c r="A56" i="86" s="1"/>
  <c r="A57" i="86" s="1"/>
  <c r="E54" i="86"/>
  <c r="D54" i="86"/>
  <c r="C54" i="86"/>
  <c r="B54" i="86"/>
  <c r="A54" i="86"/>
  <c r="F53" i="86"/>
  <c r="E53" i="86"/>
  <c r="D53" i="86"/>
  <c r="C53" i="86"/>
  <c r="B53" i="86"/>
  <c r="A53" i="86"/>
  <c r="G52" i="86"/>
  <c r="F52" i="86"/>
  <c r="E52" i="86"/>
  <c r="D52" i="86"/>
  <c r="C52" i="86"/>
  <c r="B52" i="86"/>
  <c r="D51" i="86"/>
  <c r="E51" i="86" s="1"/>
  <c r="F51" i="86" s="1"/>
  <c r="G51" i="86" s="1"/>
  <c r="C51" i="86"/>
  <c r="D103" i="84"/>
  <c r="A103" i="84"/>
  <c r="B83" i="84"/>
  <c r="C82" i="84"/>
  <c r="A82" i="84"/>
  <c r="C81" i="84"/>
  <c r="A81" i="84"/>
  <c r="A80" i="84" s="1"/>
  <c r="A79" i="84" s="1"/>
  <c r="A78" i="84" s="1"/>
  <c r="C80" i="84"/>
  <c r="C79" i="84"/>
  <c r="C78" i="84"/>
  <c r="B71" i="84"/>
  <c r="B70" i="84"/>
  <c r="A70" i="84"/>
  <c r="A69" i="84" s="1"/>
  <c r="B69" i="84"/>
  <c r="B68" i="84"/>
  <c r="A68" i="84"/>
  <c r="A67" i="84" s="1"/>
  <c r="B67" i="84"/>
  <c r="B72" i="84" s="1"/>
  <c r="C65" i="84"/>
  <c r="D65" i="84" s="1"/>
  <c r="E65" i="84" s="1"/>
  <c r="F65" i="84" s="1"/>
  <c r="G65" i="84" s="1"/>
  <c r="D60" i="84"/>
  <c r="G59" i="84"/>
  <c r="G60" i="84" s="1"/>
  <c r="G61" i="84" s="1"/>
  <c r="G67" i="84" s="1"/>
  <c r="F59" i="84"/>
  <c r="F60" i="84" s="1"/>
  <c r="E59" i="84"/>
  <c r="E60" i="84" s="1"/>
  <c r="E61" i="84" s="1"/>
  <c r="E67" i="84" s="1"/>
  <c r="D59" i="84"/>
  <c r="C59" i="84"/>
  <c r="C60" i="84" s="1"/>
  <c r="D61" i="84" s="1"/>
  <c r="D67" i="84" s="1"/>
  <c r="F58" i="84"/>
  <c r="G58" i="84" s="1"/>
  <c r="E58" i="84"/>
  <c r="D58" i="84"/>
  <c r="D55" i="83"/>
  <c r="A44" i="83"/>
  <c r="A43" i="83"/>
  <c r="A42" i="83"/>
  <c r="F37" i="83"/>
  <c r="E37" i="83"/>
  <c r="D37" i="83"/>
  <c r="B37" i="83"/>
  <c r="A37" i="83"/>
  <c r="E36" i="83"/>
  <c r="F36" i="83" s="1"/>
  <c r="G36" i="83" s="1"/>
  <c r="D36" i="83"/>
  <c r="C36" i="83"/>
  <c r="B36" i="83"/>
  <c r="A36" i="83"/>
  <c r="D35" i="83"/>
  <c r="C35" i="83"/>
  <c r="E35" i="83" s="1"/>
  <c r="B35" i="83"/>
  <c r="A35" i="83"/>
  <c r="C31" i="83"/>
  <c r="B31" i="83"/>
  <c r="A31" i="83"/>
  <c r="D30" i="83"/>
  <c r="E30" i="83" s="1"/>
  <c r="C30" i="83"/>
  <c r="B30" i="83"/>
  <c r="A30" i="83"/>
  <c r="D29" i="83"/>
  <c r="E29" i="83" s="1"/>
  <c r="C29" i="83"/>
  <c r="B29" i="83"/>
  <c r="A29" i="83"/>
  <c r="G177" i="81"/>
  <c r="G176" i="81"/>
  <c r="G175" i="81"/>
  <c r="G173" i="81"/>
  <c r="E169" i="81"/>
  <c r="B169" i="81"/>
  <c r="A169" i="81"/>
  <c r="E168" i="81"/>
  <c r="B168" i="81"/>
  <c r="A168" i="81"/>
  <c r="E167" i="81"/>
  <c r="B167" i="81"/>
  <c r="A167" i="81"/>
  <c r="E166" i="81"/>
  <c r="B166" i="81"/>
  <c r="A166" i="81"/>
  <c r="E165" i="81"/>
  <c r="B165" i="81"/>
  <c r="A165" i="81"/>
  <c r="C162" i="81"/>
  <c r="G158" i="81"/>
  <c r="D158" i="81"/>
  <c r="D159" i="81" s="1"/>
  <c r="C158" i="81"/>
  <c r="E157" i="81"/>
  <c r="E158" i="81" s="1"/>
  <c r="D157" i="81"/>
  <c r="B157" i="81"/>
  <c r="B158" i="81" s="1"/>
  <c r="C159" i="81" s="1"/>
  <c r="D156" i="81"/>
  <c r="F157" i="81" s="1"/>
  <c r="F158" i="81" s="1"/>
  <c r="C155" i="81"/>
  <c r="D155" i="81" s="1"/>
  <c r="E155" i="81" s="1"/>
  <c r="F155" i="81" s="1"/>
  <c r="G155" i="81" s="1"/>
  <c r="AD150" i="81"/>
  <c r="V150" i="81"/>
  <c r="Q148" i="81"/>
  <c r="U148" i="81" s="1"/>
  <c r="Y148" i="81" s="1"/>
  <c r="AC148" i="81" s="1"/>
  <c r="B131" i="81"/>
  <c r="B130" i="81"/>
  <c r="A130" i="81"/>
  <c r="B129" i="81"/>
  <c r="A129" i="81"/>
  <c r="B128" i="81"/>
  <c r="B113" i="81"/>
  <c r="C113" i="81" s="1"/>
  <c r="A113" i="81"/>
  <c r="A131" i="81" s="1"/>
  <c r="C112" i="81"/>
  <c r="C111" i="81" s="1"/>
  <c r="C110" i="81" s="1"/>
  <c r="C109" i="81" s="1"/>
  <c r="B112" i="81"/>
  <c r="A112" i="81"/>
  <c r="B111" i="81"/>
  <c r="A111" i="81"/>
  <c r="B110" i="81"/>
  <c r="A110" i="81"/>
  <c r="A128" i="81" s="1"/>
  <c r="B109" i="81"/>
  <c r="A109" i="81"/>
  <c r="F44" i="81"/>
  <c r="E44" i="81"/>
  <c r="G44" i="81" s="1"/>
  <c r="C44" i="81"/>
  <c r="H44" i="81" s="1"/>
  <c r="B44" i="81"/>
  <c r="A44" i="81"/>
  <c r="E31" i="81" s="1"/>
  <c r="D44" i="81" s="1"/>
  <c r="C43" i="81"/>
  <c r="B43" i="81"/>
  <c r="A43" i="81"/>
  <c r="C42" i="81"/>
  <c r="B42" i="81"/>
  <c r="A42" i="81"/>
  <c r="C41" i="81"/>
  <c r="B41" i="81"/>
  <c r="A41" i="81"/>
  <c r="C40" i="81"/>
  <c r="B40" i="81"/>
  <c r="A40" i="81"/>
  <c r="C39" i="81"/>
  <c r="B39" i="81"/>
  <c r="A39" i="81"/>
  <c r="C38" i="81"/>
  <c r="B38" i="81"/>
  <c r="A38" i="81"/>
  <c r="C37" i="81"/>
  <c r="B37" i="81"/>
  <c r="A37" i="81"/>
  <c r="C36" i="81"/>
  <c r="B36" i="81"/>
  <c r="A36" i="81"/>
  <c r="C35" i="81"/>
  <c r="B35" i="81"/>
  <c r="A35" i="81"/>
  <c r="G28" i="79"/>
  <c r="I28" i="79" s="1"/>
  <c r="K28" i="79" s="1"/>
  <c r="A30" i="79" s="1"/>
  <c r="E27" i="79"/>
  <c r="E23" i="79"/>
  <c r="I23" i="79" s="1"/>
  <c r="K23" i="79" s="1"/>
  <c r="B55" i="78"/>
  <c r="C54" i="78"/>
  <c r="B54" i="78"/>
  <c r="C46" i="78"/>
  <c r="C45" i="78"/>
  <c r="J41" i="78"/>
  <c r="I40" i="78"/>
  <c r="I41" i="78" s="1"/>
  <c r="I36" i="78"/>
  <c r="I33" i="78"/>
  <c r="F31" i="78"/>
  <c r="E31" i="78"/>
  <c r="E36" i="78" s="1"/>
  <c r="D31" i="78"/>
  <c r="D36" i="78" s="1"/>
  <c r="C29" i="78"/>
  <c r="B29" i="78"/>
  <c r="D28" i="78"/>
  <c r="D32" i="78" s="1"/>
  <c r="D40" i="78" s="1"/>
  <c r="C28" i="78"/>
  <c r="B28" i="78"/>
  <c r="E27" i="78"/>
  <c r="D27" i="78"/>
  <c r="C27" i="78"/>
  <c r="B27" i="78"/>
  <c r="F26" i="78"/>
  <c r="E26" i="78"/>
  <c r="D26" i="78"/>
  <c r="C26" i="78"/>
  <c r="B26" i="78"/>
  <c r="G25" i="78"/>
  <c r="F25" i="78"/>
  <c r="E25" i="78"/>
  <c r="D25" i="78"/>
  <c r="C25" i="78"/>
  <c r="B25" i="78"/>
  <c r="H24" i="78"/>
  <c r="H33" i="78" s="1"/>
  <c r="G24" i="78"/>
  <c r="F24" i="78"/>
  <c r="E24" i="78"/>
  <c r="D24" i="78"/>
  <c r="C24" i="78"/>
  <c r="C32" i="78" s="1"/>
  <c r="C40" i="78" s="1"/>
  <c r="D55" i="78" s="1"/>
  <c r="B24" i="78"/>
  <c r="I23" i="78"/>
  <c r="H23" i="78"/>
  <c r="G23" i="78"/>
  <c r="G33" i="78" s="1"/>
  <c r="F23" i="78"/>
  <c r="E23" i="78"/>
  <c r="D23" i="78"/>
  <c r="D33" i="78" s="1"/>
  <c r="C23" i="78"/>
  <c r="B23" i="78"/>
  <c r="J22" i="78"/>
  <c r="I22" i="78"/>
  <c r="H22" i="78"/>
  <c r="G22" i="78"/>
  <c r="F22" i="78"/>
  <c r="E22" i="78"/>
  <c r="D22" i="78"/>
  <c r="C22" i="78"/>
  <c r="H56" i="77"/>
  <c r="I56" i="77" s="1"/>
  <c r="G56" i="77"/>
  <c r="H55" i="77"/>
  <c r="G55" i="77"/>
  <c r="H54" i="77"/>
  <c r="G54" i="77"/>
  <c r="E54" i="77"/>
  <c r="E55" i="77" s="1"/>
  <c r="F55" i="77" s="1"/>
  <c r="I55" i="77" s="1"/>
  <c r="D54" i="77"/>
  <c r="F54" i="77" s="1"/>
  <c r="I54" i="77" s="1"/>
  <c r="H53" i="77"/>
  <c r="G53" i="77"/>
  <c r="H52" i="77"/>
  <c r="E52" i="77"/>
  <c r="D52" i="77"/>
  <c r="F52" i="77" s="1"/>
  <c r="H51" i="77"/>
  <c r="F51" i="77"/>
  <c r="E51" i="77"/>
  <c r="E53" i="77" s="1"/>
  <c r="D51" i="77"/>
  <c r="F42" i="77"/>
  <c r="D38" i="77"/>
  <c r="G31" i="77"/>
  <c r="D31" i="77"/>
  <c r="C42" i="77" s="1"/>
  <c r="G30" i="77"/>
  <c r="D30" i="77"/>
  <c r="D55" i="77" s="1"/>
  <c r="G29" i="77"/>
  <c r="D29" i="77"/>
  <c r="C40" i="77" s="1"/>
  <c r="F40" i="77" s="1"/>
  <c r="D28" i="77"/>
  <c r="D53" i="77" s="1"/>
  <c r="F53" i="77" s="1"/>
  <c r="I53" i="77" s="1"/>
  <c r="D27" i="77"/>
  <c r="C38" i="77" s="1"/>
  <c r="F38" i="77" s="1"/>
  <c r="E26" i="77"/>
  <c r="D26" i="77"/>
  <c r="B43" i="83" l="1"/>
  <c r="H36" i="83"/>
  <c r="B126" i="86"/>
  <c r="B135" i="86" s="1"/>
  <c r="B129" i="86"/>
  <c r="B138" i="86" s="1"/>
  <c r="B127" i="86"/>
  <c r="B136" i="86" s="1"/>
  <c r="B128" i="86"/>
  <c r="B137" i="86" s="1"/>
  <c r="B130" i="86"/>
  <c r="B139" i="86" s="1"/>
  <c r="B131" i="86"/>
  <c r="B140" i="86" s="1"/>
  <c r="H36" i="78"/>
  <c r="H40" i="78"/>
  <c r="H41" i="78" s="1"/>
  <c r="F127" i="86"/>
  <c r="F136" i="86" s="1"/>
  <c r="F126" i="86"/>
  <c r="F135" i="86" s="1"/>
  <c r="J36" i="78"/>
  <c r="J37" i="78" s="1"/>
  <c r="I37" i="78" s="1"/>
  <c r="G35" i="83"/>
  <c r="E117" i="86"/>
  <c r="D117" i="86"/>
  <c r="C117" i="86"/>
  <c r="G30" i="79"/>
  <c r="F35" i="83"/>
  <c r="D36" i="88"/>
  <c r="E36" i="88" s="1"/>
  <c r="D54" i="78"/>
  <c r="E54" i="78" s="1"/>
  <c r="E127" i="86"/>
  <c r="E136" i="86" s="1"/>
  <c r="E126" i="86"/>
  <c r="E135" i="86" s="1"/>
  <c r="D96" i="86"/>
  <c r="G69" i="84"/>
  <c r="F69" i="84"/>
  <c r="C67" i="89"/>
  <c r="F32" i="78"/>
  <c r="E32" i="78"/>
  <c r="E40" i="78" s="1"/>
  <c r="E33" i="78"/>
  <c r="F61" i="84"/>
  <c r="G68" i="84" s="1"/>
  <c r="C55" i="88"/>
  <c r="E39" i="88"/>
  <c r="D37" i="88"/>
  <c r="E37" i="88" s="1"/>
  <c r="C33" i="78"/>
  <c r="C31" i="78"/>
  <c r="C36" i="78" s="1"/>
  <c r="D165" i="81"/>
  <c r="G70" i="84"/>
  <c r="D119" i="86"/>
  <c r="D122" i="86" s="1"/>
  <c r="C119" i="86"/>
  <c r="B119" i="86"/>
  <c r="D160" i="81"/>
  <c r="C166" i="81" s="1"/>
  <c r="C160" i="81"/>
  <c r="C165" i="81" s="1"/>
  <c r="C41" i="77"/>
  <c r="F41" i="77" s="1"/>
  <c r="F169" i="81"/>
  <c r="G169" i="81" s="1"/>
  <c r="H169" i="81" s="1"/>
  <c r="D43" i="81"/>
  <c r="D168" i="81"/>
  <c r="C61" i="84"/>
  <c r="F70" i="84" s="1"/>
  <c r="D92" i="86"/>
  <c r="G36" i="78"/>
  <c r="G40" i="78"/>
  <c r="G41" i="78" s="1"/>
  <c r="D166" i="81"/>
  <c r="I44" i="81"/>
  <c r="B132" i="81"/>
  <c r="C130" i="81" s="1"/>
  <c r="E27" i="77"/>
  <c r="G26" i="77"/>
  <c r="G51" i="77"/>
  <c r="I51" i="77" s="1"/>
  <c r="C55" i="78"/>
  <c r="E55" i="78" s="1"/>
  <c r="C93" i="86"/>
  <c r="C92" i="86"/>
  <c r="C96" i="86" s="1"/>
  <c r="F33" i="78"/>
  <c r="D31" i="83"/>
  <c r="G37" i="83"/>
  <c r="C129" i="86"/>
  <c r="C138" i="86" s="1"/>
  <c r="C127" i="86"/>
  <c r="C136" i="86" s="1"/>
  <c r="C128" i="86"/>
  <c r="C137" i="86" s="1"/>
  <c r="C130" i="86"/>
  <c r="C139" i="86" s="1"/>
  <c r="E128" i="86"/>
  <c r="E137" i="86" s="1"/>
  <c r="C83" i="84"/>
  <c r="B92" i="88"/>
  <c r="G28" i="77"/>
  <c r="E91" i="86"/>
  <c r="E96" i="86" s="1"/>
  <c r="C39" i="77"/>
  <c r="F39" i="77" s="1"/>
  <c r="F43" i="77" s="1"/>
  <c r="F67" i="84"/>
  <c r="A84" i="86"/>
  <c r="E159" i="81"/>
  <c r="E160" i="81" s="1"/>
  <c r="C167" i="81" s="1"/>
  <c r="D167" i="81" s="1"/>
  <c r="F159" i="81"/>
  <c r="F160" i="81" s="1"/>
  <c r="C168" i="81" s="1"/>
  <c r="D68" i="84"/>
  <c r="D72" i="84" s="1"/>
  <c r="D79" i="84" s="1"/>
  <c r="B118" i="86"/>
  <c r="G159" i="81"/>
  <c r="G160" i="81" s="1"/>
  <c r="C169" i="81" s="1"/>
  <c r="D169" i="81" s="1"/>
  <c r="E68" i="84"/>
  <c r="F68" i="84"/>
  <c r="E79" i="84" l="1"/>
  <c r="D52" i="83"/>
  <c r="H37" i="83"/>
  <c r="I169" i="81"/>
  <c r="H37" i="78"/>
  <c r="B91" i="88"/>
  <c r="C92" i="88"/>
  <c r="F36" i="78"/>
  <c r="F40" i="78"/>
  <c r="F41" i="78" s="1"/>
  <c r="E41" i="78" s="1"/>
  <c r="D41" i="78" s="1"/>
  <c r="C41" i="78" s="1"/>
  <c r="D46" i="78" s="1"/>
  <c r="E46" i="78" s="1"/>
  <c r="C131" i="81"/>
  <c r="D131" i="81" s="1"/>
  <c r="H35" i="83"/>
  <c r="B42" i="83"/>
  <c r="E38" i="88"/>
  <c r="E40" i="88" s="1"/>
  <c r="E56" i="78"/>
  <c r="G37" i="78"/>
  <c r="C129" i="81"/>
  <c r="A85" i="86"/>
  <c r="A92" i="86"/>
  <c r="G71" i="84"/>
  <c r="G72" i="84" s="1"/>
  <c r="D82" i="84" s="1"/>
  <c r="E82" i="84" s="1"/>
  <c r="C67" i="84"/>
  <c r="C72" i="84" s="1"/>
  <c r="D78" i="84" s="1"/>
  <c r="E78" i="84" s="1"/>
  <c r="C128" i="81"/>
  <c r="F72" i="84"/>
  <c r="D81" i="84" s="1"/>
  <c r="E81" i="84" s="1"/>
  <c r="D43" i="83"/>
  <c r="C43" i="83"/>
  <c r="E43" i="83" s="1"/>
  <c r="D51" i="83"/>
  <c r="E31" i="83"/>
  <c r="B44" i="83"/>
  <c r="G52" i="77"/>
  <c r="I52" i="77" s="1"/>
  <c r="I57" i="77" s="1"/>
  <c r="G27" i="77"/>
  <c r="G32" i="77" s="1"/>
  <c r="D42" i="81"/>
  <c r="F43" i="81"/>
  <c r="H43" i="81" s="1"/>
  <c r="E43" i="81"/>
  <c r="G43" i="81" s="1"/>
  <c r="I43" i="81" s="1"/>
  <c r="F168" i="81"/>
  <c r="G168" i="81" s="1"/>
  <c r="H168" i="81" s="1"/>
  <c r="I168" i="81" s="1"/>
  <c r="D129" i="86"/>
  <c r="D138" i="86" s="1"/>
  <c r="D127" i="86"/>
  <c r="D136" i="86" s="1"/>
  <c r="D126" i="86"/>
  <c r="D135" i="86" s="1"/>
  <c r="D128" i="86"/>
  <c r="D137" i="86" s="1"/>
  <c r="E69" i="84"/>
  <c r="E72" i="84" s="1"/>
  <c r="D80" i="84" s="1"/>
  <c r="E80" i="84" l="1"/>
  <c r="D83" i="84"/>
  <c r="E83" i="84" s="1"/>
  <c r="D44" i="83"/>
  <c r="C44" i="83"/>
  <c r="A86" i="86"/>
  <c r="D42" i="83"/>
  <c r="C42" i="83"/>
  <c r="E42" i="83" s="1"/>
  <c r="C91" i="88"/>
  <c r="C98" i="88" s="1"/>
  <c r="B90" i="88"/>
  <c r="C90" i="88" s="1"/>
  <c r="C97" i="88" s="1"/>
  <c r="C99" i="88" s="1"/>
  <c r="A93" i="86"/>
  <c r="D130" i="81"/>
  <c r="F42" i="81"/>
  <c r="H42" i="81" s="1"/>
  <c r="E42" i="81"/>
  <c r="G42" i="81" s="1"/>
  <c r="I42" i="81" s="1"/>
  <c r="F167" i="81"/>
  <c r="G167" i="81" s="1"/>
  <c r="H167" i="81" s="1"/>
  <c r="I167" i="81" s="1"/>
  <c r="D41" i="81"/>
  <c r="F37" i="78"/>
  <c r="E37" i="78" s="1"/>
  <c r="D37" i="78" s="1"/>
  <c r="D91" i="88" l="1"/>
  <c r="D93" i="88"/>
  <c r="D92" i="88"/>
  <c r="D94" i="88"/>
  <c r="D90" i="88"/>
  <c r="D95" i="88"/>
  <c r="D45" i="78"/>
  <c r="E45" i="78" s="1"/>
  <c r="E47" i="78" s="1"/>
  <c r="C37" i="78"/>
  <c r="A87" i="86"/>
  <c r="A95" i="86"/>
  <c r="D40" i="81"/>
  <c r="F41" i="81"/>
  <c r="H41" i="81" s="1"/>
  <c r="E41" i="81"/>
  <c r="G41" i="81" s="1"/>
  <c r="F166" i="81"/>
  <c r="G166" i="81" s="1"/>
  <c r="H166" i="81" s="1"/>
  <c r="I166" i="81" s="1"/>
  <c r="A94" i="86"/>
  <c r="D129" i="81"/>
  <c r="D53" i="83"/>
  <c r="E44" i="83"/>
  <c r="F105" i="84"/>
  <c r="A105" i="84"/>
  <c r="F165" i="81" l="1"/>
  <c r="G165" i="81" s="1"/>
  <c r="H165" i="81" s="1"/>
  <c r="I165" i="81" s="1"/>
  <c r="D39" i="81"/>
  <c r="F40" i="81"/>
  <c r="H40" i="81" s="1"/>
  <c r="E40" i="81"/>
  <c r="G40" i="81" s="1"/>
  <c r="I40" i="81" s="1"/>
  <c r="D128" i="81"/>
  <c r="I41" i="81"/>
  <c r="D132" i="81" l="1"/>
  <c r="D38" i="81"/>
  <c r="F39" i="81"/>
  <c r="H39" i="81" s="1"/>
  <c r="E39" i="81"/>
  <c r="G39" i="81" s="1"/>
  <c r="I39" i="81" s="1"/>
  <c r="F38" i="81" l="1"/>
  <c r="H38" i="81" s="1"/>
  <c r="E38" i="81"/>
  <c r="G38" i="81" s="1"/>
  <c r="D37" i="81"/>
  <c r="E131" i="81"/>
  <c r="J169" i="81" s="1"/>
  <c r="E130" i="81"/>
  <c r="J168" i="81" s="1"/>
  <c r="E129" i="81"/>
  <c r="J167" i="81" s="1"/>
  <c r="E128" i="81"/>
  <c r="J166" i="81" s="1"/>
  <c r="I170" i="81" s="1"/>
  <c r="D36" i="81" l="1"/>
  <c r="F37" i="81"/>
  <c r="H37" i="81" s="1"/>
  <c r="E37" i="81"/>
  <c r="G37" i="81" s="1"/>
  <c r="I37" i="81" s="1"/>
  <c r="I38" i="81"/>
  <c r="D35" i="81" l="1"/>
  <c r="E36" i="81"/>
  <c r="G36" i="81" s="1"/>
  <c r="I36" i="81" s="1"/>
  <c r="F36" i="81"/>
  <c r="H36" i="81" s="1"/>
  <c r="F35" i="81" l="1"/>
  <c r="H35" i="81" s="1"/>
  <c r="H46" i="81" s="1"/>
  <c r="E35" i="81"/>
  <c r="G35" i="81" s="1"/>
  <c r="I35" i="81" l="1"/>
  <c r="I46" i="81" s="1"/>
  <c r="D53" i="81" s="1"/>
  <c r="E68" i="81" s="1"/>
  <c r="E70" i="81" s="1"/>
  <c r="E72" i="81" s="1"/>
  <c r="E74" i="81" s="1"/>
  <c r="G172" i="81" s="1"/>
  <c r="G174" i="81" s="1"/>
  <c r="G46" i="81"/>
  <c r="G178" i="81" l="1"/>
  <c r="G179" i="81" s="1"/>
  <c r="H63" i="76" l="1"/>
  <c r="B53" i="76"/>
  <c r="C43" i="76"/>
  <c r="B43" i="76"/>
  <c r="B42" i="76"/>
  <c r="C41" i="76"/>
  <c r="B41" i="76"/>
  <c r="D33" i="76"/>
  <c r="B33" i="76"/>
  <c r="E32" i="76"/>
  <c r="D32" i="76"/>
  <c r="B32" i="76"/>
  <c r="D31" i="76"/>
  <c r="E31" i="76" s="1"/>
  <c r="B31" i="76"/>
  <c r="D30" i="76"/>
  <c r="G23" i="76"/>
  <c r="G53" i="76" s="1"/>
  <c r="G56" i="76" s="1"/>
  <c r="E23" i="76"/>
  <c r="D23" i="76"/>
  <c r="B54" i="76" s="1"/>
  <c r="C23" i="76"/>
  <c r="E33" i="76" s="1"/>
  <c r="B23" i="76"/>
  <c r="F22" i="76"/>
  <c r="G22" i="76" s="1"/>
  <c r="E22" i="76"/>
  <c r="D22" i="76"/>
  <c r="D42" i="76" s="1"/>
  <c r="E42" i="76" s="1"/>
  <c r="C22" i="76"/>
  <c r="C42" i="76" s="1"/>
  <c r="F42" i="76" s="1"/>
  <c r="B22" i="76"/>
  <c r="F21" i="76"/>
  <c r="E21" i="76"/>
  <c r="D21" i="76"/>
  <c r="D41" i="76" s="1"/>
  <c r="E41" i="76" s="1"/>
  <c r="F41" i="76" s="1"/>
  <c r="C21" i="76"/>
  <c r="G21" i="76" s="1"/>
  <c r="B21" i="76"/>
  <c r="G20" i="76"/>
  <c r="G24" i="76" s="1"/>
  <c r="E20" i="76"/>
  <c r="D20" i="76"/>
  <c r="D40" i="76" s="1"/>
  <c r="C20" i="76"/>
  <c r="C40" i="76" s="1"/>
  <c r="F40" i="76" s="1"/>
  <c r="B20" i="76"/>
  <c r="B40" i="76" s="1"/>
  <c r="C121" i="75"/>
  <c r="D120" i="75"/>
  <c r="E119" i="75"/>
  <c r="F118" i="75"/>
  <c r="G117" i="75"/>
  <c r="H116" i="75"/>
  <c r="F115" i="75"/>
  <c r="G115" i="75" s="1"/>
  <c r="H115" i="75" s="1"/>
  <c r="E115" i="75"/>
  <c r="D115" i="75"/>
  <c r="C112" i="75"/>
  <c r="C111" i="75" s="1"/>
  <c r="D111" i="75"/>
  <c r="D110" i="75" s="1"/>
  <c r="F109" i="75"/>
  <c r="F108" i="75" s="1"/>
  <c r="E106" i="75"/>
  <c r="F106" i="75" s="1"/>
  <c r="G106" i="75" s="1"/>
  <c r="H106" i="75" s="1"/>
  <c r="D106" i="75"/>
  <c r="C84" i="75"/>
  <c r="B84" i="75"/>
  <c r="B83" i="75"/>
  <c r="B82" i="75"/>
  <c r="E81" i="75"/>
  <c r="D81" i="75"/>
  <c r="B81" i="75"/>
  <c r="E80" i="75"/>
  <c r="D80" i="75"/>
  <c r="B80" i="75"/>
  <c r="F79" i="75"/>
  <c r="G79" i="75" s="1"/>
  <c r="H79" i="75" s="1"/>
  <c r="E79" i="75"/>
  <c r="D79" i="75"/>
  <c r="C76" i="75"/>
  <c r="D75" i="75"/>
  <c r="D83" i="75" s="1"/>
  <c r="C75" i="75"/>
  <c r="C83" i="75" s="1"/>
  <c r="E74" i="75"/>
  <c r="E82" i="75" s="1"/>
  <c r="D74" i="75"/>
  <c r="D82" i="75" s="1"/>
  <c r="C74" i="75"/>
  <c r="F73" i="75"/>
  <c r="F81" i="75" s="1"/>
  <c r="E73" i="75"/>
  <c r="D73" i="75"/>
  <c r="C73" i="75"/>
  <c r="C82" i="75" s="1"/>
  <c r="G72" i="75"/>
  <c r="G108" i="75" s="1"/>
  <c r="G107" i="75" s="1"/>
  <c r="G116" i="75" s="1"/>
  <c r="F72" i="75"/>
  <c r="F80" i="75" s="1"/>
  <c r="E72" i="75"/>
  <c r="D72" i="75"/>
  <c r="C72" i="75"/>
  <c r="C80" i="75" s="1"/>
  <c r="H71" i="75"/>
  <c r="H107" i="75" s="1"/>
  <c r="G71" i="75"/>
  <c r="F71" i="75"/>
  <c r="E71" i="75"/>
  <c r="D71" i="75"/>
  <c r="C71" i="75"/>
  <c r="D70" i="75"/>
  <c r="E70" i="75" s="1"/>
  <c r="F70" i="75" s="1"/>
  <c r="G70" i="75" s="1"/>
  <c r="H70" i="75" s="1"/>
  <c r="B80" i="74"/>
  <c r="B78" i="74"/>
  <c r="B77" i="74"/>
  <c r="C67" i="74"/>
  <c r="D65" i="74"/>
  <c r="C65" i="74"/>
  <c r="C64" i="74"/>
  <c r="C58" i="74"/>
  <c r="B58" i="74"/>
  <c r="B82" i="74" s="1"/>
  <c r="K57" i="74"/>
  <c r="D57" i="74" s="1"/>
  <c r="C68" i="74" s="1"/>
  <c r="C57" i="74"/>
  <c r="B57" i="74"/>
  <c r="B81" i="74" s="1"/>
  <c r="C81" i="74" s="1"/>
  <c r="E56" i="74"/>
  <c r="D67" i="74" s="1"/>
  <c r="D56" i="74"/>
  <c r="C56" i="74"/>
  <c r="B56" i="74"/>
  <c r="K55" i="74"/>
  <c r="F55" i="74"/>
  <c r="E66" i="74" s="1"/>
  <c r="E55" i="74"/>
  <c r="D66" i="74" s="1"/>
  <c r="D55" i="74"/>
  <c r="C66" i="74" s="1"/>
  <c r="C55" i="74"/>
  <c r="B55" i="74"/>
  <c r="B79" i="74" s="1"/>
  <c r="G54" i="74"/>
  <c r="F54" i="74"/>
  <c r="E70" i="74" s="1"/>
  <c r="E54" i="74"/>
  <c r="D70" i="74" s="1"/>
  <c r="D54" i="74"/>
  <c r="C54" i="74"/>
  <c r="B54" i="74"/>
  <c r="H53" i="74"/>
  <c r="G64" i="74" s="1"/>
  <c r="G53" i="74"/>
  <c r="F64" i="74" s="1"/>
  <c r="F53" i="74"/>
  <c r="E64" i="74" s="1"/>
  <c r="E53" i="74"/>
  <c r="D64" i="74" s="1"/>
  <c r="D53" i="74"/>
  <c r="C53" i="74"/>
  <c r="B53" i="74"/>
  <c r="I52" i="74"/>
  <c r="H70" i="74" s="1"/>
  <c r="H52" i="74"/>
  <c r="G70" i="74" s="1"/>
  <c r="G52" i="74"/>
  <c r="F63" i="74" s="1"/>
  <c r="F52" i="74"/>
  <c r="E52" i="74"/>
  <c r="E63" i="74" s="1"/>
  <c r="D52" i="74"/>
  <c r="C52" i="74"/>
  <c r="C63" i="74" s="1"/>
  <c r="C69" i="74" s="1"/>
  <c r="C72" i="74" s="1"/>
  <c r="B52" i="74"/>
  <c r="B76" i="74" s="1"/>
  <c r="E93" i="73"/>
  <c r="E92" i="73"/>
  <c r="F70" i="73"/>
  <c r="D50" i="73"/>
  <c r="B46" i="73"/>
  <c r="B47" i="73" s="1"/>
  <c r="B48" i="73" s="1"/>
  <c r="B49" i="73" s="1"/>
  <c r="B50" i="73" s="1"/>
  <c r="E36" i="73"/>
  <c r="D36" i="73"/>
  <c r="C36" i="73"/>
  <c r="F35" i="73"/>
  <c r="D35" i="73"/>
  <c r="C35" i="73"/>
  <c r="E35" i="73" s="1"/>
  <c r="F34" i="73"/>
  <c r="F33" i="73" s="1"/>
  <c r="F32" i="73" s="1"/>
  <c r="D34" i="73"/>
  <c r="E34" i="73" s="1"/>
  <c r="C34" i="73"/>
  <c r="E33" i="73"/>
  <c r="D33" i="73"/>
  <c r="C33" i="73"/>
  <c r="D32" i="73"/>
  <c r="E32" i="73" s="1"/>
  <c r="C32" i="73"/>
  <c r="B32" i="73"/>
  <c r="B33" i="73" s="1"/>
  <c r="B34" i="73" s="1"/>
  <c r="B35" i="73" s="1"/>
  <c r="B36" i="73" s="1"/>
  <c r="G29" i="73"/>
  <c r="J29" i="73" s="1"/>
  <c r="E29" i="73"/>
  <c r="F72" i="73" s="1"/>
  <c r="F73" i="73" s="1"/>
  <c r="F74" i="73" s="1"/>
  <c r="D26" i="73"/>
  <c r="D25" i="73"/>
  <c r="H35" i="73" s="1"/>
  <c r="A64" i="72"/>
  <c r="A63" i="72"/>
  <c r="A62" i="72"/>
  <c r="A61" i="72"/>
  <c r="A60" i="72"/>
  <c r="A59" i="72"/>
  <c r="A58" i="72"/>
  <c r="D55" i="72"/>
  <c r="A53" i="72"/>
  <c r="C41" i="72"/>
  <c r="B41" i="72"/>
  <c r="A41" i="72"/>
  <c r="D53" i="72" s="1"/>
  <c r="E55" i="72" s="1"/>
  <c r="B64" i="72" s="1"/>
  <c r="C40" i="72"/>
  <c r="B40" i="72"/>
  <c r="A40" i="72"/>
  <c r="B39" i="72"/>
  <c r="A39" i="72"/>
  <c r="C38" i="72"/>
  <c r="B38" i="72"/>
  <c r="C39" i="72" s="1"/>
  <c r="A38" i="72"/>
  <c r="C37" i="72"/>
  <c r="B37" i="72"/>
  <c r="A37" i="72"/>
  <c r="C36" i="72"/>
  <c r="C43" i="72" s="1"/>
  <c r="C45" i="72" s="1"/>
  <c r="B36" i="72"/>
  <c r="A36" i="72"/>
  <c r="B35" i="72"/>
  <c r="A35" i="72"/>
  <c r="E84" i="71"/>
  <c r="E82" i="71"/>
  <c r="E76" i="71"/>
  <c r="E71" i="71"/>
  <c r="E70" i="71"/>
  <c r="G48" i="71"/>
  <c r="B59" i="71" s="1"/>
  <c r="E48" i="71"/>
  <c r="C48" i="71"/>
  <c r="B48" i="71"/>
  <c r="F48" i="71" s="1"/>
  <c r="H48" i="71" s="1"/>
  <c r="E47" i="71"/>
  <c r="D47" i="71"/>
  <c r="C47" i="71"/>
  <c r="G47" i="71" s="1"/>
  <c r="B47" i="71"/>
  <c r="F47" i="71" s="1"/>
  <c r="F46" i="71"/>
  <c r="E46" i="71"/>
  <c r="D46" i="71"/>
  <c r="D45" i="71" s="1"/>
  <c r="D44" i="71" s="1"/>
  <c r="C46" i="71"/>
  <c r="G46" i="71" s="1"/>
  <c r="B46" i="71"/>
  <c r="E45" i="71"/>
  <c r="C45" i="71"/>
  <c r="G45" i="71" s="1"/>
  <c r="B45" i="71"/>
  <c r="F45" i="71" s="1"/>
  <c r="F44" i="71"/>
  <c r="E44" i="71"/>
  <c r="C44" i="71"/>
  <c r="G44" i="71" s="1"/>
  <c r="B44" i="71"/>
  <c r="G51" i="70"/>
  <c r="F51" i="70"/>
  <c r="B50" i="70"/>
  <c r="E49" i="70"/>
  <c r="A49" i="70"/>
  <c r="C48" i="70"/>
  <c r="B48" i="70"/>
  <c r="Y47" i="70"/>
  <c r="R47" i="70"/>
  <c r="N47" i="70"/>
  <c r="F46" i="70"/>
  <c r="E46" i="70"/>
  <c r="D46" i="70" s="1"/>
  <c r="V44" i="70"/>
  <c r="AD44" i="70" s="1"/>
  <c r="R44" i="70"/>
  <c r="U42" i="70"/>
  <c r="Y42" i="70" s="1"/>
  <c r="AC42" i="70" s="1"/>
  <c r="Q42" i="70"/>
  <c r="G36" i="70"/>
  <c r="G35" i="70" s="1"/>
  <c r="G37" i="70" s="1"/>
  <c r="B36" i="70"/>
  <c r="A36" i="70"/>
  <c r="A50" i="70" s="1"/>
  <c r="C35" i="70"/>
  <c r="C36" i="70" s="1"/>
  <c r="B35" i="70"/>
  <c r="B49" i="70" s="1"/>
  <c r="A35" i="70"/>
  <c r="D34" i="70"/>
  <c r="D48" i="70" s="1"/>
  <c r="E47" i="70" s="1"/>
  <c r="C34" i="70"/>
  <c r="B34" i="70"/>
  <c r="A34" i="70"/>
  <c r="A48" i="70" s="1"/>
  <c r="Y33" i="70"/>
  <c r="R33" i="70"/>
  <c r="N33" i="70"/>
  <c r="R30" i="70" s="1"/>
  <c r="V30" i="70" s="1"/>
  <c r="AD30" i="70" s="1"/>
  <c r="F32" i="70"/>
  <c r="E32" i="70"/>
  <c r="D32" i="70" s="1"/>
  <c r="Q28" i="70"/>
  <c r="U28" i="70" s="1"/>
  <c r="Y28" i="70" s="1"/>
  <c r="AC28" i="70" s="1"/>
  <c r="K65" i="69"/>
  <c r="J65" i="69"/>
  <c r="G65" i="69"/>
  <c r="I65" i="69" s="1"/>
  <c r="F65" i="69"/>
  <c r="C65" i="69"/>
  <c r="E65" i="69" s="1"/>
  <c r="H64" i="69"/>
  <c r="J64" i="69" s="1"/>
  <c r="G64" i="69"/>
  <c r="I64" i="69" s="1"/>
  <c r="C64" i="69"/>
  <c r="B64" i="69"/>
  <c r="B63" i="69" s="1"/>
  <c r="B62" i="69" s="1"/>
  <c r="B61" i="69" s="1"/>
  <c r="B60" i="69" s="1"/>
  <c r="B59" i="69" s="1"/>
  <c r="G63" i="69"/>
  <c r="C63" i="69"/>
  <c r="G62" i="69"/>
  <c r="C62" i="69"/>
  <c r="G61" i="69"/>
  <c r="C61" i="69"/>
  <c r="G60" i="69"/>
  <c r="C60" i="69"/>
  <c r="G59" i="69"/>
  <c r="C59" i="69"/>
  <c r="E34" i="69"/>
  <c r="D64" i="69" s="1"/>
  <c r="C35" i="66"/>
  <c r="C34" i="66"/>
  <c r="C36" i="66" s="1"/>
  <c r="C37" i="66" s="1"/>
  <c r="L24" i="66"/>
  <c r="G24" i="66"/>
  <c r="E24" i="66"/>
  <c r="D24" i="66"/>
  <c r="C24" i="66"/>
  <c r="F24" i="66" s="1"/>
  <c r="B24" i="66"/>
  <c r="H24" i="66" s="1"/>
  <c r="J24" i="66" s="1"/>
  <c r="G23" i="66"/>
  <c r="D23" i="66"/>
  <c r="E23" i="66" s="1"/>
  <c r="L23" i="66" s="1"/>
  <c r="C23" i="66"/>
  <c r="B23" i="66"/>
  <c r="L22" i="66"/>
  <c r="G22" i="66"/>
  <c r="E22" i="66"/>
  <c r="D22" i="66"/>
  <c r="C22" i="66"/>
  <c r="F22" i="66" s="1"/>
  <c r="B22" i="66"/>
  <c r="G21" i="66"/>
  <c r="G25" i="66" s="1"/>
  <c r="F21" i="66"/>
  <c r="E21" i="66"/>
  <c r="L21" i="66" s="1"/>
  <c r="D21" i="66"/>
  <c r="C21" i="66"/>
  <c r="B21" i="66"/>
  <c r="E75" i="65"/>
  <c r="C75" i="65"/>
  <c r="E74" i="65"/>
  <c r="C74" i="65"/>
  <c r="E73" i="65"/>
  <c r="C73" i="65"/>
  <c r="G72" i="65"/>
  <c r="G73" i="65" s="1"/>
  <c r="E72" i="65"/>
  <c r="C72" i="65"/>
  <c r="G71" i="65"/>
  <c r="E71" i="65"/>
  <c r="C71" i="65"/>
  <c r="B71" i="65"/>
  <c r="B72" i="65" s="1"/>
  <c r="B73" i="65" s="1"/>
  <c r="B74" i="65" s="1"/>
  <c r="B75" i="65" s="1"/>
  <c r="H70" i="65"/>
  <c r="E70" i="65"/>
  <c r="C70" i="65"/>
  <c r="D70" i="65" s="1"/>
  <c r="B70" i="65"/>
  <c r="H69" i="65"/>
  <c r="H68" i="65"/>
  <c r="F61" i="65"/>
  <c r="D61" i="65"/>
  <c r="G61" i="65" s="1"/>
  <c r="C61" i="65"/>
  <c r="G60" i="65"/>
  <c r="F60" i="65"/>
  <c r="E60" i="65"/>
  <c r="D60" i="65"/>
  <c r="C60" i="65"/>
  <c r="F59" i="65"/>
  <c r="G59" i="65" s="1"/>
  <c r="G63" i="65" s="1"/>
  <c r="I70" i="65" s="1"/>
  <c r="E59" i="65"/>
  <c r="D59" i="65"/>
  <c r="C59" i="65"/>
  <c r="F25" i="65"/>
  <c r="F24" i="65"/>
  <c r="F26" i="65" s="1"/>
  <c r="C52" i="64"/>
  <c r="C51" i="64"/>
  <c r="C50" i="64"/>
  <c r="B50" i="64"/>
  <c r="B51" i="64" s="1"/>
  <c r="B52" i="64" s="1"/>
  <c r="C49" i="64"/>
  <c r="B49" i="64"/>
  <c r="D42" i="64"/>
  <c r="B42" i="64"/>
  <c r="B41" i="64"/>
  <c r="D41" i="64" s="1"/>
  <c r="E41" i="64" s="1"/>
  <c r="F41" i="64" s="1"/>
  <c r="D51" i="64" s="1"/>
  <c r="E51" i="64" s="1"/>
  <c r="A40" i="64"/>
  <c r="A41" i="64" s="1"/>
  <c r="A42" i="64" s="1"/>
  <c r="A39" i="64"/>
  <c r="D38" i="64"/>
  <c r="C38" i="64"/>
  <c r="C41" i="64" s="1"/>
  <c r="C101" i="62"/>
  <c r="C90" i="62"/>
  <c r="C89" i="62"/>
  <c r="C100" i="62" s="1"/>
  <c r="C88" i="62"/>
  <c r="C99" i="62" s="1"/>
  <c r="D87" i="62"/>
  <c r="D98" i="62" s="1"/>
  <c r="C87" i="62"/>
  <c r="C83" i="62"/>
  <c r="C76" i="62"/>
  <c r="C82" i="62" s="1"/>
  <c r="D75" i="62"/>
  <c r="D72" i="62"/>
  <c r="C72" i="62"/>
  <c r="D71" i="62"/>
  <c r="C68" i="62"/>
  <c r="D68" i="62" s="1"/>
  <c r="B68" i="62"/>
  <c r="B72" i="62" s="1"/>
  <c r="B76" i="62" s="1"/>
  <c r="D67" i="62"/>
  <c r="E63" i="62"/>
  <c r="E81" i="62" s="1"/>
  <c r="E62" i="62"/>
  <c r="D62" i="62"/>
  <c r="E59" i="62"/>
  <c r="D59" i="62"/>
  <c r="C59" i="62"/>
  <c r="E58" i="62"/>
  <c r="D58" i="62"/>
  <c r="E55" i="62"/>
  <c r="E88" i="62" s="1"/>
  <c r="D55" i="62"/>
  <c r="D88" i="62" s="1"/>
  <c r="C55" i="62"/>
  <c r="C63" i="62" s="1"/>
  <c r="C81" i="62" s="1"/>
  <c r="F128" i="62" s="1"/>
  <c r="F130" i="62" s="1"/>
  <c r="B55" i="62"/>
  <c r="B59" i="62" s="1"/>
  <c r="B63" i="62" s="1"/>
  <c r="E54" i="62"/>
  <c r="D54" i="62"/>
  <c r="C50" i="62"/>
  <c r="C80" i="62" s="1"/>
  <c r="E49" i="62"/>
  <c r="F49" i="62" s="1"/>
  <c r="D49" i="62"/>
  <c r="D46" i="62"/>
  <c r="E46" i="62" s="1"/>
  <c r="E45" i="62"/>
  <c r="F45" i="62" s="1"/>
  <c r="D45" i="62"/>
  <c r="E42" i="62"/>
  <c r="D42" i="62"/>
  <c r="D50" i="62" s="1"/>
  <c r="D80" i="62" s="1"/>
  <c r="B42" i="62"/>
  <c r="B46" i="62" s="1"/>
  <c r="B50" i="62" s="1"/>
  <c r="F41" i="62"/>
  <c r="E41" i="62"/>
  <c r="D41" i="62"/>
  <c r="G39" i="70" l="1"/>
  <c r="H73" i="65"/>
  <c r="I73" i="65" s="1"/>
  <c r="G74" i="65"/>
  <c r="E48" i="70"/>
  <c r="E51" i="70" s="1"/>
  <c r="B55" i="71"/>
  <c r="H44" i="71"/>
  <c r="H47" i="71"/>
  <c r="B58" i="71"/>
  <c r="F117" i="75"/>
  <c r="F107" i="75"/>
  <c r="F116" i="75" s="1"/>
  <c r="C79" i="74"/>
  <c r="D109" i="75"/>
  <c r="D119" i="75"/>
  <c r="C82" i="74"/>
  <c r="C120" i="75"/>
  <c r="C110" i="75"/>
  <c r="G41" i="70"/>
  <c r="C98" i="62"/>
  <c r="B63" i="72"/>
  <c r="C64" i="72"/>
  <c r="J35" i="73"/>
  <c r="K35" i="73" s="1"/>
  <c r="C49" i="73" s="1"/>
  <c r="C76" i="74"/>
  <c r="E76" i="74" s="1"/>
  <c r="C78" i="74"/>
  <c r="J70" i="65"/>
  <c r="D64" i="72"/>
  <c r="E64" i="72" s="1"/>
  <c r="F64" i="72" s="1"/>
  <c r="C70" i="74"/>
  <c r="D71" i="65"/>
  <c r="D72" i="65" s="1"/>
  <c r="F70" i="65"/>
  <c r="B57" i="71"/>
  <c r="H46" i="71"/>
  <c r="H64" i="76"/>
  <c r="G58" i="76"/>
  <c r="F71" i="65"/>
  <c r="D63" i="69"/>
  <c r="F63" i="69" s="1"/>
  <c r="F64" i="69"/>
  <c r="E64" i="69"/>
  <c r="D99" i="62"/>
  <c r="D76" i="62"/>
  <c r="D82" i="62" s="1"/>
  <c r="D89" i="62"/>
  <c r="D100" i="62" s="1"/>
  <c r="F23" i="66"/>
  <c r="F25" i="66" s="1"/>
  <c r="C77" i="74"/>
  <c r="E63" i="69"/>
  <c r="H45" i="71"/>
  <c r="B56" i="71"/>
  <c r="E69" i="74"/>
  <c r="E72" i="74" s="1"/>
  <c r="E50" i="62"/>
  <c r="E80" i="62" s="1"/>
  <c r="E99" i="62"/>
  <c r="K64" i="69"/>
  <c r="F69" i="74"/>
  <c r="F72" i="74" s="1"/>
  <c r="G35" i="73"/>
  <c r="I35" i="73" s="1"/>
  <c r="G36" i="73"/>
  <c r="I36" i="73" s="1"/>
  <c r="G32" i="73"/>
  <c r="I32" i="73" s="1"/>
  <c r="G33" i="73"/>
  <c r="I33" i="73" s="1"/>
  <c r="G34" i="73"/>
  <c r="I34" i="73" s="1"/>
  <c r="C80" i="74"/>
  <c r="E75" i="71"/>
  <c r="E77" i="71" s="1"/>
  <c r="E78" i="71" s="1"/>
  <c r="H34" i="73"/>
  <c r="J34" i="73" s="1"/>
  <c r="K34" i="73" s="1"/>
  <c r="C48" i="73" s="1"/>
  <c r="D63" i="74"/>
  <c r="D69" i="74" s="1"/>
  <c r="D72" i="74" s="1"/>
  <c r="E65" i="74"/>
  <c r="D43" i="76"/>
  <c r="E43" i="76" s="1"/>
  <c r="F43" i="76" s="1"/>
  <c r="F44" i="76" s="1"/>
  <c r="D62" i="69"/>
  <c r="F62" i="69" s="1"/>
  <c r="F65" i="74"/>
  <c r="G80" i="75"/>
  <c r="B40" i="64"/>
  <c r="C42" i="72"/>
  <c r="H33" i="73"/>
  <c r="J33" i="73" s="1"/>
  <c r="K33" i="73" s="1"/>
  <c r="C47" i="73" s="1"/>
  <c r="E110" i="75"/>
  <c r="E109" i="75" s="1"/>
  <c r="C40" i="64"/>
  <c r="C42" i="64"/>
  <c r="E42" i="64" s="1"/>
  <c r="F42" i="64" s="1"/>
  <c r="D52" i="64" s="1"/>
  <c r="E52" i="64" s="1"/>
  <c r="D61" i="69"/>
  <c r="H63" i="69"/>
  <c r="D33" i="70"/>
  <c r="G63" i="74"/>
  <c r="G69" i="74" s="1"/>
  <c r="G72" i="74" s="1"/>
  <c r="C81" i="75"/>
  <c r="D63" i="62"/>
  <c r="D81" i="62" s="1"/>
  <c r="F127" i="62" s="1"/>
  <c r="D130" i="62" s="1"/>
  <c r="H130" i="62" s="1"/>
  <c r="E33" i="70"/>
  <c r="H32" i="73"/>
  <c r="H63" i="74"/>
  <c r="H69" i="74" s="1"/>
  <c r="H72" i="74" s="1"/>
  <c r="H73" i="74" s="1"/>
  <c r="F70" i="74"/>
  <c r="E87" i="62"/>
  <c r="E98" i="62" s="1"/>
  <c r="H72" i="65"/>
  <c r="I72" i="65" s="1"/>
  <c r="H21" i="66"/>
  <c r="J21" i="66" s="1"/>
  <c r="H36" i="73"/>
  <c r="B30" i="76"/>
  <c r="H22" i="66"/>
  <c r="J22" i="66" s="1"/>
  <c r="F42" i="62"/>
  <c r="H71" i="65"/>
  <c r="I71" i="65" s="1"/>
  <c r="J71" i="65" s="1"/>
  <c r="H23" i="66"/>
  <c r="J23" i="66" s="1"/>
  <c r="E30" i="76"/>
  <c r="E34" i="76" s="1"/>
  <c r="C49" i="70"/>
  <c r="C50" i="70" s="1"/>
  <c r="J25" i="66" l="1"/>
  <c r="J27" i="66" s="1"/>
  <c r="D47" i="70"/>
  <c r="D51" i="70" s="1"/>
  <c r="D37" i="70"/>
  <c r="C109" i="75"/>
  <c r="C119" i="75"/>
  <c r="F53" i="70"/>
  <c r="F55" i="70" s="1"/>
  <c r="H62" i="69"/>
  <c r="J63" i="69"/>
  <c r="K63" i="69" s="1"/>
  <c r="I63" i="69"/>
  <c r="G53" i="70"/>
  <c r="G55" i="70" s="1"/>
  <c r="G57" i="70" s="1"/>
  <c r="F61" i="69"/>
  <c r="D60" i="69"/>
  <c r="E61" i="69"/>
  <c r="E62" i="69"/>
  <c r="E68" i="69" s="1"/>
  <c r="B62" i="72"/>
  <c r="C63" i="72"/>
  <c r="D63" i="72" s="1"/>
  <c r="E63" i="72" s="1"/>
  <c r="F63" i="72" s="1"/>
  <c r="E108" i="75"/>
  <c r="E118" i="75"/>
  <c r="J32" i="73"/>
  <c r="K32" i="73" s="1"/>
  <c r="C46" i="73" s="1"/>
  <c r="G75" i="65"/>
  <c r="H75" i="65" s="1"/>
  <c r="I75" i="65" s="1"/>
  <c r="H74" i="65"/>
  <c r="I74" i="65" s="1"/>
  <c r="D108" i="75"/>
  <c r="D118" i="75"/>
  <c r="D39" i="70"/>
  <c r="D41" i="70" s="1"/>
  <c r="F72" i="65"/>
  <c r="J72" i="65" s="1"/>
  <c r="D73" i="65"/>
  <c r="G73" i="74"/>
  <c r="E53" i="70"/>
  <c r="E55" i="70" s="1"/>
  <c r="B39" i="64"/>
  <c r="D40" i="64"/>
  <c r="E40" i="64" s="1"/>
  <c r="F40" i="64" s="1"/>
  <c r="D50" i="64" s="1"/>
  <c r="E50" i="64" s="1"/>
  <c r="F87" i="62"/>
  <c r="F98" i="62" s="1"/>
  <c r="F50" i="62"/>
  <c r="F80" i="62" s="1"/>
  <c r="D77" i="74"/>
  <c r="E77" i="74" s="1"/>
  <c r="E35" i="70"/>
  <c r="F34" i="70"/>
  <c r="E34" i="70"/>
  <c r="E37" i="70" s="1"/>
  <c r="J36" i="73"/>
  <c r="K36" i="73" s="1"/>
  <c r="C50" i="73" s="1"/>
  <c r="D53" i="70"/>
  <c r="D55" i="70" s="1"/>
  <c r="D57" i="70" s="1"/>
  <c r="E39" i="70" l="1"/>
  <c r="E41" i="70" s="1"/>
  <c r="E57" i="70" s="1"/>
  <c r="F73" i="74"/>
  <c r="D78" i="74"/>
  <c r="E78" i="74" s="1"/>
  <c r="J62" i="69"/>
  <c r="K62" i="69" s="1"/>
  <c r="H61" i="69"/>
  <c r="I62" i="69"/>
  <c r="I68" i="69" s="1"/>
  <c r="E117" i="75"/>
  <c r="E107" i="75"/>
  <c r="E116" i="75" s="1"/>
  <c r="B61" i="72"/>
  <c r="C62" i="72"/>
  <c r="D62" i="72" s="1"/>
  <c r="E62" i="72" s="1"/>
  <c r="F62" i="72" s="1"/>
  <c r="F60" i="69"/>
  <c r="E60" i="69"/>
  <c r="D59" i="69"/>
  <c r="D107" i="75"/>
  <c r="D116" i="75" s="1"/>
  <c r="D117" i="75"/>
  <c r="K22" i="66"/>
  <c r="M22" i="66" s="1"/>
  <c r="N22" i="66" s="1"/>
  <c r="O22" i="66" s="1"/>
  <c r="K21" i="66"/>
  <c r="K23" i="66"/>
  <c r="M23" i="66" s="1"/>
  <c r="N23" i="66" s="1"/>
  <c r="O23" i="66" s="1"/>
  <c r="K24" i="66"/>
  <c r="M24" i="66" s="1"/>
  <c r="N24" i="66" s="1"/>
  <c r="O24" i="66" s="1"/>
  <c r="C118" i="75"/>
  <c r="C108" i="75"/>
  <c r="D74" i="65"/>
  <c r="F73" i="65"/>
  <c r="J73" i="65" s="1"/>
  <c r="F35" i="70"/>
  <c r="F37" i="70"/>
  <c r="F39" i="70"/>
  <c r="F41" i="70" s="1"/>
  <c r="F57" i="70" s="1"/>
  <c r="D39" i="64"/>
  <c r="C39" i="64"/>
  <c r="C52" i="73"/>
  <c r="C53" i="73"/>
  <c r="C54" i="73" s="1"/>
  <c r="E91" i="73" s="1"/>
  <c r="E94" i="73" s="1"/>
  <c r="E95" i="73" s="1"/>
  <c r="E39" i="64" l="1"/>
  <c r="F39" i="64" s="1"/>
  <c r="D49" i="64" s="1"/>
  <c r="E49" i="64" s="1"/>
  <c r="E73" i="74"/>
  <c r="D79" i="74"/>
  <c r="E79" i="74" s="1"/>
  <c r="J61" i="69"/>
  <c r="K61" i="69" s="1"/>
  <c r="H60" i="69"/>
  <c r="I61" i="69"/>
  <c r="B60" i="72"/>
  <c r="C61" i="72"/>
  <c r="D61" i="72" s="1"/>
  <c r="E61" i="72" s="1"/>
  <c r="F61" i="72" s="1"/>
  <c r="K25" i="66"/>
  <c r="M21" i="66"/>
  <c r="N21" i="66" s="1"/>
  <c r="F59" i="69"/>
  <c r="E59" i="69"/>
  <c r="E67" i="69" s="1"/>
  <c r="F74" i="65"/>
  <c r="J74" i="65" s="1"/>
  <c r="D75" i="65"/>
  <c r="F75" i="65" s="1"/>
  <c r="J75" i="65" s="1"/>
  <c r="J76" i="65" s="1"/>
  <c r="C107" i="75"/>
  <c r="C116" i="75" s="1"/>
  <c r="C117" i="75"/>
  <c r="N25" i="66" l="1"/>
  <c r="O21" i="66"/>
  <c r="O25" i="66" s="1"/>
  <c r="B59" i="72"/>
  <c r="C60" i="72"/>
  <c r="D60" i="72" s="1"/>
  <c r="E60" i="72" s="1"/>
  <c r="F60" i="72" s="1"/>
  <c r="J60" i="69"/>
  <c r="K60" i="69" s="1"/>
  <c r="H59" i="69"/>
  <c r="I60" i="69"/>
  <c r="D73" i="74"/>
  <c r="D80" i="74"/>
  <c r="E80" i="74" s="1"/>
  <c r="C73" i="74" l="1"/>
  <c r="D82" i="74" s="1"/>
  <c r="E82" i="74" s="1"/>
  <c r="D81" i="74"/>
  <c r="E81" i="74" s="1"/>
  <c r="J59" i="69"/>
  <c r="K59" i="69" s="1"/>
  <c r="K66" i="69" s="1"/>
  <c r="I59" i="69"/>
  <c r="I67" i="69" s="1"/>
  <c r="B58" i="72"/>
  <c r="C58" i="72" s="1"/>
  <c r="D58" i="72" s="1"/>
  <c r="E58" i="72" s="1"/>
  <c r="F58" i="72" s="1"/>
  <c r="F65" i="72" s="1"/>
  <c r="F67" i="72" s="1"/>
  <c r="C59" i="72"/>
  <c r="D59" i="72" s="1"/>
  <c r="E59" i="72" s="1"/>
  <c r="F59" i="72" s="1"/>
  <c r="E83" i="74" l="1"/>
  <c r="E84" i="74" s="1"/>
  <c r="C21" i="61" l="1"/>
  <c r="D21" i="61"/>
  <c r="E21" i="61" s="1"/>
  <c r="C22" i="61"/>
  <c r="D22" i="61"/>
  <c r="E22" i="61"/>
  <c r="F22" i="61" s="1"/>
  <c r="C23" i="61"/>
  <c r="D23" i="61"/>
  <c r="E23" i="61" s="1"/>
  <c r="C24" i="61"/>
  <c r="D24" i="61"/>
  <c r="E24" i="61"/>
  <c r="B25" i="61"/>
  <c r="B24" i="61" s="1"/>
  <c r="B23" i="61" s="1"/>
  <c r="B22" i="61" s="1"/>
  <c r="B21" i="61" s="1"/>
  <c r="C25" i="61"/>
  <c r="D25" i="61"/>
  <c r="E25" i="61"/>
  <c r="F25" i="61"/>
  <c r="B26" i="61"/>
  <c r="C26" i="61"/>
  <c r="D26" i="61"/>
  <c r="E26" i="61" s="1"/>
  <c r="B40" i="61"/>
  <c r="B39" i="61" s="1"/>
  <c r="B38" i="61" s="1"/>
  <c r="B37" i="61" s="1"/>
  <c r="B41" i="61"/>
  <c r="B42" i="61"/>
  <c r="B43" i="61"/>
  <c r="B47" i="61"/>
  <c r="C50" i="61"/>
  <c r="C51" i="61"/>
  <c r="C52" i="61"/>
  <c r="C53" i="61"/>
  <c r="C54" i="61"/>
  <c r="D54" i="61"/>
  <c r="E54" i="61" s="1"/>
  <c r="B55" i="61"/>
  <c r="B54" i="61" s="1"/>
  <c r="B53" i="61" s="1"/>
  <c r="B52" i="61" s="1"/>
  <c r="B51" i="61" s="1"/>
  <c r="B50" i="61" s="1"/>
  <c r="C55" i="61"/>
  <c r="E55" i="61" s="1"/>
  <c r="C130" i="60"/>
  <c r="C128" i="60"/>
  <c r="D126" i="60"/>
  <c r="E126" i="60" s="1"/>
  <c r="F126" i="60" s="1"/>
  <c r="G126" i="60" s="1"/>
  <c r="C123" i="60"/>
  <c r="C131" i="60" s="1"/>
  <c r="D122" i="60"/>
  <c r="D130" i="60" s="1"/>
  <c r="C122" i="60"/>
  <c r="B122" i="60"/>
  <c r="B131" i="60" s="1"/>
  <c r="E121" i="60"/>
  <c r="D121" i="60"/>
  <c r="C121" i="60"/>
  <c r="B121" i="60"/>
  <c r="B130" i="60" s="1"/>
  <c r="F120" i="60"/>
  <c r="E120" i="60"/>
  <c r="E129" i="60" s="1"/>
  <c r="D120" i="60"/>
  <c r="D129" i="60" s="1"/>
  <c r="C120" i="60"/>
  <c r="C129" i="60" s="1"/>
  <c r="B120" i="60"/>
  <c r="B119" i="60" s="1"/>
  <c r="G119" i="60"/>
  <c r="F119" i="60"/>
  <c r="F127" i="60" s="1"/>
  <c r="E119" i="60"/>
  <c r="D119" i="60"/>
  <c r="D127" i="60" s="1"/>
  <c r="C119" i="60"/>
  <c r="C127" i="60" s="1"/>
  <c r="H118" i="60"/>
  <c r="G118" i="60"/>
  <c r="F118" i="60"/>
  <c r="E118" i="60"/>
  <c r="E127" i="60" s="1"/>
  <c r="D118" i="60"/>
  <c r="C118" i="60"/>
  <c r="F117" i="60"/>
  <c r="G117" i="60" s="1"/>
  <c r="H117" i="60" s="1"/>
  <c r="E117" i="60"/>
  <c r="D117" i="60"/>
  <c r="D84" i="60"/>
  <c r="G82" i="60"/>
  <c r="F82" i="60"/>
  <c r="E82" i="60"/>
  <c r="C82" i="60"/>
  <c r="F81" i="60"/>
  <c r="G81" i="60" s="1"/>
  <c r="E81" i="60"/>
  <c r="D81" i="60"/>
  <c r="C78" i="60"/>
  <c r="D77" i="60"/>
  <c r="C77" i="60"/>
  <c r="C86" i="60" s="1"/>
  <c r="B77" i="60"/>
  <c r="B76" i="60" s="1"/>
  <c r="E76" i="60"/>
  <c r="E84" i="60" s="1"/>
  <c r="D76" i="60"/>
  <c r="D85" i="60" s="1"/>
  <c r="C76" i="60"/>
  <c r="C84" i="60" s="1"/>
  <c r="F75" i="60"/>
  <c r="E75" i="60"/>
  <c r="E83" i="60" s="1"/>
  <c r="D75" i="60"/>
  <c r="D83" i="60" s="1"/>
  <c r="C75" i="60"/>
  <c r="G74" i="60"/>
  <c r="F74" i="60"/>
  <c r="F83" i="60" s="1"/>
  <c r="E74" i="60"/>
  <c r="D74" i="60"/>
  <c r="D82" i="60" s="1"/>
  <c r="C74" i="60"/>
  <c r="C83" i="60" s="1"/>
  <c r="H73" i="60"/>
  <c r="G73" i="60"/>
  <c r="F73" i="60"/>
  <c r="E73" i="60"/>
  <c r="D73" i="60"/>
  <c r="C73" i="60"/>
  <c r="D72" i="60"/>
  <c r="E72" i="60" s="1"/>
  <c r="F72" i="60" s="1"/>
  <c r="G72" i="60" s="1"/>
  <c r="H72" i="60" s="1"/>
  <c r="E65" i="60"/>
  <c r="C65" i="60"/>
  <c r="D63" i="60"/>
  <c r="E63" i="60" s="1"/>
  <c r="F63" i="60" s="1"/>
  <c r="G63" i="60" s="1"/>
  <c r="C60" i="60"/>
  <c r="C68" i="60" s="1"/>
  <c r="D59" i="60"/>
  <c r="D67" i="60" s="1"/>
  <c r="C59" i="60"/>
  <c r="C67" i="60" s="1"/>
  <c r="B59" i="60"/>
  <c r="B68" i="60" s="1"/>
  <c r="E58" i="60"/>
  <c r="D58" i="60"/>
  <c r="C58" i="60"/>
  <c r="B58" i="60"/>
  <c r="B67" i="60" s="1"/>
  <c r="F57" i="60"/>
  <c r="E57" i="60"/>
  <c r="E66" i="60" s="1"/>
  <c r="D57" i="60"/>
  <c r="D66" i="60" s="1"/>
  <c r="C57" i="60"/>
  <c r="C66" i="60" s="1"/>
  <c r="B57" i="60"/>
  <c r="B56" i="60" s="1"/>
  <c r="G56" i="60"/>
  <c r="F56" i="60"/>
  <c r="F64" i="60" s="1"/>
  <c r="E56" i="60"/>
  <c r="D56" i="60"/>
  <c r="D64" i="60" s="1"/>
  <c r="C56" i="60"/>
  <c r="C64" i="60" s="1"/>
  <c r="H55" i="60"/>
  <c r="G55" i="60"/>
  <c r="F55" i="60"/>
  <c r="E55" i="60"/>
  <c r="E64" i="60" s="1"/>
  <c r="D55" i="60"/>
  <c r="C55" i="60"/>
  <c r="F54" i="60"/>
  <c r="G54" i="60" s="1"/>
  <c r="H54" i="60" s="1"/>
  <c r="E54" i="60"/>
  <c r="D54" i="60"/>
  <c r="D90" i="59"/>
  <c r="E90" i="59" s="1"/>
  <c r="F90" i="59" s="1"/>
  <c r="G90" i="59" s="1"/>
  <c r="H90" i="59" s="1"/>
  <c r="C87" i="59"/>
  <c r="D86" i="59"/>
  <c r="C86" i="59"/>
  <c r="E85" i="59"/>
  <c r="E84" i="59" s="1"/>
  <c r="E83" i="59" s="1"/>
  <c r="E82" i="59" s="1"/>
  <c r="D85" i="59"/>
  <c r="D84" i="59" s="1"/>
  <c r="D83" i="59" s="1"/>
  <c r="D82" i="59" s="1"/>
  <c r="C85" i="59"/>
  <c r="C84" i="59" s="1"/>
  <c r="C83" i="59" s="1"/>
  <c r="C82" i="59" s="1"/>
  <c r="F84" i="59"/>
  <c r="F83" i="59" s="1"/>
  <c r="F82" i="59" s="1"/>
  <c r="G83" i="59"/>
  <c r="H82" i="59"/>
  <c r="G82" i="59"/>
  <c r="E81" i="59"/>
  <c r="F81" i="59" s="1"/>
  <c r="G81" i="59" s="1"/>
  <c r="H81" i="59" s="1"/>
  <c r="D81" i="59"/>
  <c r="H73" i="59"/>
  <c r="H91" i="59" s="1"/>
  <c r="D72" i="59"/>
  <c r="E72" i="59" s="1"/>
  <c r="F72" i="59" s="1"/>
  <c r="G72" i="59" s="1"/>
  <c r="H72" i="59" s="1"/>
  <c r="H69" i="59"/>
  <c r="G69" i="59"/>
  <c r="G74" i="59" s="1"/>
  <c r="G92" i="59" s="1"/>
  <c r="D68" i="59"/>
  <c r="E68" i="59" s="1"/>
  <c r="F68" i="59" s="1"/>
  <c r="G68" i="59" s="1"/>
  <c r="H68" i="59" s="1"/>
  <c r="B50" i="59"/>
  <c r="D49" i="59"/>
  <c r="B49" i="59"/>
  <c r="D48" i="59"/>
  <c r="B48" i="59"/>
  <c r="B47" i="59"/>
  <c r="G46" i="59"/>
  <c r="B46" i="59"/>
  <c r="D45" i="59"/>
  <c r="E45" i="59" s="1"/>
  <c r="F45" i="59" s="1"/>
  <c r="G45" i="59" s="1"/>
  <c r="C39" i="59"/>
  <c r="C50" i="59" s="1"/>
  <c r="D38" i="59"/>
  <c r="D69" i="59" s="1"/>
  <c r="C38" i="59"/>
  <c r="C49" i="59" s="1"/>
  <c r="E37" i="59"/>
  <c r="E69" i="59" s="1"/>
  <c r="D37" i="59"/>
  <c r="C37" i="59"/>
  <c r="C48" i="59" s="1"/>
  <c r="F36" i="59"/>
  <c r="F47" i="59" s="1"/>
  <c r="E36" i="59"/>
  <c r="E47" i="59" s="1"/>
  <c r="D36" i="59"/>
  <c r="C36" i="59"/>
  <c r="G35" i="59"/>
  <c r="F35" i="59"/>
  <c r="F46" i="59" s="1"/>
  <c r="E35" i="59"/>
  <c r="E46" i="59" s="1"/>
  <c r="D35" i="59"/>
  <c r="D47" i="59" s="1"/>
  <c r="C35" i="59"/>
  <c r="C47" i="59" s="1"/>
  <c r="H34" i="59"/>
  <c r="G34" i="59"/>
  <c r="F34" i="59"/>
  <c r="E34" i="59"/>
  <c r="D34" i="59"/>
  <c r="C34" i="59"/>
  <c r="D33" i="59"/>
  <c r="E33" i="59" s="1"/>
  <c r="F33" i="59" s="1"/>
  <c r="G33" i="59" s="1"/>
  <c r="H33" i="59" s="1"/>
  <c r="D64" i="58"/>
  <c r="C64" i="58"/>
  <c r="B64" i="58"/>
  <c r="D63" i="58"/>
  <c r="C63" i="58"/>
  <c r="F62" i="58"/>
  <c r="E62" i="58"/>
  <c r="D62" i="58"/>
  <c r="C62" i="58"/>
  <c r="C65" i="58" s="1"/>
  <c r="B62" i="58"/>
  <c r="E61" i="58"/>
  <c r="D61" i="58"/>
  <c r="F61" i="58" s="1"/>
  <c r="C61" i="58"/>
  <c r="C55" i="58"/>
  <c r="B55" i="58"/>
  <c r="C54" i="58"/>
  <c r="D54" i="58" s="1"/>
  <c r="B54" i="58"/>
  <c r="B63" i="58" s="1"/>
  <c r="C53" i="58"/>
  <c r="B53" i="58"/>
  <c r="C52" i="58"/>
  <c r="B52" i="58"/>
  <c r="B61" i="58" s="1"/>
  <c r="C51" i="58"/>
  <c r="D51" i="58" s="1"/>
  <c r="B51" i="58"/>
  <c r="C50" i="58"/>
  <c r="B50" i="58"/>
  <c r="H45" i="58"/>
  <c r="H46" i="58" s="1"/>
  <c r="D50" i="58" s="1"/>
  <c r="G45" i="58"/>
  <c r="G46" i="58" s="1"/>
  <c r="E52" i="58" s="1"/>
  <c r="F45" i="58"/>
  <c r="F46" i="58" s="1"/>
  <c r="E45" i="58"/>
  <c r="E46" i="58" s="1"/>
  <c r="D45" i="58"/>
  <c r="D46" i="58" s="1"/>
  <c r="E55" i="58" s="1"/>
  <c r="H44" i="58"/>
  <c r="G44" i="58"/>
  <c r="F44" i="58"/>
  <c r="E44" i="58"/>
  <c r="D44" i="58"/>
  <c r="E43" i="58"/>
  <c r="F43" i="58" s="1"/>
  <c r="G43" i="58" s="1"/>
  <c r="H43" i="58" s="1"/>
  <c r="I32" i="57"/>
  <c r="I31" i="57"/>
  <c r="I30" i="57"/>
  <c r="I33" i="57" s="1"/>
  <c r="I34" i="57" s="1"/>
  <c r="F37" i="56"/>
  <c r="I37" i="56" s="1"/>
  <c r="D37" i="56"/>
  <c r="E37" i="56" s="1"/>
  <c r="C37" i="56"/>
  <c r="B37" i="56"/>
  <c r="A37" i="56"/>
  <c r="G36" i="56"/>
  <c r="I36" i="56" s="1"/>
  <c r="F36" i="56"/>
  <c r="D36" i="56"/>
  <c r="E36" i="56" s="1"/>
  <c r="C36" i="56"/>
  <c r="B36" i="56"/>
  <c r="A36" i="56"/>
  <c r="H35" i="56"/>
  <c r="F35" i="56"/>
  <c r="C35" i="56"/>
  <c r="D35" i="56" s="1"/>
  <c r="E35" i="56" s="1"/>
  <c r="B35" i="56"/>
  <c r="A35" i="56"/>
  <c r="H34" i="56"/>
  <c r="F34" i="56"/>
  <c r="D34" i="56"/>
  <c r="E34" i="56" s="1"/>
  <c r="C34" i="56"/>
  <c r="B34" i="56"/>
  <c r="A34" i="56"/>
  <c r="H33" i="56"/>
  <c r="F33" i="56"/>
  <c r="F38" i="56" s="1"/>
  <c r="C33" i="56"/>
  <c r="D33" i="56" s="1"/>
  <c r="E33" i="56" s="1"/>
  <c r="B33" i="56"/>
  <c r="A33" i="56"/>
  <c r="H32" i="56"/>
  <c r="F32" i="56"/>
  <c r="C32" i="56"/>
  <c r="D32" i="56" s="1"/>
  <c r="E32" i="56" s="1"/>
  <c r="B32" i="56"/>
  <c r="A32" i="56"/>
  <c r="E120" i="55"/>
  <c r="E119" i="55"/>
  <c r="H97" i="55"/>
  <c r="E97" i="55"/>
  <c r="C97" i="55"/>
  <c r="B97" i="55"/>
  <c r="H96" i="55"/>
  <c r="E96" i="55"/>
  <c r="C96" i="55"/>
  <c r="B96" i="55"/>
  <c r="H95" i="55"/>
  <c r="E95" i="55"/>
  <c r="C95" i="55"/>
  <c r="B95" i="55"/>
  <c r="H94" i="55"/>
  <c r="E94" i="55"/>
  <c r="C94" i="55"/>
  <c r="B94" i="55"/>
  <c r="H93" i="55"/>
  <c r="E93" i="55"/>
  <c r="C93" i="55"/>
  <c r="B93" i="55"/>
  <c r="F90" i="55"/>
  <c r="F89" i="55"/>
  <c r="F86" i="55"/>
  <c r="F87" i="55" s="1"/>
  <c r="D97" i="55" s="1"/>
  <c r="E86" i="55"/>
  <c r="F85" i="55"/>
  <c r="E85" i="55"/>
  <c r="E82" i="55"/>
  <c r="C52" i="55"/>
  <c r="B52" i="55"/>
  <c r="C51" i="55"/>
  <c r="D52" i="55" s="1"/>
  <c r="C50" i="55"/>
  <c r="D50" i="55" s="1"/>
  <c r="B50" i="55"/>
  <c r="D49" i="55"/>
  <c r="C49" i="55"/>
  <c r="C48" i="55"/>
  <c r="D48" i="55" s="1"/>
  <c r="B48" i="55"/>
  <c r="C47" i="55"/>
  <c r="D47" i="55" s="1"/>
  <c r="C46" i="55"/>
  <c r="D46" i="55" s="1"/>
  <c r="B46" i="55"/>
  <c r="C45" i="55"/>
  <c r="C31" i="55"/>
  <c r="D31" i="55" s="1"/>
  <c r="B31" i="55"/>
  <c r="C30" i="55"/>
  <c r="D30" i="55" s="1"/>
  <c r="B30" i="55"/>
  <c r="B51" i="55" s="1"/>
  <c r="D29" i="55"/>
  <c r="C29" i="55"/>
  <c r="B29" i="55"/>
  <c r="C28" i="55"/>
  <c r="D28" i="55" s="1"/>
  <c r="B28" i="55"/>
  <c r="B49" i="55" s="1"/>
  <c r="C27" i="55"/>
  <c r="D27" i="55" s="1"/>
  <c r="B27" i="55"/>
  <c r="C26" i="55"/>
  <c r="D26" i="55" s="1"/>
  <c r="B26" i="55"/>
  <c r="B47" i="55" s="1"/>
  <c r="D25" i="55"/>
  <c r="D33" i="55" s="1"/>
  <c r="C25" i="55"/>
  <c r="B25" i="55"/>
  <c r="C24" i="55"/>
  <c r="B24" i="55"/>
  <c r="B45" i="55" s="1"/>
  <c r="C42" i="54"/>
  <c r="C38" i="54"/>
  <c r="C40" i="54" s="1"/>
  <c r="C46" i="54" s="1"/>
  <c r="B38" i="54"/>
  <c r="B37" i="54"/>
  <c r="C37" i="54" s="1"/>
  <c r="B36" i="54"/>
  <c r="C36" i="54" s="1"/>
  <c r="A36" i="54"/>
  <c r="B35" i="54"/>
  <c r="C35" i="54" s="1"/>
  <c r="C34" i="54"/>
  <c r="B34" i="54"/>
  <c r="D25" i="54"/>
  <c r="D27" i="54" s="1"/>
  <c r="B25" i="54"/>
  <c r="C25" i="54" s="1"/>
  <c r="C27" i="54" s="1"/>
  <c r="E27" i="54" s="1"/>
  <c r="A25" i="54"/>
  <c r="A38" i="54" s="1"/>
  <c r="D24" i="54"/>
  <c r="B24" i="54"/>
  <c r="C24" i="54" s="1"/>
  <c r="A24" i="54"/>
  <c r="A37" i="54" s="1"/>
  <c r="D23" i="54"/>
  <c r="B23" i="54"/>
  <c r="C23" i="54" s="1"/>
  <c r="A23" i="54"/>
  <c r="D22" i="54"/>
  <c r="B22" i="54"/>
  <c r="C22" i="54" s="1"/>
  <c r="A22" i="54"/>
  <c r="A35" i="54" s="1"/>
  <c r="D21" i="54"/>
  <c r="B21" i="54"/>
  <c r="C21" i="54" s="1"/>
  <c r="A21" i="54"/>
  <c r="A34" i="54" s="1"/>
  <c r="B69" i="53"/>
  <c r="B68" i="53"/>
  <c r="B67" i="53"/>
  <c r="B66" i="53"/>
  <c r="B65" i="53"/>
  <c r="B64" i="53"/>
  <c r="B63" i="53"/>
  <c r="B70" i="53" s="1"/>
  <c r="D62" i="53"/>
  <c r="L57" i="53"/>
  <c r="L56" i="53"/>
  <c r="M55" i="53"/>
  <c r="L55" i="53"/>
  <c r="N55" i="53" s="1"/>
  <c r="H55" i="53"/>
  <c r="H57" i="53" s="1"/>
  <c r="M56" i="53" s="1"/>
  <c r="N56" i="53" s="1"/>
  <c r="G55" i="53"/>
  <c r="G57" i="53" s="1"/>
  <c r="F55" i="53"/>
  <c r="F57" i="53" s="1"/>
  <c r="E55" i="53"/>
  <c r="E57" i="53" s="1"/>
  <c r="D55" i="53"/>
  <c r="D57" i="53" s="1"/>
  <c r="C55" i="53"/>
  <c r="C57" i="53" s="1"/>
  <c r="H54" i="53"/>
  <c r="G54" i="53"/>
  <c r="F54" i="53"/>
  <c r="E54" i="53"/>
  <c r="D54" i="53"/>
  <c r="C54" i="53"/>
  <c r="H53" i="53"/>
  <c r="G53" i="53"/>
  <c r="F53" i="53"/>
  <c r="E53" i="53"/>
  <c r="D53" i="53"/>
  <c r="C53" i="53"/>
  <c r="H52" i="53"/>
  <c r="G52" i="53"/>
  <c r="C49" i="53"/>
  <c r="D48" i="53"/>
  <c r="C48" i="53"/>
  <c r="E47" i="53"/>
  <c r="D47" i="53"/>
  <c r="D51" i="53" s="1"/>
  <c r="C47" i="53"/>
  <c r="C51" i="53" s="1"/>
  <c r="F46" i="53"/>
  <c r="E46" i="53"/>
  <c r="D46" i="53"/>
  <c r="C46" i="53"/>
  <c r="G45" i="53"/>
  <c r="F45" i="53"/>
  <c r="E45" i="53"/>
  <c r="E51" i="53" s="1"/>
  <c r="D45" i="53"/>
  <c r="D52" i="53" s="1"/>
  <c r="C45" i="53"/>
  <c r="H44" i="53"/>
  <c r="H51" i="53" s="1"/>
  <c r="G44" i="53"/>
  <c r="G51" i="53" s="1"/>
  <c r="F44" i="53"/>
  <c r="F51" i="53" s="1"/>
  <c r="E44" i="53"/>
  <c r="D44" i="53"/>
  <c r="C44" i="53"/>
  <c r="I43" i="53"/>
  <c r="E111" i="52"/>
  <c r="B96" i="52"/>
  <c r="C95" i="52"/>
  <c r="B95" i="52"/>
  <c r="D94" i="52"/>
  <c r="C94" i="52"/>
  <c r="B94" i="52"/>
  <c r="E93" i="52"/>
  <c r="D93" i="52"/>
  <c r="C93" i="52"/>
  <c r="B93" i="52"/>
  <c r="F92" i="52"/>
  <c r="E92" i="52"/>
  <c r="D92" i="52"/>
  <c r="C92" i="52"/>
  <c r="B92" i="52"/>
  <c r="G91" i="52"/>
  <c r="F91" i="52"/>
  <c r="E91" i="52"/>
  <c r="D91" i="52"/>
  <c r="C91" i="52"/>
  <c r="B91" i="52"/>
  <c r="B87" i="52"/>
  <c r="C86" i="52"/>
  <c r="B86" i="52"/>
  <c r="D85" i="52"/>
  <c r="C85" i="52"/>
  <c r="B85" i="52"/>
  <c r="F83" i="52"/>
  <c r="E83" i="52"/>
  <c r="D83" i="52"/>
  <c r="C83" i="52"/>
  <c r="B83" i="52"/>
  <c r="G82" i="52"/>
  <c r="F82" i="52"/>
  <c r="E82" i="52"/>
  <c r="D82" i="52"/>
  <c r="C82" i="52"/>
  <c r="B82" i="52"/>
  <c r="D76" i="52"/>
  <c r="D77" i="52" s="1"/>
  <c r="B84" i="52" s="1"/>
  <c r="F75" i="52"/>
  <c r="G75" i="52" s="1"/>
  <c r="E75" i="52"/>
  <c r="E70" i="52"/>
  <c r="D70" i="52"/>
  <c r="E69" i="52"/>
  <c r="F69" i="52" s="1"/>
  <c r="G69" i="52" s="1"/>
  <c r="E68" i="52"/>
  <c r="F68" i="52" s="1"/>
  <c r="D51" i="51"/>
  <c r="D50" i="51"/>
  <c r="C50" i="51"/>
  <c r="D49" i="51"/>
  <c r="D52" i="51" s="1"/>
  <c r="C49" i="51"/>
  <c r="E44" i="51"/>
  <c r="Q42" i="51"/>
  <c r="U42" i="51" s="1"/>
  <c r="Y42" i="51" s="1"/>
  <c r="C36" i="51"/>
  <c r="C52" i="51" s="1"/>
  <c r="D35" i="51"/>
  <c r="D36" i="51" s="1"/>
  <c r="C35" i="51"/>
  <c r="C51" i="51" s="1"/>
  <c r="D34" i="51"/>
  <c r="C34" i="51"/>
  <c r="D33" i="51"/>
  <c r="E29" i="51"/>
  <c r="E28" i="51"/>
  <c r="U26" i="51"/>
  <c r="Y26" i="51" s="1"/>
  <c r="Q26" i="51"/>
  <c r="F125" i="50"/>
  <c r="E102" i="50"/>
  <c r="F102" i="50" s="1"/>
  <c r="G102" i="50" s="1"/>
  <c r="H102" i="50" s="1"/>
  <c r="I102" i="50" s="1"/>
  <c r="D102" i="50"/>
  <c r="D96" i="50"/>
  <c r="E96" i="50" s="1"/>
  <c r="E95" i="50"/>
  <c r="F95" i="50" s="1"/>
  <c r="D91" i="50"/>
  <c r="E91" i="50" s="1"/>
  <c r="F91" i="50" s="1"/>
  <c r="G91" i="50" s="1"/>
  <c r="H91" i="50" s="1"/>
  <c r="I91" i="50" s="1"/>
  <c r="I70" i="50"/>
  <c r="G70" i="50"/>
  <c r="E70" i="50"/>
  <c r="I56" i="50"/>
  <c r="I103" i="50" s="1"/>
  <c r="D55" i="50"/>
  <c r="E55" i="50" s="1"/>
  <c r="F55" i="50" s="1"/>
  <c r="G55" i="50" s="1"/>
  <c r="H55" i="50" s="1"/>
  <c r="I55" i="50" s="1"/>
  <c r="D51" i="50"/>
  <c r="C51" i="50"/>
  <c r="I50" i="50"/>
  <c r="D61" i="50" s="1"/>
  <c r="D108" i="50" s="1"/>
  <c r="H50" i="50"/>
  <c r="C61" i="50" s="1"/>
  <c r="C108" i="50" s="1"/>
  <c r="G50" i="50"/>
  <c r="F50" i="50"/>
  <c r="E50" i="50"/>
  <c r="F49" i="50"/>
  <c r="E49" i="50"/>
  <c r="D49" i="50"/>
  <c r="C49" i="50"/>
  <c r="I48" i="50"/>
  <c r="F59" i="50" s="1"/>
  <c r="F106" i="50" s="1"/>
  <c r="H48" i="50"/>
  <c r="E59" i="50" s="1"/>
  <c r="E106" i="50" s="1"/>
  <c r="G48" i="50"/>
  <c r="D59" i="50" s="1"/>
  <c r="D106" i="50" s="1"/>
  <c r="H47" i="50"/>
  <c r="F58" i="50" s="1"/>
  <c r="F105" i="50" s="1"/>
  <c r="G47" i="50"/>
  <c r="E58" i="50" s="1"/>
  <c r="E105" i="50" s="1"/>
  <c r="F47" i="50"/>
  <c r="D58" i="50" s="1"/>
  <c r="D105" i="50" s="1"/>
  <c r="E47" i="50"/>
  <c r="C58" i="50" s="1"/>
  <c r="C105" i="50" s="1"/>
  <c r="D47" i="50"/>
  <c r="C47" i="50"/>
  <c r="I46" i="50"/>
  <c r="H57" i="50" s="1"/>
  <c r="H104" i="50" s="1"/>
  <c r="C46" i="50"/>
  <c r="I45" i="50"/>
  <c r="H45" i="50"/>
  <c r="H56" i="50" s="1"/>
  <c r="H103" i="50" s="1"/>
  <c r="G45" i="50"/>
  <c r="G56" i="50" s="1"/>
  <c r="G103" i="50" s="1"/>
  <c r="F45" i="50"/>
  <c r="F56" i="50" s="1"/>
  <c r="F103" i="50" s="1"/>
  <c r="E45" i="50"/>
  <c r="E56" i="50" s="1"/>
  <c r="E103" i="50" s="1"/>
  <c r="D45" i="50"/>
  <c r="D56" i="50" s="1"/>
  <c r="D103" i="50" s="1"/>
  <c r="D44" i="50"/>
  <c r="C44" i="50"/>
  <c r="I40" i="50"/>
  <c r="I51" i="50" s="1"/>
  <c r="C62" i="50" s="1"/>
  <c r="C109" i="50" s="1"/>
  <c r="H40" i="50"/>
  <c r="H51" i="50" s="1"/>
  <c r="G40" i="50"/>
  <c r="G51" i="50" s="1"/>
  <c r="F40" i="50"/>
  <c r="F51" i="50" s="1"/>
  <c r="E40" i="50"/>
  <c r="E51" i="50" s="1"/>
  <c r="D40" i="50"/>
  <c r="C40" i="50"/>
  <c r="I39" i="50"/>
  <c r="H39" i="50"/>
  <c r="G39" i="50"/>
  <c r="F39" i="50"/>
  <c r="E39" i="50"/>
  <c r="D39" i="50"/>
  <c r="D50" i="50" s="1"/>
  <c r="C39" i="50"/>
  <c r="C50" i="50" s="1"/>
  <c r="I38" i="50"/>
  <c r="I49" i="50" s="1"/>
  <c r="E60" i="50" s="1"/>
  <c r="E107" i="50" s="1"/>
  <c r="H38" i="50"/>
  <c r="H49" i="50" s="1"/>
  <c r="D60" i="50" s="1"/>
  <c r="D107" i="50" s="1"/>
  <c r="G38" i="50"/>
  <c r="G49" i="50" s="1"/>
  <c r="C60" i="50" s="1"/>
  <c r="C107" i="50" s="1"/>
  <c r="F38" i="50"/>
  <c r="E38" i="50"/>
  <c r="D38" i="50"/>
  <c r="C38" i="50"/>
  <c r="I37" i="50"/>
  <c r="H37" i="50"/>
  <c r="G37" i="50"/>
  <c r="F37" i="50"/>
  <c r="F48" i="50" s="1"/>
  <c r="C59" i="50" s="1"/>
  <c r="C106" i="50" s="1"/>
  <c r="E37" i="50"/>
  <c r="E48" i="50" s="1"/>
  <c r="D37" i="50"/>
  <c r="D48" i="50" s="1"/>
  <c r="C37" i="50"/>
  <c r="C48" i="50" s="1"/>
  <c r="I36" i="50"/>
  <c r="I47" i="50" s="1"/>
  <c r="G58" i="50" s="1"/>
  <c r="G105" i="50" s="1"/>
  <c r="H36" i="50"/>
  <c r="G36" i="50"/>
  <c r="F36" i="50"/>
  <c r="E36" i="50"/>
  <c r="D36" i="50"/>
  <c r="C36" i="50"/>
  <c r="I35" i="50"/>
  <c r="H35" i="50"/>
  <c r="H46" i="50" s="1"/>
  <c r="G57" i="50" s="1"/>
  <c r="G104" i="50" s="1"/>
  <c r="G35" i="50"/>
  <c r="G46" i="50" s="1"/>
  <c r="F57" i="50" s="1"/>
  <c r="F104" i="50" s="1"/>
  <c r="F35" i="50"/>
  <c r="F46" i="50" s="1"/>
  <c r="E57" i="50" s="1"/>
  <c r="E104" i="50" s="1"/>
  <c r="E35" i="50"/>
  <c r="E46" i="50" s="1"/>
  <c r="D57" i="50" s="1"/>
  <c r="D104" i="50" s="1"/>
  <c r="D35" i="50"/>
  <c r="D46" i="50" s="1"/>
  <c r="C57" i="50" s="1"/>
  <c r="C104" i="50" s="1"/>
  <c r="C35" i="50"/>
  <c r="I34" i="50"/>
  <c r="H34" i="50"/>
  <c r="G34" i="50"/>
  <c r="F34" i="50"/>
  <c r="E34" i="50"/>
  <c r="D34" i="50"/>
  <c r="C34" i="50"/>
  <c r="C45" i="50" s="1"/>
  <c r="C56" i="50" s="1"/>
  <c r="C103" i="50" s="1"/>
  <c r="D33" i="50"/>
  <c r="E33" i="50" s="1"/>
  <c r="B94" i="49"/>
  <c r="B93" i="49"/>
  <c r="B92" i="49"/>
  <c r="B91" i="49"/>
  <c r="B90" i="49"/>
  <c r="B89" i="49"/>
  <c r="B88" i="49"/>
  <c r="B87" i="49"/>
  <c r="B95" i="49" s="1"/>
  <c r="C75" i="49"/>
  <c r="C73" i="49"/>
  <c r="C72" i="49"/>
  <c r="C71" i="49"/>
  <c r="F53" i="49"/>
  <c r="B53" i="49"/>
  <c r="C53" i="49" s="1"/>
  <c r="B52" i="49"/>
  <c r="C76" i="49" s="1"/>
  <c r="E51" i="49"/>
  <c r="C51" i="49"/>
  <c r="B51" i="49"/>
  <c r="E50" i="49"/>
  <c r="B50" i="49"/>
  <c r="C74" i="49" s="1"/>
  <c r="E49" i="49"/>
  <c r="C49" i="49"/>
  <c r="B49" i="49"/>
  <c r="E48" i="49"/>
  <c r="B48" i="49"/>
  <c r="C48" i="49" s="1"/>
  <c r="E47" i="49"/>
  <c r="C47" i="49"/>
  <c r="B47" i="49"/>
  <c r="E46" i="49"/>
  <c r="B46" i="49"/>
  <c r="C70" i="49" s="1"/>
  <c r="C42" i="49"/>
  <c r="D52" i="49" s="1"/>
  <c r="E82" i="48"/>
  <c r="E81" i="48"/>
  <c r="E53" i="48"/>
  <c r="D53" i="48"/>
  <c r="C53" i="48"/>
  <c r="B53" i="48"/>
  <c r="D52" i="48"/>
  <c r="F53" i="48" s="1"/>
  <c r="C52" i="48"/>
  <c r="E52" i="48" s="1"/>
  <c r="B52" i="48"/>
  <c r="D51" i="48"/>
  <c r="F51" i="48" s="1"/>
  <c r="C51" i="48"/>
  <c r="E51" i="48" s="1"/>
  <c r="B51" i="48"/>
  <c r="D50" i="48"/>
  <c r="C50" i="48"/>
  <c r="E50" i="48" s="1"/>
  <c r="B50" i="48"/>
  <c r="D49" i="48"/>
  <c r="F49" i="48" s="1"/>
  <c r="C49" i="48"/>
  <c r="E49" i="48" s="1"/>
  <c r="B49" i="48"/>
  <c r="F48" i="48"/>
  <c r="D48" i="48"/>
  <c r="C48" i="48"/>
  <c r="E48" i="48" s="1"/>
  <c r="B48" i="48"/>
  <c r="D47" i="48"/>
  <c r="F47" i="48" s="1"/>
  <c r="C47" i="48"/>
  <c r="E47" i="48" s="1"/>
  <c r="B47" i="48"/>
  <c r="E46" i="48"/>
  <c r="D46" i="48"/>
  <c r="F46" i="48" s="1"/>
  <c r="C46" i="48"/>
  <c r="B46" i="48"/>
  <c r="D45" i="48"/>
  <c r="F45" i="48" s="1"/>
  <c r="C45" i="48"/>
  <c r="E45" i="48" s="1"/>
  <c r="B45" i="48"/>
  <c r="D44" i="48"/>
  <c r="F44" i="48" s="1"/>
  <c r="C44" i="48"/>
  <c r="E44" i="48" s="1"/>
  <c r="B44" i="48"/>
  <c r="D43" i="48"/>
  <c r="F43" i="48" s="1"/>
  <c r="C43" i="48"/>
  <c r="B43" i="48"/>
  <c r="D42" i="48"/>
  <c r="F42" i="48" s="1"/>
  <c r="C42" i="48"/>
  <c r="E43" i="48" s="1"/>
  <c r="B42" i="48"/>
  <c r="F41" i="48"/>
  <c r="E41" i="48"/>
  <c r="D41" i="48"/>
  <c r="C41" i="48"/>
  <c r="B41" i="48"/>
  <c r="D40" i="48"/>
  <c r="F40" i="48" s="1"/>
  <c r="C40" i="48"/>
  <c r="E40" i="48" s="1"/>
  <c r="B40" i="48"/>
  <c r="D39" i="48"/>
  <c r="C39" i="48"/>
  <c r="E39" i="48" s="1"/>
  <c r="B39" i="48"/>
  <c r="C38" i="48"/>
  <c r="E38" i="48" s="1"/>
  <c r="B38" i="48"/>
  <c r="C37" i="48"/>
  <c r="E37" i="48" s="1"/>
  <c r="B37" i="48"/>
  <c r="C36" i="48"/>
  <c r="B36" i="48"/>
  <c r="B35" i="48"/>
  <c r="E126" i="47"/>
  <c r="C126" i="47"/>
  <c r="B126" i="47"/>
  <c r="B125" i="47"/>
  <c r="E125" i="47" s="1"/>
  <c r="B124" i="47"/>
  <c r="E124" i="47" s="1"/>
  <c r="B123" i="47"/>
  <c r="E123" i="47" s="1"/>
  <c r="E122" i="47"/>
  <c r="C122" i="47"/>
  <c r="B122" i="47"/>
  <c r="E121" i="47"/>
  <c r="B121" i="47"/>
  <c r="C121" i="47" s="1"/>
  <c r="B120" i="47"/>
  <c r="E120" i="47" s="1"/>
  <c r="B119" i="47"/>
  <c r="C119" i="47" s="1"/>
  <c r="D119" i="47" s="1"/>
  <c r="B52" i="47"/>
  <c r="E52" i="47" s="1"/>
  <c r="B51" i="47"/>
  <c r="E51" i="47" s="1"/>
  <c r="B50" i="47"/>
  <c r="E50" i="47" s="1"/>
  <c r="E49" i="47"/>
  <c r="B49" i="47"/>
  <c r="C49" i="47" s="1"/>
  <c r="E48" i="47"/>
  <c r="B48" i="47"/>
  <c r="C48" i="47" s="1"/>
  <c r="E47" i="47"/>
  <c r="C47" i="47"/>
  <c r="B47" i="47"/>
  <c r="E46" i="47"/>
  <c r="C46" i="47"/>
  <c r="B46" i="47"/>
  <c r="B45" i="47"/>
  <c r="E45" i="47" s="1"/>
  <c r="F126" i="46"/>
  <c r="F125" i="46"/>
  <c r="F124" i="46"/>
  <c r="F122" i="46"/>
  <c r="B121" i="46"/>
  <c r="F119" i="46"/>
  <c r="F117" i="46"/>
  <c r="F116" i="46"/>
  <c r="F112" i="46"/>
  <c r="D112" i="46"/>
  <c r="E112" i="46" s="1"/>
  <c r="C112" i="46"/>
  <c r="F111" i="46"/>
  <c r="D111" i="46"/>
  <c r="E111" i="46" s="1"/>
  <c r="C111" i="46"/>
  <c r="B111" i="46"/>
  <c r="B112" i="46" s="1"/>
  <c r="F110" i="46"/>
  <c r="E110" i="46"/>
  <c r="D110" i="46"/>
  <c r="C110" i="46"/>
  <c r="H94" i="46"/>
  <c r="G94" i="46"/>
  <c r="F94" i="46"/>
  <c r="E94" i="46"/>
  <c r="D94" i="46"/>
  <c r="C94" i="46"/>
  <c r="F121" i="46" s="1"/>
  <c r="B68" i="46"/>
  <c r="B69" i="46" s="1"/>
  <c r="B70" i="46" s="1"/>
  <c r="B71" i="46" s="1"/>
  <c r="B72" i="46" s="1"/>
  <c r="B73" i="46" s="1"/>
  <c r="B74" i="46" s="1"/>
  <c r="B75" i="46" s="1"/>
  <c r="B76" i="46" s="1"/>
  <c r="B77" i="46" s="1"/>
  <c r="B78" i="46" s="1"/>
  <c r="C52" i="46"/>
  <c r="D52" i="46" s="1"/>
  <c r="C51" i="46"/>
  <c r="D51" i="46" s="1"/>
  <c r="C50" i="46"/>
  <c r="D50" i="46" s="1"/>
  <c r="C49" i="46"/>
  <c r="D49" i="46" s="1"/>
  <c r="C48" i="46"/>
  <c r="D48" i="46" s="1"/>
  <c r="D54" i="46" s="1"/>
  <c r="C47" i="46"/>
  <c r="D47" i="46" s="1"/>
  <c r="C46" i="46"/>
  <c r="D46" i="46" s="1"/>
  <c r="C45" i="46"/>
  <c r="D45" i="46" s="1"/>
  <c r="C44" i="46"/>
  <c r="D44" i="46" s="1"/>
  <c r="C43" i="46"/>
  <c r="D43" i="46" s="1"/>
  <c r="B43" i="46"/>
  <c r="B44" i="46" s="1"/>
  <c r="B45" i="46" s="1"/>
  <c r="B46" i="46" s="1"/>
  <c r="B47" i="46" s="1"/>
  <c r="B48" i="46" s="1"/>
  <c r="B49" i="46" s="1"/>
  <c r="B50" i="46" s="1"/>
  <c r="B51" i="46" s="1"/>
  <c r="B52" i="46" s="1"/>
  <c r="D64" i="46" s="1"/>
  <c r="C78" i="46" s="1"/>
  <c r="C77" i="46" s="1"/>
  <c r="C76" i="46" s="1"/>
  <c r="C75" i="46" s="1"/>
  <c r="C74" i="46" s="1"/>
  <c r="C73" i="46" s="1"/>
  <c r="C72" i="46" s="1"/>
  <c r="C71" i="46" s="1"/>
  <c r="C70" i="46" s="1"/>
  <c r="C69" i="46" s="1"/>
  <c r="C68" i="46" s="1"/>
  <c r="C67" i="46" s="1"/>
  <c r="C42" i="46"/>
  <c r="D42" i="46" s="1"/>
  <c r="B42" i="46"/>
  <c r="C41" i="46"/>
  <c r="H125" i="45"/>
  <c r="E125" i="45"/>
  <c r="C125" i="45"/>
  <c r="H124" i="45"/>
  <c r="E124" i="45"/>
  <c r="C124" i="45"/>
  <c r="H123" i="45"/>
  <c r="E123" i="45"/>
  <c r="C123" i="45"/>
  <c r="H122" i="45"/>
  <c r="E122" i="45"/>
  <c r="C122" i="45"/>
  <c r="H121" i="45"/>
  <c r="E121" i="45"/>
  <c r="C121" i="45"/>
  <c r="H119" i="45"/>
  <c r="F99" i="45"/>
  <c r="E99" i="45"/>
  <c r="D99" i="45"/>
  <c r="J97" i="45"/>
  <c r="C97" i="45"/>
  <c r="J96" i="45"/>
  <c r="C96" i="45"/>
  <c r="J95" i="45"/>
  <c r="C95" i="45"/>
  <c r="J94" i="45"/>
  <c r="C94" i="45"/>
  <c r="C87" i="45"/>
  <c r="C86" i="45"/>
  <c r="H85" i="45"/>
  <c r="H84" i="45"/>
  <c r="G84" i="45"/>
  <c r="H83" i="45"/>
  <c r="G83" i="45"/>
  <c r="F83" i="45"/>
  <c r="H82" i="45"/>
  <c r="H86" i="45" s="1"/>
  <c r="G82" i="45"/>
  <c r="F82" i="45"/>
  <c r="E82" i="45"/>
  <c r="H81" i="45"/>
  <c r="G81" i="45"/>
  <c r="G86" i="45" s="1"/>
  <c r="F81" i="45"/>
  <c r="E81" i="45"/>
  <c r="D81" i="45"/>
  <c r="D86" i="45" s="1"/>
  <c r="D87" i="45" s="1"/>
  <c r="H80" i="45"/>
  <c r="G80" i="45"/>
  <c r="F80" i="45"/>
  <c r="F86" i="45" s="1"/>
  <c r="E80" i="45"/>
  <c r="E86" i="45" s="1"/>
  <c r="D80" i="45"/>
  <c r="C80" i="45"/>
  <c r="C79" i="45"/>
  <c r="D79" i="45" s="1"/>
  <c r="E79" i="45" s="1"/>
  <c r="F79" i="45" s="1"/>
  <c r="G79" i="45" s="1"/>
  <c r="H79" i="45" s="1"/>
  <c r="C75" i="45"/>
  <c r="C76" i="45" s="1"/>
  <c r="H74" i="45"/>
  <c r="H73" i="45"/>
  <c r="G73" i="45"/>
  <c r="H72" i="45"/>
  <c r="G72" i="45"/>
  <c r="F72" i="45"/>
  <c r="H71" i="45"/>
  <c r="G71" i="45"/>
  <c r="F71" i="45"/>
  <c r="F75" i="45" s="1"/>
  <c r="E71" i="45"/>
  <c r="H70" i="45"/>
  <c r="G70" i="45"/>
  <c r="G75" i="45" s="1"/>
  <c r="F70" i="45"/>
  <c r="E70" i="45"/>
  <c r="D70" i="45"/>
  <c r="H69" i="45"/>
  <c r="H75" i="45" s="1"/>
  <c r="G69" i="45"/>
  <c r="F69" i="45"/>
  <c r="E69" i="45"/>
  <c r="E75" i="45" s="1"/>
  <c r="D69" i="45"/>
  <c r="D75" i="45" s="1"/>
  <c r="D76" i="45" s="1"/>
  <c r="C69" i="45"/>
  <c r="C68" i="45"/>
  <c r="D68" i="45" s="1"/>
  <c r="E68" i="45" s="1"/>
  <c r="F68" i="45" s="1"/>
  <c r="G68" i="45" s="1"/>
  <c r="H68" i="45" s="1"/>
  <c r="F63" i="45"/>
  <c r="F62" i="45"/>
  <c r="F61" i="45"/>
  <c r="I38" i="44"/>
  <c r="Y37" i="44"/>
  <c r="U37" i="44"/>
  <c r="Q37" i="44"/>
  <c r="Q25" i="44"/>
  <c r="U25" i="44" s="1"/>
  <c r="Y25" i="44" s="1"/>
  <c r="G25" i="44"/>
  <c r="C201" i="43"/>
  <c r="C200" i="43"/>
  <c r="C199" i="43"/>
  <c r="C198" i="43"/>
  <c r="B198" i="43"/>
  <c r="C197" i="43"/>
  <c r="C196" i="43"/>
  <c r="C195" i="43"/>
  <c r="C184" i="43"/>
  <c r="B201" i="43" s="1"/>
  <c r="C182" i="43"/>
  <c r="B199" i="43" s="1"/>
  <c r="C181" i="43"/>
  <c r="C179" i="43"/>
  <c r="B196" i="43" s="1"/>
  <c r="C178" i="43"/>
  <c r="B195" i="43" s="1"/>
  <c r="D168" i="43"/>
  <c r="C168" i="43"/>
  <c r="E168" i="43" s="1"/>
  <c r="B168" i="43"/>
  <c r="D167" i="43"/>
  <c r="C167" i="43"/>
  <c r="E167" i="43" s="1"/>
  <c r="D200" i="43" s="1"/>
  <c r="E200" i="43" s="1"/>
  <c r="B167" i="43"/>
  <c r="C183" i="43" s="1"/>
  <c r="B200" i="43" s="1"/>
  <c r="D166" i="43"/>
  <c r="E166" i="43" s="1"/>
  <c r="D199" i="43" s="1"/>
  <c r="E199" i="43" s="1"/>
  <c r="C166" i="43"/>
  <c r="B166" i="43"/>
  <c r="D165" i="43"/>
  <c r="C165" i="43"/>
  <c r="E165" i="43" s="1"/>
  <c r="D198" i="43" s="1"/>
  <c r="E198" i="43" s="1"/>
  <c r="B165" i="43"/>
  <c r="D164" i="43"/>
  <c r="C164" i="43"/>
  <c r="E164" i="43" s="1"/>
  <c r="D197" i="43" s="1"/>
  <c r="E197" i="43" s="1"/>
  <c r="B164" i="43"/>
  <c r="C180" i="43" s="1"/>
  <c r="B197" i="43" s="1"/>
  <c r="D163" i="43"/>
  <c r="E163" i="43" s="1"/>
  <c r="D196" i="43" s="1"/>
  <c r="E196" i="43" s="1"/>
  <c r="C163" i="43"/>
  <c r="B163" i="43"/>
  <c r="D162" i="43"/>
  <c r="C162" i="43"/>
  <c r="E162" i="43" s="1"/>
  <c r="D195" i="43" s="1"/>
  <c r="E195" i="43" s="1"/>
  <c r="B162" i="43"/>
  <c r="C142" i="43"/>
  <c r="D142" i="43" s="1"/>
  <c r="C141" i="43"/>
  <c r="D141" i="43" s="1"/>
  <c r="C140" i="43"/>
  <c r="D140" i="43" s="1"/>
  <c r="C139" i="43"/>
  <c r="D139" i="43" s="1"/>
  <c r="C138" i="43"/>
  <c r="D138" i="43" s="1"/>
  <c r="C137" i="43"/>
  <c r="D137" i="43" s="1"/>
  <c r="C136" i="43"/>
  <c r="C116" i="43"/>
  <c r="D115" i="43"/>
  <c r="C115" i="43"/>
  <c r="E114" i="43"/>
  <c r="F113" i="43"/>
  <c r="G112" i="43"/>
  <c r="H111" i="43"/>
  <c r="I110" i="43"/>
  <c r="H110" i="43"/>
  <c r="C106" i="43"/>
  <c r="D105" i="43"/>
  <c r="C105" i="43"/>
  <c r="E104" i="43"/>
  <c r="D104" i="43"/>
  <c r="D103" i="43" s="1"/>
  <c r="C104" i="43"/>
  <c r="C103" i="43" s="1"/>
  <c r="F103" i="43"/>
  <c r="F102" i="43" s="1"/>
  <c r="E103" i="43"/>
  <c r="E102" i="43" s="1"/>
  <c r="E112" i="43" s="1"/>
  <c r="G102" i="43"/>
  <c r="H101" i="43"/>
  <c r="G101" i="43"/>
  <c r="G100" i="43" s="1"/>
  <c r="G110" i="43" s="1"/>
  <c r="I100" i="43"/>
  <c r="H100" i="43"/>
  <c r="E43" i="43"/>
  <c r="C43" i="43"/>
  <c r="D42" i="43"/>
  <c r="D41" i="43" s="1"/>
  <c r="C42" i="43"/>
  <c r="B42" i="43"/>
  <c r="C41" i="43"/>
  <c r="C40" i="43"/>
  <c r="B40" i="43"/>
  <c r="C39" i="43"/>
  <c r="C38" i="43"/>
  <c r="B38" i="43"/>
  <c r="C37" i="43"/>
  <c r="D31" i="43"/>
  <c r="E31" i="43" s="1"/>
  <c r="G31" i="43" s="1"/>
  <c r="C31" i="43"/>
  <c r="B31" i="43"/>
  <c r="B43" i="43" s="1"/>
  <c r="F30" i="43"/>
  <c r="D30" i="43"/>
  <c r="E30" i="43" s="1"/>
  <c r="G30" i="43" s="1"/>
  <c r="C30" i="43"/>
  <c r="B30" i="43"/>
  <c r="F29" i="43"/>
  <c r="D29" i="43"/>
  <c r="E29" i="43" s="1"/>
  <c r="C29" i="43"/>
  <c r="B29" i="43"/>
  <c r="B41" i="43" s="1"/>
  <c r="D28" i="43"/>
  <c r="E28" i="43" s="1"/>
  <c r="C28" i="43"/>
  <c r="B28" i="43"/>
  <c r="D27" i="43"/>
  <c r="E27" i="43" s="1"/>
  <c r="C27" i="43"/>
  <c r="B27" i="43"/>
  <c r="B39" i="43" s="1"/>
  <c r="D26" i="43"/>
  <c r="C26" i="43"/>
  <c r="B26" i="43"/>
  <c r="D25" i="43"/>
  <c r="E25" i="43" s="1"/>
  <c r="C25" i="43"/>
  <c r="B25" i="43"/>
  <c r="B37" i="43" s="1"/>
  <c r="D54" i="42"/>
  <c r="B54" i="42"/>
  <c r="C54" i="42" s="1"/>
  <c r="B53" i="42"/>
  <c r="C53" i="42" s="1"/>
  <c r="D52" i="42"/>
  <c r="E48" i="42"/>
  <c r="D53" i="42" s="1"/>
  <c r="E53" i="42" s="1"/>
  <c r="C24" i="42"/>
  <c r="D24" i="42" s="1"/>
  <c r="B24" i="42"/>
  <c r="C23" i="42"/>
  <c r="D23" i="42" s="1"/>
  <c r="B23" i="42"/>
  <c r="C22" i="42"/>
  <c r="D22" i="42" s="1"/>
  <c r="B22" i="42"/>
  <c r="B52" i="42" s="1"/>
  <c r="C52" i="42" s="1"/>
  <c r="C21" i="42"/>
  <c r="B21" i="42"/>
  <c r="C20" i="42"/>
  <c r="D21" i="42" s="1"/>
  <c r="B20" i="42"/>
  <c r="C19" i="42"/>
  <c r="B19" i="42"/>
  <c r="I54" i="41"/>
  <c r="I55" i="41" s="1"/>
  <c r="I56" i="41" s="1"/>
  <c r="F52" i="41"/>
  <c r="Y41" i="41"/>
  <c r="AK41" i="41" s="1"/>
  <c r="I30" i="41"/>
  <c r="I29" i="41"/>
  <c r="I28" i="41"/>
  <c r="I31" i="41" s="1"/>
  <c r="G27" i="41"/>
  <c r="G53" i="41" s="1"/>
  <c r="F27" i="41"/>
  <c r="F53" i="41" s="1"/>
  <c r="E27" i="41"/>
  <c r="H31" i="41" s="1"/>
  <c r="D27" i="41"/>
  <c r="D53" i="41" s="1"/>
  <c r="C27" i="41"/>
  <c r="H32" i="41" s="1"/>
  <c r="G26" i="41"/>
  <c r="G52" i="41" s="1"/>
  <c r="F26" i="41"/>
  <c r="E26" i="41"/>
  <c r="E52" i="41" s="1"/>
  <c r="D26" i="41"/>
  <c r="D52" i="41" s="1"/>
  <c r="C26" i="41"/>
  <c r="C52" i="41" s="1"/>
  <c r="Y23" i="41"/>
  <c r="AK23" i="41" s="1"/>
  <c r="F23" i="61" l="1"/>
  <c r="F27" i="61" s="1"/>
  <c r="F29" i="61" s="1"/>
  <c r="C41" i="61" s="1"/>
  <c r="F24" i="61"/>
  <c r="F26" i="61"/>
  <c r="D42" i="61"/>
  <c r="B56" i="61"/>
  <c r="D53" i="61"/>
  <c r="B60" i="61"/>
  <c r="B75" i="60"/>
  <c r="B85" i="60"/>
  <c r="B65" i="60"/>
  <c r="B55" i="60"/>
  <c r="B64" i="60" s="1"/>
  <c r="B128" i="60"/>
  <c r="B118" i="60"/>
  <c r="B127" i="60" s="1"/>
  <c r="D65" i="60"/>
  <c r="D128" i="60"/>
  <c r="E128" i="60"/>
  <c r="B66" i="60"/>
  <c r="C85" i="60"/>
  <c r="B129" i="60"/>
  <c r="B86" i="60"/>
  <c r="D75" i="59"/>
  <c r="D93" i="59" s="1"/>
  <c r="D74" i="59"/>
  <c r="D92" i="59" s="1"/>
  <c r="D77" i="59"/>
  <c r="D95" i="59" s="1"/>
  <c r="D76" i="59"/>
  <c r="D94" i="59" s="1"/>
  <c r="D73" i="59"/>
  <c r="D91" i="59" s="1"/>
  <c r="E74" i="59"/>
  <c r="E92" i="59" s="1"/>
  <c r="E76" i="59"/>
  <c r="E94" i="59" s="1"/>
  <c r="E73" i="59"/>
  <c r="E91" i="59" s="1"/>
  <c r="E75" i="59"/>
  <c r="E93" i="59" s="1"/>
  <c r="C46" i="59"/>
  <c r="C69" i="59"/>
  <c r="D46" i="59"/>
  <c r="E48" i="59"/>
  <c r="F69" i="59"/>
  <c r="G73" i="59"/>
  <c r="G91" i="59" s="1"/>
  <c r="D53" i="58"/>
  <c r="D52" i="58"/>
  <c r="E53" i="58"/>
  <c r="D56" i="58"/>
  <c r="E63" i="58" s="1"/>
  <c r="F63" i="58" s="1"/>
  <c r="E51" i="58"/>
  <c r="E54" i="58"/>
  <c r="D65" i="58"/>
  <c r="I35" i="57"/>
  <c r="I36" i="57" s="1"/>
  <c r="E38" i="56"/>
  <c r="G35" i="56"/>
  <c r="F97" i="55"/>
  <c r="G97" i="55" s="1"/>
  <c r="D96" i="55"/>
  <c r="F96" i="55"/>
  <c r="G96" i="55" s="1"/>
  <c r="I97" i="55"/>
  <c r="J97" i="55" s="1"/>
  <c r="K97" i="55" s="1"/>
  <c r="D51" i="55"/>
  <c r="D32" i="55"/>
  <c r="M57" i="53"/>
  <c r="N57" i="53" s="1"/>
  <c r="N58" i="53" s="1"/>
  <c r="I57" i="53" s="1"/>
  <c r="I58" i="53" s="1"/>
  <c r="C52" i="53"/>
  <c r="E52" i="53"/>
  <c r="F52" i="53"/>
  <c r="F70" i="52"/>
  <c r="G68" i="52"/>
  <c r="G70" i="52" s="1"/>
  <c r="E76" i="52"/>
  <c r="F76" i="52" s="1"/>
  <c r="C37" i="51"/>
  <c r="F33" i="50"/>
  <c r="E44" i="50"/>
  <c r="D125" i="50"/>
  <c r="H125" i="50" s="1"/>
  <c r="D51" i="49"/>
  <c r="F52" i="49"/>
  <c r="G52" i="49" s="1"/>
  <c r="G53" i="49"/>
  <c r="C46" i="49"/>
  <c r="C50" i="49"/>
  <c r="C52" i="49"/>
  <c r="C77" i="49"/>
  <c r="D62" i="48"/>
  <c r="E62" i="48"/>
  <c r="F52" i="48"/>
  <c r="F50" i="48"/>
  <c r="E61" i="48" s="1"/>
  <c r="E64" i="48" s="1"/>
  <c r="E65" i="48" s="1"/>
  <c r="E84" i="48" s="1"/>
  <c r="E42" i="48"/>
  <c r="D60" i="48" s="1"/>
  <c r="E53" i="47"/>
  <c r="C52" i="47"/>
  <c r="C120" i="47"/>
  <c r="D120" i="47" s="1"/>
  <c r="F120" i="47" s="1"/>
  <c r="C45" i="47"/>
  <c r="D45" i="47" s="1"/>
  <c r="F45" i="47" s="1"/>
  <c r="C125" i="47"/>
  <c r="C50" i="47"/>
  <c r="C123" i="47"/>
  <c r="C51" i="47"/>
  <c r="E119" i="47"/>
  <c r="C124" i="47"/>
  <c r="E113" i="46"/>
  <c r="D55" i="46"/>
  <c r="D57" i="46" s="1"/>
  <c r="D53" i="46"/>
  <c r="D95" i="45"/>
  <c r="F76" i="45"/>
  <c r="E87" i="45"/>
  <c r="F87" i="45" s="1"/>
  <c r="G87" i="45" s="1"/>
  <c r="H87" i="45" s="1"/>
  <c r="F94" i="45"/>
  <c r="F97" i="45"/>
  <c r="D94" i="45"/>
  <c r="E76" i="45"/>
  <c r="F95" i="45"/>
  <c r="F96" i="45"/>
  <c r="D96" i="45"/>
  <c r="G76" i="45"/>
  <c r="D97" i="45"/>
  <c r="E41" i="43"/>
  <c r="D40" i="43"/>
  <c r="C102" i="43"/>
  <c r="C113" i="43"/>
  <c r="F28" i="43"/>
  <c r="G29" i="43"/>
  <c r="F112" i="43"/>
  <c r="F101" i="43"/>
  <c r="D102" i="43"/>
  <c r="D113" i="43"/>
  <c r="D144" i="43"/>
  <c r="D146" i="43" s="1"/>
  <c r="F175" i="43" s="1"/>
  <c r="D183" i="43" s="1"/>
  <c r="D145" i="43"/>
  <c r="D143" i="43"/>
  <c r="E184" i="43"/>
  <c r="D201" i="43"/>
  <c r="E201" i="43" s="1"/>
  <c r="E101" i="43"/>
  <c r="E26" i="43"/>
  <c r="E42" i="43"/>
  <c r="E113" i="43"/>
  <c r="C114" i="43"/>
  <c r="G111" i="43"/>
  <c r="D114" i="43"/>
  <c r="D31" i="42"/>
  <c r="F53" i="42"/>
  <c r="G53" i="42" s="1"/>
  <c r="H53" i="42"/>
  <c r="E52" i="42"/>
  <c r="E54" i="42"/>
  <c r="D20" i="42"/>
  <c r="D30" i="42" s="1"/>
  <c r="H34" i="41"/>
  <c r="H35" i="41" s="1"/>
  <c r="E53" i="41"/>
  <c r="H28" i="41"/>
  <c r="H33" i="41" s="1"/>
  <c r="H29" i="41"/>
  <c r="H30" i="41"/>
  <c r="C53" i="41"/>
  <c r="D41" i="61" l="1"/>
  <c r="C40" i="61"/>
  <c r="D52" i="61"/>
  <c r="E53" i="61"/>
  <c r="B84" i="60"/>
  <c r="B74" i="60"/>
  <c r="C73" i="59"/>
  <c r="C91" i="59" s="1"/>
  <c r="C75" i="59"/>
  <c r="C93" i="59" s="1"/>
  <c r="C74" i="59"/>
  <c r="C92" i="59" s="1"/>
  <c r="C78" i="59"/>
  <c r="C96" i="59" s="1"/>
  <c r="C77" i="59"/>
  <c r="C95" i="59" s="1"/>
  <c r="C76" i="59"/>
  <c r="C94" i="59" s="1"/>
  <c r="F74" i="59"/>
  <c r="F92" i="59" s="1"/>
  <c r="F73" i="59"/>
  <c r="F91" i="59" s="1"/>
  <c r="F75" i="59"/>
  <c r="F93" i="59" s="1"/>
  <c r="E56" i="58"/>
  <c r="E64" i="58" s="1"/>
  <c r="F64" i="58" s="1"/>
  <c r="D70" i="58" s="1"/>
  <c r="D84" i="58" s="1"/>
  <c r="I35" i="56"/>
  <c r="G34" i="56"/>
  <c r="I96" i="55"/>
  <c r="J96" i="55" s="1"/>
  <c r="K96" i="55" s="1"/>
  <c r="D95" i="55"/>
  <c r="H58" i="53"/>
  <c r="C63" i="53"/>
  <c r="D63" i="53" s="1"/>
  <c r="G76" i="52"/>
  <c r="G77" i="52" s="1"/>
  <c r="E84" i="52" s="1"/>
  <c r="E113" i="52" s="1"/>
  <c r="F77" i="52"/>
  <c r="D84" i="52" s="1"/>
  <c r="E114" i="52" s="1"/>
  <c r="E77" i="52"/>
  <c r="C84" i="52" s="1"/>
  <c r="D38" i="51"/>
  <c r="D39" i="51" s="1"/>
  <c r="D40" i="51" s="1"/>
  <c r="C53" i="51"/>
  <c r="F44" i="50"/>
  <c r="G33" i="50"/>
  <c r="F51" i="49"/>
  <c r="G51" i="49" s="1"/>
  <c r="D50" i="49"/>
  <c r="C54" i="49"/>
  <c r="D61" i="48"/>
  <c r="E60" i="48"/>
  <c r="D121" i="47"/>
  <c r="D46" i="47"/>
  <c r="E127" i="47"/>
  <c r="F119" i="47"/>
  <c r="D76" i="46"/>
  <c r="E76" i="46" s="1"/>
  <c r="D73" i="46"/>
  <c r="E73" i="46" s="1"/>
  <c r="D70" i="46"/>
  <c r="E70" i="46" s="1"/>
  <c r="D67" i="46"/>
  <c r="E67" i="46" s="1"/>
  <c r="D78" i="46"/>
  <c r="E78" i="46" s="1"/>
  <c r="D75" i="46"/>
  <c r="E75" i="46" s="1"/>
  <c r="D72" i="46"/>
  <c r="E72" i="46" s="1"/>
  <c r="D69" i="46"/>
  <c r="E69" i="46" s="1"/>
  <c r="D77" i="46"/>
  <c r="E77" i="46" s="1"/>
  <c r="D74" i="46"/>
  <c r="E74" i="46" s="1"/>
  <c r="E80" i="46" s="1"/>
  <c r="D71" i="46"/>
  <c r="E71" i="46" s="1"/>
  <c r="D68" i="46"/>
  <c r="E68" i="46" s="1"/>
  <c r="G89" i="45"/>
  <c r="E96" i="45" s="1"/>
  <c r="G96" i="45" s="1"/>
  <c r="H96" i="45" s="1"/>
  <c r="K96" i="45" s="1"/>
  <c r="F89" i="45"/>
  <c r="E95" i="45" s="1"/>
  <c r="G95" i="45"/>
  <c r="H95" i="45" s="1"/>
  <c r="K95" i="45" s="1"/>
  <c r="E89" i="45"/>
  <c r="E94" i="45" s="1"/>
  <c r="G94" i="45"/>
  <c r="H94" i="45" s="1"/>
  <c r="K94" i="45" s="1"/>
  <c r="H76" i="45"/>
  <c r="H89" i="45" s="1"/>
  <c r="E97" i="45" s="1"/>
  <c r="D121" i="45" s="1"/>
  <c r="E183" i="43"/>
  <c r="D182" i="43"/>
  <c r="D101" i="43"/>
  <c r="D112" i="43"/>
  <c r="F100" i="43"/>
  <c r="F110" i="43" s="1"/>
  <c r="F111" i="43"/>
  <c r="E100" i="43"/>
  <c r="E110" i="43" s="1"/>
  <c r="E111" i="43"/>
  <c r="F27" i="43"/>
  <c r="G28" i="43"/>
  <c r="C101" i="43"/>
  <c r="C112" i="43"/>
  <c r="D39" i="43"/>
  <c r="E40" i="43"/>
  <c r="H54" i="42"/>
  <c r="F54" i="42"/>
  <c r="G54" i="42" s="1"/>
  <c r="H52" i="42"/>
  <c r="F52" i="42"/>
  <c r="G52" i="42" s="1"/>
  <c r="I52" i="42" s="1"/>
  <c r="I53" i="42"/>
  <c r="H57" i="41"/>
  <c r="H56" i="41"/>
  <c r="H55" i="41"/>
  <c r="H54" i="41"/>
  <c r="E52" i="61" l="1"/>
  <c r="E58" i="61" s="1"/>
  <c r="E60" i="61" s="1"/>
  <c r="D51" i="61"/>
  <c r="C39" i="61"/>
  <c r="D40" i="61"/>
  <c r="B83" i="60"/>
  <c r="B73" i="60"/>
  <c r="B82" i="60" s="1"/>
  <c r="E65" i="58"/>
  <c r="F65" i="58" s="1"/>
  <c r="I34" i="56"/>
  <c r="G33" i="56"/>
  <c r="D94" i="55"/>
  <c r="F95" i="55"/>
  <c r="G95" i="55" s="1"/>
  <c r="I95" i="55"/>
  <c r="J95" i="55" s="1"/>
  <c r="K95" i="55" s="1"/>
  <c r="K99" i="55" s="1"/>
  <c r="K100" i="55" s="1"/>
  <c r="D103" i="55" s="1"/>
  <c r="G58" i="53"/>
  <c r="C64" i="53"/>
  <c r="D64" i="53" s="1"/>
  <c r="E115" i="52"/>
  <c r="D54" i="51"/>
  <c r="D55" i="51" s="1"/>
  <c r="D56" i="51" s="1"/>
  <c r="F58" i="51" s="1"/>
  <c r="G44" i="50"/>
  <c r="H33" i="50"/>
  <c r="D49" i="49"/>
  <c r="F50" i="49"/>
  <c r="G50" i="49" s="1"/>
  <c r="D47" i="47"/>
  <c r="F46" i="47"/>
  <c r="D122" i="47"/>
  <c r="F121" i="47"/>
  <c r="E79" i="46"/>
  <c r="E81" i="46"/>
  <c r="E83" i="46" s="1"/>
  <c r="F115" i="46" s="1"/>
  <c r="F118" i="46" s="1"/>
  <c r="F120" i="46" s="1"/>
  <c r="F123" i="46" s="1"/>
  <c r="F127" i="46" s="1"/>
  <c r="G97" i="45"/>
  <c r="H97" i="45" s="1"/>
  <c r="K97" i="45" s="1"/>
  <c r="K100" i="45" s="1"/>
  <c r="D122" i="45"/>
  <c r="F121" i="45"/>
  <c r="D100" i="43"/>
  <c r="D110" i="43" s="1"/>
  <c r="D111" i="43"/>
  <c r="D38" i="43"/>
  <c r="E39" i="43"/>
  <c r="E45" i="43" s="1"/>
  <c r="E46" i="43" s="1"/>
  <c r="C111" i="43"/>
  <c r="C100" i="43"/>
  <c r="C110" i="43" s="1"/>
  <c r="G27" i="43"/>
  <c r="F26" i="43"/>
  <c r="D181" i="43"/>
  <c r="E182" i="43"/>
  <c r="I54" i="42"/>
  <c r="I55" i="42" s="1"/>
  <c r="H58" i="41"/>
  <c r="H59" i="41" s="1"/>
  <c r="C38" i="61" l="1"/>
  <c r="D39" i="61"/>
  <c r="D45" i="61" s="1"/>
  <c r="D50" i="61"/>
  <c r="E50" i="61" s="1"/>
  <c r="E57" i="61" s="1"/>
  <c r="E51" i="61"/>
  <c r="F50" i="61"/>
  <c r="F52" i="61"/>
  <c r="F54" i="61"/>
  <c r="F51" i="61"/>
  <c r="F55" i="61"/>
  <c r="F53" i="61"/>
  <c r="I33" i="56"/>
  <c r="G32" i="56"/>
  <c r="I32" i="56" s="1"/>
  <c r="I38" i="56" s="1"/>
  <c r="I40" i="56" s="1"/>
  <c r="D93" i="55"/>
  <c r="I94" i="55"/>
  <c r="J94" i="55" s="1"/>
  <c r="F94" i="55"/>
  <c r="G94" i="55" s="1"/>
  <c r="F58" i="53"/>
  <c r="C65" i="53"/>
  <c r="D65" i="53" s="1"/>
  <c r="H44" i="50"/>
  <c r="I33" i="50"/>
  <c r="I44" i="50" s="1"/>
  <c r="F49" i="49"/>
  <c r="G49" i="49" s="1"/>
  <c r="D48" i="49"/>
  <c r="F47" i="47"/>
  <c r="D48" i="47"/>
  <c r="F122" i="47"/>
  <c r="D123" i="47"/>
  <c r="I125" i="45"/>
  <c r="I123" i="45"/>
  <c r="I121" i="45"/>
  <c r="I124" i="45"/>
  <c r="I122" i="45"/>
  <c r="J121" i="45"/>
  <c r="D123" i="45"/>
  <c r="F122" i="45"/>
  <c r="J122" i="45" s="1"/>
  <c r="F41" i="43"/>
  <c r="F39" i="43"/>
  <c r="F37" i="43"/>
  <c r="F43" i="43"/>
  <c r="F42" i="43"/>
  <c r="F40" i="43"/>
  <c r="F38" i="43"/>
  <c r="E181" i="43"/>
  <c r="D180" i="43"/>
  <c r="F25" i="43"/>
  <c r="G25" i="43" s="1"/>
  <c r="G26" i="43"/>
  <c r="D37" i="43"/>
  <c r="E37" i="43" s="1"/>
  <c r="E38" i="43"/>
  <c r="E59" i="61" l="1"/>
  <c r="D38" i="61"/>
  <c r="D46" i="61" s="1"/>
  <c r="D47" i="61" s="1"/>
  <c r="C37" i="61"/>
  <c r="D37" i="61" s="1"/>
  <c r="D44" i="61" s="1"/>
  <c r="J33" i="56"/>
  <c r="K33" i="56" s="1"/>
  <c r="J34" i="56"/>
  <c r="K34" i="56" s="1"/>
  <c r="J35" i="56"/>
  <c r="K35" i="56" s="1"/>
  <c r="J36" i="56"/>
  <c r="K36" i="56" s="1"/>
  <c r="J37" i="56"/>
  <c r="K37" i="56" s="1"/>
  <c r="J32" i="56"/>
  <c r="K94" i="55"/>
  <c r="I93" i="55"/>
  <c r="J93" i="55" s="1"/>
  <c r="F93" i="55"/>
  <c r="G93" i="55" s="1"/>
  <c r="C66" i="53"/>
  <c r="D66" i="53" s="1"/>
  <c r="E58" i="53"/>
  <c r="D47" i="49"/>
  <c r="F48" i="49"/>
  <c r="G48" i="49" s="1"/>
  <c r="F123" i="47"/>
  <c r="D124" i="47"/>
  <c r="D49" i="47"/>
  <c r="F48" i="47"/>
  <c r="D124" i="45"/>
  <c r="F123" i="45"/>
  <c r="J123" i="45" s="1"/>
  <c r="E44" i="43"/>
  <c r="G32" i="43"/>
  <c r="G33" i="43" s="1"/>
  <c r="E180" i="43"/>
  <c r="D179" i="43"/>
  <c r="E38" i="61" l="1"/>
  <c r="G51" i="61" s="1"/>
  <c r="E41" i="61"/>
  <c r="G54" i="61" s="1"/>
  <c r="E42" i="61"/>
  <c r="G55" i="61" s="1"/>
  <c r="E39" i="61"/>
  <c r="G52" i="61" s="1"/>
  <c r="E37" i="61"/>
  <c r="G50" i="61" s="1"/>
  <c r="E40" i="61"/>
  <c r="G53" i="61" s="1"/>
  <c r="J38" i="56"/>
  <c r="K32" i="56"/>
  <c r="K38" i="56" s="1"/>
  <c r="K93" i="55"/>
  <c r="K98" i="55" s="1"/>
  <c r="D58" i="53"/>
  <c r="C67" i="53"/>
  <c r="D67" i="53" s="1"/>
  <c r="F47" i="49"/>
  <c r="G47" i="49" s="1"/>
  <c r="D46" i="49"/>
  <c r="F46" i="49" s="1"/>
  <c r="F49" i="47"/>
  <c r="D50" i="47"/>
  <c r="F124" i="47"/>
  <c r="D125" i="47"/>
  <c r="D125" i="45"/>
  <c r="F125" i="45" s="1"/>
  <c r="J125" i="45" s="1"/>
  <c r="F124" i="45"/>
  <c r="J124" i="45" s="1"/>
  <c r="J126" i="45" s="1"/>
  <c r="D178" i="43"/>
  <c r="E178" i="43" s="1"/>
  <c r="E179" i="43"/>
  <c r="H25" i="43"/>
  <c r="G37" i="43" s="1"/>
  <c r="G44" i="43" s="1"/>
  <c r="H30" i="43"/>
  <c r="G42" i="43" s="1"/>
  <c r="H28" i="43"/>
  <c r="G40" i="43" s="1"/>
  <c r="H26" i="43"/>
  <c r="G38" i="43" s="1"/>
  <c r="H29" i="43"/>
  <c r="G41" i="43" s="1"/>
  <c r="H31" i="43"/>
  <c r="G43" i="43" s="1"/>
  <c r="H27" i="43"/>
  <c r="G39" i="43" s="1"/>
  <c r="G56" i="61" l="1"/>
  <c r="C68" i="53"/>
  <c r="D68" i="53" s="1"/>
  <c r="D70" i="53" s="1"/>
  <c r="C58" i="53"/>
  <c r="C69" i="53" s="1"/>
  <c r="D69" i="53" s="1"/>
  <c r="F54" i="49"/>
  <c r="G54" i="49" s="1"/>
  <c r="G46" i="49"/>
  <c r="D126" i="47"/>
  <c r="F126" i="47" s="1"/>
  <c r="F125" i="47"/>
  <c r="F50" i="47"/>
  <c r="D51" i="47"/>
  <c r="E185" i="43"/>
  <c r="E186" i="43"/>
  <c r="E187" i="43" s="1"/>
  <c r="F62" i="40"/>
  <c r="F63" i="40" s="1"/>
  <c r="G59" i="40"/>
  <c r="F38" i="40"/>
  <c r="G38" i="40" s="1"/>
  <c r="H38" i="40" s="1"/>
  <c r="K38" i="40" s="1"/>
  <c r="E38" i="40"/>
  <c r="D38" i="40"/>
  <c r="J38" i="40" s="1"/>
  <c r="C38" i="40"/>
  <c r="B38" i="40"/>
  <c r="E37" i="40"/>
  <c r="D37" i="40"/>
  <c r="J37" i="40" s="1"/>
  <c r="C37" i="40"/>
  <c r="I37" i="40" s="1"/>
  <c r="B37" i="40"/>
  <c r="F37" i="40" s="1"/>
  <c r="G37" i="40" s="1"/>
  <c r="H37" i="40" s="1"/>
  <c r="K37" i="40" s="1"/>
  <c r="E36" i="40"/>
  <c r="D36" i="40"/>
  <c r="J36" i="40" s="1"/>
  <c r="C36" i="40"/>
  <c r="I36" i="40" s="1"/>
  <c r="B36" i="40"/>
  <c r="F36" i="40" s="1"/>
  <c r="G36" i="40" s="1"/>
  <c r="H36" i="40" s="1"/>
  <c r="K36" i="40" s="1"/>
  <c r="J35" i="40"/>
  <c r="F35" i="40"/>
  <c r="G35" i="40" s="1"/>
  <c r="H35" i="40" s="1"/>
  <c r="K35" i="40" s="1"/>
  <c r="E35" i="40"/>
  <c r="D35" i="40"/>
  <c r="C35" i="40"/>
  <c r="I35" i="40" s="1"/>
  <c r="B35" i="40"/>
  <c r="I34" i="40"/>
  <c r="E34" i="40"/>
  <c r="D34" i="40"/>
  <c r="C34" i="40"/>
  <c r="B34" i="40"/>
  <c r="F34" i="40" s="1"/>
  <c r="G34" i="40" s="1"/>
  <c r="H34" i="40" s="1"/>
  <c r="J33" i="40"/>
  <c r="I33" i="40"/>
  <c r="F33" i="40"/>
  <c r="G33" i="40" s="1"/>
  <c r="H33" i="40" s="1"/>
  <c r="K33" i="40" s="1"/>
  <c r="E33" i="40"/>
  <c r="D33" i="40"/>
  <c r="C33" i="40"/>
  <c r="B33" i="40"/>
  <c r="F32" i="40"/>
  <c r="G32" i="40" s="1"/>
  <c r="H32" i="40" s="1"/>
  <c r="E32" i="40"/>
  <c r="E39" i="40" s="1"/>
  <c r="D32" i="40"/>
  <c r="I32" i="40" s="1"/>
  <c r="C32" i="40"/>
  <c r="B32" i="40"/>
  <c r="H56" i="39"/>
  <c r="H57" i="39" s="1"/>
  <c r="H54" i="39"/>
  <c r="H55" i="39" s="1"/>
  <c r="F51" i="39"/>
  <c r="H39" i="39"/>
  <c r="G39" i="39"/>
  <c r="H37" i="39"/>
  <c r="G37" i="39"/>
  <c r="F37" i="39"/>
  <c r="F39" i="39" s="1"/>
  <c r="E37" i="39"/>
  <c r="B28" i="39"/>
  <c r="B27" i="39"/>
  <c r="I15" i="39"/>
  <c r="I37" i="39" s="1"/>
  <c r="I39" i="39" s="1"/>
  <c r="H15" i="39"/>
  <c r="G15" i="39"/>
  <c r="F15" i="39"/>
  <c r="E15" i="39"/>
  <c r="F91" i="38"/>
  <c r="F90" i="38" s="1"/>
  <c r="F89" i="38" s="1"/>
  <c r="F88" i="38" s="1"/>
  <c r="F87" i="38" s="1"/>
  <c r="F86" i="38" s="1"/>
  <c r="F85" i="38" s="1"/>
  <c r="F84" i="38" s="1"/>
  <c r="B91" i="38"/>
  <c r="B90" i="38" s="1"/>
  <c r="B89" i="38" s="1"/>
  <c r="B88" i="38" s="1"/>
  <c r="B87" i="38" s="1"/>
  <c r="B86" i="38" s="1"/>
  <c r="B85" i="38" s="1"/>
  <c r="B84" i="38" s="1"/>
  <c r="B75" i="38"/>
  <c r="B74" i="38" s="1"/>
  <c r="B73" i="38" s="1"/>
  <c r="B72" i="38" s="1"/>
  <c r="B71" i="38" s="1"/>
  <c r="B70" i="38" s="1"/>
  <c r="B69" i="38" s="1"/>
  <c r="B68" i="38" s="1"/>
  <c r="D71" i="38"/>
  <c r="D68" i="38"/>
  <c r="E57" i="38"/>
  <c r="E56" i="38"/>
  <c r="G56" i="38" s="1"/>
  <c r="D92" i="38" s="1"/>
  <c r="C56" i="38"/>
  <c r="D76" i="38" s="1"/>
  <c r="F55" i="38"/>
  <c r="F54" i="38" s="1"/>
  <c r="E55" i="38"/>
  <c r="C55" i="38"/>
  <c r="D75" i="38" s="1"/>
  <c r="B55" i="38"/>
  <c r="E54" i="38"/>
  <c r="B54" i="38"/>
  <c r="B53" i="38" s="1"/>
  <c r="B52" i="38" s="1"/>
  <c r="B51" i="38" s="1"/>
  <c r="B50" i="38" s="1"/>
  <c r="B49" i="38" s="1"/>
  <c r="B48" i="38" s="1"/>
  <c r="E53" i="38"/>
  <c r="E52" i="38"/>
  <c r="E51" i="38"/>
  <c r="C51" i="38"/>
  <c r="E50" i="38"/>
  <c r="C50" i="38"/>
  <c r="D70" i="38" s="1"/>
  <c r="E49" i="38"/>
  <c r="C49" i="38"/>
  <c r="D69" i="38" s="1"/>
  <c r="E48" i="38"/>
  <c r="C48" i="38"/>
  <c r="G44" i="38"/>
  <c r="D44" i="38"/>
  <c r="E41" i="38" s="1"/>
  <c r="F41" i="38" s="1"/>
  <c r="C44" i="38"/>
  <c r="G43" i="38"/>
  <c r="C43" i="38"/>
  <c r="B43" i="38"/>
  <c r="B42" i="38" s="1"/>
  <c r="B41" i="38" s="1"/>
  <c r="B40" i="38" s="1"/>
  <c r="B39" i="38" s="1"/>
  <c r="B38" i="38" s="1"/>
  <c r="B37" i="38" s="1"/>
  <c r="B36" i="38" s="1"/>
  <c r="G42" i="38"/>
  <c r="C54" i="38" s="1"/>
  <c r="D74" i="38" s="1"/>
  <c r="C42" i="38"/>
  <c r="G41" i="38"/>
  <c r="C53" i="38" s="1"/>
  <c r="D73" i="38" s="1"/>
  <c r="C41" i="38"/>
  <c r="G40" i="38"/>
  <c r="C52" i="38" s="1"/>
  <c r="D72" i="38" s="1"/>
  <c r="E40" i="38"/>
  <c r="C40" i="38"/>
  <c r="F40" i="38" s="1"/>
  <c r="G39" i="38"/>
  <c r="C39" i="38"/>
  <c r="G38" i="38"/>
  <c r="D38" i="38"/>
  <c r="C38" i="38"/>
  <c r="G37" i="38"/>
  <c r="C37" i="38"/>
  <c r="G36" i="38"/>
  <c r="C36" i="38"/>
  <c r="C35" i="38"/>
  <c r="D21" i="38"/>
  <c r="C21" i="38"/>
  <c r="E47" i="37"/>
  <c r="D47" i="37"/>
  <c r="F47" i="37" s="1"/>
  <c r="C47" i="37"/>
  <c r="F46" i="37"/>
  <c r="E46" i="37"/>
  <c r="D46" i="37"/>
  <c r="C46" i="37"/>
  <c r="B46" i="37"/>
  <c r="B45" i="37" s="1"/>
  <c r="B44" i="37" s="1"/>
  <c r="E45" i="37"/>
  <c r="D45" i="37"/>
  <c r="C45" i="37"/>
  <c r="F45" i="37" s="1"/>
  <c r="E44" i="37"/>
  <c r="E48" i="37" s="1"/>
  <c r="D44" i="37"/>
  <c r="D48" i="37" s="1"/>
  <c r="C44" i="37"/>
  <c r="F44" i="37" s="1"/>
  <c r="D33" i="37"/>
  <c r="C33" i="37"/>
  <c r="E33" i="37" s="1"/>
  <c r="D32" i="37"/>
  <c r="C32" i="37"/>
  <c r="E32" i="37" s="1"/>
  <c r="B32" i="37"/>
  <c r="B31" i="37" s="1"/>
  <c r="B30" i="37" s="1"/>
  <c r="D31" i="37"/>
  <c r="C31" i="37"/>
  <c r="E31" i="37" s="1"/>
  <c r="D30" i="37"/>
  <c r="D34" i="37" s="1"/>
  <c r="C30" i="37"/>
  <c r="C34" i="37" s="1"/>
  <c r="D17" i="37"/>
  <c r="G11" i="37"/>
  <c r="F11" i="37"/>
  <c r="E11" i="37"/>
  <c r="D11" i="37"/>
  <c r="C11" i="37"/>
  <c r="C152" i="35"/>
  <c r="D151" i="35"/>
  <c r="G148" i="35"/>
  <c r="D148" i="35"/>
  <c r="C143" i="35"/>
  <c r="D142" i="35"/>
  <c r="E141" i="35"/>
  <c r="E150" i="35" s="1"/>
  <c r="D141" i="35"/>
  <c r="D150" i="35" s="1"/>
  <c r="F140" i="35"/>
  <c r="F149" i="35" s="1"/>
  <c r="G139" i="35"/>
  <c r="D139" i="35"/>
  <c r="H138" i="35"/>
  <c r="H147" i="35" s="1"/>
  <c r="E132" i="35"/>
  <c r="E159" i="35" s="1"/>
  <c r="F131" i="35"/>
  <c r="F130" i="35" s="1"/>
  <c r="E131" i="35"/>
  <c r="H129" i="35"/>
  <c r="H120" i="35"/>
  <c r="D120" i="35"/>
  <c r="D138" i="35" s="1"/>
  <c r="D147" i="35" s="1"/>
  <c r="H119" i="35"/>
  <c r="G119" i="35"/>
  <c r="F119" i="35"/>
  <c r="E119" i="35"/>
  <c r="D119" i="35"/>
  <c r="C119" i="35"/>
  <c r="C109" i="35"/>
  <c r="C120" i="35" s="1"/>
  <c r="D108" i="35"/>
  <c r="C108" i="35"/>
  <c r="E107" i="35"/>
  <c r="E120" i="35" s="1"/>
  <c r="D107" i="35"/>
  <c r="C107" i="35"/>
  <c r="F106" i="35"/>
  <c r="F120" i="35" s="1"/>
  <c r="E106" i="35"/>
  <c r="D106" i="35"/>
  <c r="C106" i="35"/>
  <c r="G105" i="35"/>
  <c r="G120" i="35" s="1"/>
  <c r="G138" i="35" s="1"/>
  <c r="G147" i="35" s="1"/>
  <c r="F105" i="35"/>
  <c r="E105" i="35"/>
  <c r="D105" i="35"/>
  <c r="C105" i="35"/>
  <c r="H104" i="35"/>
  <c r="G104" i="35"/>
  <c r="F104" i="35"/>
  <c r="E104" i="35"/>
  <c r="D104" i="35"/>
  <c r="C104" i="35"/>
  <c r="B78" i="35"/>
  <c r="B77" i="35"/>
  <c r="B76" i="35"/>
  <c r="B75" i="35"/>
  <c r="G74" i="35"/>
  <c r="B74" i="35"/>
  <c r="G73" i="35"/>
  <c r="F73" i="35"/>
  <c r="E73" i="35"/>
  <c r="D73" i="35"/>
  <c r="C73" i="35"/>
  <c r="C70" i="35"/>
  <c r="C78" i="35" s="1"/>
  <c r="D69" i="35"/>
  <c r="D77" i="35" s="1"/>
  <c r="C69" i="35"/>
  <c r="C77" i="35" s="1"/>
  <c r="E68" i="35"/>
  <c r="E76" i="35" s="1"/>
  <c r="D68" i="35"/>
  <c r="D76" i="35" s="1"/>
  <c r="C68" i="35"/>
  <c r="C76" i="35" s="1"/>
  <c r="F67" i="35"/>
  <c r="E67" i="35"/>
  <c r="D67" i="35"/>
  <c r="C67" i="35"/>
  <c r="G66" i="35"/>
  <c r="G130" i="35" s="1"/>
  <c r="F66" i="35"/>
  <c r="F74" i="35" s="1"/>
  <c r="E66" i="35"/>
  <c r="E74" i="35" s="1"/>
  <c r="D66" i="35"/>
  <c r="D74" i="35" s="1"/>
  <c r="C66" i="35"/>
  <c r="C74" i="35" s="1"/>
  <c r="H65" i="35"/>
  <c r="G65" i="35"/>
  <c r="F65" i="35"/>
  <c r="E65" i="35"/>
  <c r="D65" i="35"/>
  <c r="C65" i="35"/>
  <c r="I47" i="34"/>
  <c r="C47" i="34"/>
  <c r="I46" i="34"/>
  <c r="I45" i="34"/>
  <c r="C45" i="34"/>
  <c r="I41" i="34"/>
  <c r="I48" i="34" s="1"/>
  <c r="C41" i="34"/>
  <c r="C48" i="34" s="1"/>
  <c r="I40" i="34"/>
  <c r="J40" i="34" s="1"/>
  <c r="J47" i="34" s="1"/>
  <c r="C40" i="34"/>
  <c r="D40" i="34" s="1"/>
  <c r="D47" i="34" s="1"/>
  <c r="I39" i="34"/>
  <c r="J39" i="34" s="1"/>
  <c r="D39" i="34"/>
  <c r="D46" i="34" s="1"/>
  <c r="C39" i="34"/>
  <c r="C46" i="34" s="1"/>
  <c r="I38" i="34"/>
  <c r="J38" i="34" s="1"/>
  <c r="C38" i="34"/>
  <c r="D38" i="34" s="1"/>
  <c r="E32" i="34"/>
  <c r="F31" i="34"/>
  <c r="D73" i="33"/>
  <c r="E73" i="33" s="1"/>
  <c r="D72" i="33"/>
  <c r="E72" i="33" s="1"/>
  <c r="G71" i="33"/>
  <c r="D54" i="33"/>
  <c r="D53" i="33"/>
  <c r="D52" i="33"/>
  <c r="H44" i="33"/>
  <c r="H43" i="33" s="1"/>
  <c r="H45" i="33" s="1"/>
  <c r="C44" i="33"/>
  <c r="G72" i="33" s="1"/>
  <c r="G73" i="33" s="1"/>
  <c r="B44" i="33"/>
  <c r="I43" i="33"/>
  <c r="I44" i="33" s="1"/>
  <c r="I45" i="33" s="1"/>
  <c r="G43" i="33"/>
  <c r="G45" i="33" s="1"/>
  <c r="F43" i="33"/>
  <c r="C43" i="33"/>
  <c r="F72" i="33" s="1"/>
  <c r="B43" i="33"/>
  <c r="F71" i="33" s="1"/>
  <c r="G42" i="33"/>
  <c r="E42" i="33"/>
  <c r="C42" i="33"/>
  <c r="B42" i="33"/>
  <c r="F41" i="33"/>
  <c r="F42" i="33" s="1"/>
  <c r="F45" i="33" s="1"/>
  <c r="C41" i="33"/>
  <c r="D41" i="33" s="1"/>
  <c r="B41" i="33"/>
  <c r="E40" i="33"/>
  <c r="H39" i="33"/>
  <c r="G39" i="33" s="1"/>
  <c r="F39" i="33" s="1"/>
  <c r="E39" i="33" s="1"/>
  <c r="Q38" i="33"/>
  <c r="U38" i="33" s="1"/>
  <c r="Y38" i="33" s="1"/>
  <c r="AC38" i="33" s="1"/>
  <c r="C15" i="33"/>
  <c r="B75" i="49" l="1"/>
  <c r="B72" i="49"/>
  <c r="B77" i="49"/>
  <c r="B74" i="49"/>
  <c r="B71" i="49"/>
  <c r="B76" i="49"/>
  <c r="B70" i="49"/>
  <c r="B73" i="49"/>
  <c r="F127" i="47"/>
  <c r="F51" i="47"/>
  <c r="D52" i="47"/>
  <c r="F52" i="47" s="1"/>
  <c r="F184" i="43"/>
  <c r="F183" i="43"/>
  <c r="F200" i="43" s="1"/>
  <c r="G200" i="43" s="1"/>
  <c r="F180" i="43"/>
  <c r="F197" i="43" s="1"/>
  <c r="G197" i="43" s="1"/>
  <c r="F182" i="43"/>
  <c r="F199" i="43" s="1"/>
  <c r="G199" i="43" s="1"/>
  <c r="F179" i="43"/>
  <c r="F196" i="43" s="1"/>
  <c r="G196" i="43" s="1"/>
  <c r="F178" i="43"/>
  <c r="F181" i="43"/>
  <c r="F198" i="43" s="1"/>
  <c r="G198" i="43" s="1"/>
  <c r="E41" i="33"/>
  <c r="E45" i="33" s="1"/>
  <c r="J34" i="40"/>
  <c r="K34" i="40"/>
  <c r="K32" i="40"/>
  <c r="H39" i="40"/>
  <c r="D39" i="40"/>
  <c r="J39" i="40" s="1"/>
  <c r="J32" i="40"/>
  <c r="C39" i="40"/>
  <c r="I38" i="40"/>
  <c r="H58" i="39"/>
  <c r="H60" i="39" s="1"/>
  <c r="H61" i="39" s="1"/>
  <c r="G27" i="39"/>
  <c r="F52" i="39"/>
  <c r="G28" i="39"/>
  <c r="G54" i="38"/>
  <c r="D90" i="38" s="1"/>
  <c r="F53" i="38"/>
  <c r="F37" i="38"/>
  <c r="D49" i="38" s="1"/>
  <c r="C85" i="38" s="1"/>
  <c r="F43" i="38"/>
  <c r="D55" i="38" s="1"/>
  <c r="C91" i="38" s="1"/>
  <c r="F39" i="38"/>
  <c r="D51" i="38" s="1"/>
  <c r="C87" i="38" s="1"/>
  <c r="D53" i="38"/>
  <c r="C89" i="38" s="1"/>
  <c r="D52" i="38"/>
  <c r="C88" i="38" s="1"/>
  <c r="E44" i="38"/>
  <c r="F44" i="38" s="1"/>
  <c r="D56" i="38" s="1"/>
  <c r="C92" i="38" s="1"/>
  <c r="E92" i="38" s="1"/>
  <c r="E39" i="38"/>
  <c r="E37" i="38"/>
  <c r="E42" i="38"/>
  <c r="F42" i="38" s="1"/>
  <c r="D54" i="38" s="1"/>
  <c r="C90" i="38" s="1"/>
  <c r="G55" i="38"/>
  <c r="D91" i="38" s="1"/>
  <c r="E38" i="38"/>
  <c r="F38" i="38" s="1"/>
  <c r="D50" i="38" s="1"/>
  <c r="C86" i="38" s="1"/>
  <c r="E43" i="38"/>
  <c r="C45" i="38"/>
  <c r="E36" i="38"/>
  <c r="F36" i="38" s="1"/>
  <c r="F48" i="37"/>
  <c r="D50" i="37" s="1"/>
  <c r="C48" i="37"/>
  <c r="E30" i="37"/>
  <c r="E34" i="37" s="1"/>
  <c r="D36" i="37" s="1"/>
  <c r="E158" i="35"/>
  <c r="G129" i="35"/>
  <c r="G156" i="35" s="1"/>
  <c r="G157" i="35"/>
  <c r="F139" i="35"/>
  <c r="F148" i="35" s="1"/>
  <c r="F138" i="35"/>
  <c r="F147" i="35" s="1"/>
  <c r="E138" i="35"/>
  <c r="E147" i="35" s="1"/>
  <c r="E140" i="35"/>
  <c r="E149" i="35" s="1"/>
  <c r="E139" i="35"/>
  <c r="E148" i="35" s="1"/>
  <c r="H156" i="35"/>
  <c r="F129" i="35"/>
  <c r="F156" i="35" s="1"/>
  <c r="F157" i="35"/>
  <c r="C142" i="35"/>
  <c r="C151" i="35" s="1"/>
  <c r="C139" i="35"/>
  <c r="C148" i="35" s="1"/>
  <c r="C138" i="35"/>
  <c r="C147" i="35" s="1"/>
  <c r="C140" i="35"/>
  <c r="C149" i="35" s="1"/>
  <c r="C141" i="35"/>
  <c r="C150" i="35" s="1"/>
  <c r="C75" i="35"/>
  <c r="F75" i="35"/>
  <c r="F158" i="35"/>
  <c r="D133" i="35"/>
  <c r="E130" i="35"/>
  <c r="C134" i="35"/>
  <c r="D75" i="35"/>
  <c r="D140" i="35"/>
  <c r="D149" i="35" s="1"/>
  <c r="E75" i="35"/>
  <c r="K39" i="34"/>
  <c r="K46" i="34" s="1"/>
  <c r="J46" i="34"/>
  <c r="E65" i="34"/>
  <c r="E38" i="34"/>
  <c r="D45" i="34"/>
  <c r="J45" i="34"/>
  <c r="K38" i="34"/>
  <c r="E39" i="34"/>
  <c r="E46" i="34" s="1"/>
  <c r="H72" i="33"/>
  <c r="H73" i="33"/>
  <c r="D42" i="33"/>
  <c r="D43" i="33" s="1"/>
  <c r="D44" i="33" s="1"/>
  <c r="H47" i="33"/>
  <c r="E74" i="33"/>
  <c r="D72" i="49" l="1"/>
  <c r="E72" i="49" s="1"/>
  <c r="C89" i="49"/>
  <c r="D89" i="49" s="1"/>
  <c r="E89" i="49" s="1"/>
  <c r="D75" i="49"/>
  <c r="E75" i="49" s="1"/>
  <c r="D71" i="49"/>
  <c r="E71" i="49" s="1"/>
  <c r="C88" i="49"/>
  <c r="D88" i="49" s="1"/>
  <c r="E88" i="49" s="1"/>
  <c r="D74" i="49"/>
  <c r="E74" i="49" s="1"/>
  <c r="C91" i="49"/>
  <c r="D91" i="49" s="1"/>
  <c r="E91" i="49" s="1"/>
  <c r="D73" i="49"/>
  <c r="E73" i="49" s="1"/>
  <c r="C90" i="49"/>
  <c r="D90" i="49" s="1"/>
  <c r="E90" i="49" s="1"/>
  <c r="B78" i="49"/>
  <c r="D70" i="49"/>
  <c r="C87" i="49"/>
  <c r="D76" i="49"/>
  <c r="E76" i="49" s="1"/>
  <c r="D77" i="49"/>
  <c r="E77" i="49" s="1"/>
  <c r="C94" i="49"/>
  <c r="D94" i="49" s="1"/>
  <c r="E94" i="49" s="1"/>
  <c r="F53" i="47"/>
  <c r="F201" i="43"/>
  <c r="G201" i="43" s="1"/>
  <c r="F212" i="43"/>
  <c r="F195" i="43"/>
  <c r="G195" i="43" s="1"/>
  <c r="G202" i="43" s="1"/>
  <c r="F185" i="43"/>
  <c r="K39" i="40"/>
  <c r="G58" i="40" s="1"/>
  <c r="G60" i="40" s="1"/>
  <c r="F64" i="40" s="1"/>
  <c r="I39" i="40"/>
  <c r="G30" i="39"/>
  <c r="D48" i="38"/>
  <c r="F45" i="38"/>
  <c r="F52" i="38"/>
  <c r="G53" i="38"/>
  <c r="D89" i="38" s="1"/>
  <c r="E89" i="38" s="1"/>
  <c r="E90" i="38"/>
  <c r="E91" i="38"/>
  <c r="E157" i="35"/>
  <c r="E129" i="35"/>
  <c r="E156" i="35" s="1"/>
  <c r="C161" i="35"/>
  <c r="C133" i="35"/>
  <c r="D160" i="35"/>
  <c r="D132" i="35"/>
  <c r="L38" i="34"/>
  <c r="L45" i="34" s="1"/>
  <c r="K45" i="34"/>
  <c r="E45" i="34"/>
  <c r="F38" i="34"/>
  <c r="F45" i="34" s="1"/>
  <c r="E54" i="34" s="1"/>
  <c r="E47" i="33"/>
  <c r="E49" i="33" s="1"/>
  <c r="C52" i="33" s="1"/>
  <c r="E52" i="33" s="1"/>
  <c r="I47" i="33"/>
  <c r="I49" i="33" s="1"/>
  <c r="H49" i="33"/>
  <c r="F47" i="33"/>
  <c r="F49" i="33" s="1"/>
  <c r="C53" i="33" s="1"/>
  <c r="E53" i="33" s="1"/>
  <c r="G47" i="33"/>
  <c r="G49" i="33" s="1"/>
  <c r="C54" i="33" s="1"/>
  <c r="E54" i="33" s="1"/>
  <c r="H74" i="33"/>
  <c r="D78" i="49" l="1"/>
  <c r="E70" i="49"/>
  <c r="E78" i="49" s="1"/>
  <c r="D87" i="49"/>
  <c r="E87" i="49" s="1"/>
  <c r="C92" i="49"/>
  <c r="D92" i="49" s="1"/>
  <c r="E92" i="49" s="1"/>
  <c r="C93" i="49"/>
  <c r="D93" i="49" s="1"/>
  <c r="E93" i="49" s="1"/>
  <c r="F51" i="38"/>
  <c r="G52" i="38"/>
  <c r="D88" i="38" s="1"/>
  <c r="E88" i="38" s="1"/>
  <c r="D57" i="38"/>
  <c r="C84" i="38"/>
  <c r="D131" i="35"/>
  <c r="D159" i="35"/>
  <c r="C160" i="35"/>
  <c r="C132" i="35"/>
  <c r="C95" i="49" l="1"/>
  <c r="D95" i="49" s="1"/>
  <c r="E95" i="49" s="1"/>
  <c r="C93" i="38"/>
  <c r="F50" i="38"/>
  <c r="G51" i="38"/>
  <c r="D87" i="38" s="1"/>
  <c r="E87" i="38" s="1"/>
  <c r="D158" i="35"/>
  <c r="D130" i="35"/>
  <c r="C131" i="35"/>
  <c r="C159" i="35"/>
  <c r="G50" i="38" l="1"/>
  <c r="D86" i="38" s="1"/>
  <c r="E86" i="38" s="1"/>
  <c r="F49" i="38"/>
  <c r="C130" i="35"/>
  <c r="C158" i="35"/>
  <c r="D157" i="35"/>
  <c r="D129" i="35"/>
  <c r="D156" i="35" s="1"/>
  <c r="F48" i="38" l="1"/>
  <c r="G48" i="38" s="1"/>
  <c r="G49" i="38"/>
  <c r="D85" i="38" s="1"/>
  <c r="E85" i="38" s="1"/>
  <c r="C157" i="35"/>
  <c r="C129" i="35"/>
  <c r="C156" i="35" s="1"/>
  <c r="D84" i="38" l="1"/>
  <c r="G57" i="38"/>
  <c r="D61" i="38" s="1"/>
  <c r="C73" i="38" l="1"/>
  <c r="E73" i="38" s="1"/>
  <c r="F73" i="38" s="1"/>
  <c r="C74" i="38"/>
  <c r="E74" i="38" s="1"/>
  <c r="F74" i="38" s="1"/>
  <c r="C69" i="38"/>
  <c r="E69" i="38" s="1"/>
  <c r="F69" i="38" s="1"/>
  <c r="C76" i="38"/>
  <c r="E76" i="38" s="1"/>
  <c r="F76" i="38" s="1"/>
  <c r="C71" i="38"/>
  <c r="E71" i="38" s="1"/>
  <c r="F71" i="38" s="1"/>
  <c r="C68" i="38"/>
  <c r="C75" i="38"/>
  <c r="E75" i="38" s="1"/>
  <c r="F75" i="38" s="1"/>
  <c r="C70" i="38"/>
  <c r="E70" i="38" s="1"/>
  <c r="F70" i="38" s="1"/>
  <c r="C72" i="38"/>
  <c r="E72" i="38" s="1"/>
  <c r="F72" i="38" s="1"/>
  <c r="D93" i="38"/>
  <c r="E84" i="38"/>
  <c r="D95" i="38" s="1"/>
  <c r="D96" i="38" s="1"/>
  <c r="C77" i="38" l="1"/>
  <c r="E68" i="38"/>
  <c r="F68" i="38" l="1"/>
  <c r="F77" i="38" s="1"/>
  <c r="E77" i="38"/>
  <c r="D52" i="32" l="1"/>
  <c r="D48" i="32"/>
  <c r="C48" i="32"/>
  <c r="C47" i="32"/>
  <c r="D47" i="32" s="1"/>
  <c r="C46" i="32"/>
  <c r="D46" i="32" s="1"/>
  <c r="D49" i="32" s="1"/>
  <c r="D50" i="32" s="1"/>
  <c r="D55" i="32" s="1"/>
  <c r="D33" i="32"/>
  <c r="D31" i="32"/>
  <c r="D34" i="32" s="1"/>
  <c r="D36" i="32" s="1"/>
  <c r="E24" i="32"/>
  <c r="C24" i="32"/>
  <c r="D24" i="32" s="1"/>
  <c r="E23" i="32"/>
  <c r="D32" i="32" s="1"/>
  <c r="C23" i="32"/>
  <c r="D23" i="32" s="1"/>
  <c r="B23" i="32"/>
  <c r="B24" i="32" s="1"/>
  <c r="F22" i="32"/>
  <c r="E31" i="32" s="1"/>
  <c r="E22" i="32"/>
  <c r="D22" i="32"/>
  <c r="C31" i="32" s="1"/>
  <c r="C22" i="32"/>
  <c r="B22" i="32"/>
  <c r="C107" i="31"/>
  <c r="D91" i="31"/>
  <c r="C91" i="31"/>
  <c r="C90" i="31"/>
  <c r="D90" i="31" s="1"/>
  <c r="B90" i="31"/>
  <c r="C89" i="31"/>
  <c r="D89" i="31" s="1"/>
  <c r="B89" i="31"/>
  <c r="B88" i="31" s="1"/>
  <c r="B87" i="31" s="1"/>
  <c r="B86" i="31" s="1"/>
  <c r="B85" i="31" s="1"/>
  <c r="B84" i="31" s="1"/>
  <c r="C88" i="31"/>
  <c r="D88" i="31" s="1"/>
  <c r="C87" i="31"/>
  <c r="D87" i="31" s="1"/>
  <c r="D86" i="31"/>
  <c r="C86" i="31"/>
  <c r="C85" i="31"/>
  <c r="D85" i="31" s="1"/>
  <c r="C84" i="31"/>
  <c r="D84" i="31" s="1"/>
  <c r="H74" i="31"/>
  <c r="C74" i="31"/>
  <c r="B74" i="31"/>
  <c r="H73" i="31"/>
  <c r="C73" i="31"/>
  <c r="B73" i="31"/>
  <c r="H72" i="31"/>
  <c r="I72" i="31" s="1"/>
  <c r="G72" i="31"/>
  <c r="C72" i="31"/>
  <c r="B72" i="31"/>
  <c r="H45" i="31"/>
  <c r="G45" i="31"/>
  <c r="F45" i="31"/>
  <c r="E45" i="31"/>
  <c r="D45" i="31"/>
  <c r="C45" i="31"/>
  <c r="C44" i="31"/>
  <c r="C41" i="31"/>
  <c r="C43" i="31" s="1"/>
  <c r="D40" i="31"/>
  <c r="C40" i="31"/>
  <c r="E39" i="31"/>
  <c r="D39" i="31"/>
  <c r="D47" i="31" s="1"/>
  <c r="D48" i="31" s="1"/>
  <c r="C39" i="31"/>
  <c r="C47" i="31" s="1"/>
  <c r="C48" i="31" s="1"/>
  <c r="F38" i="31"/>
  <c r="E38" i="31"/>
  <c r="D38" i="31"/>
  <c r="C38" i="31"/>
  <c r="G37" i="31"/>
  <c r="F37" i="31"/>
  <c r="F47" i="31" s="1"/>
  <c r="F48" i="31" s="1"/>
  <c r="E37" i="31"/>
  <c r="E44" i="31" s="1"/>
  <c r="D37" i="31"/>
  <c r="D43" i="31" s="1"/>
  <c r="C37" i="31"/>
  <c r="C46" i="31" s="1"/>
  <c r="H36" i="31"/>
  <c r="G36" i="31"/>
  <c r="F36" i="31"/>
  <c r="E36" i="31"/>
  <c r="D36" i="31"/>
  <c r="D46" i="31" s="1"/>
  <c r="C36" i="31"/>
  <c r="I35" i="31"/>
  <c r="I43" i="31" s="1"/>
  <c r="I48" i="31" s="1"/>
  <c r="H35" i="31"/>
  <c r="H43" i="31" s="1"/>
  <c r="H48" i="31" s="1"/>
  <c r="E74" i="31" s="1"/>
  <c r="G35" i="31"/>
  <c r="G43" i="31" s="1"/>
  <c r="G48" i="31" s="1"/>
  <c r="F35" i="31"/>
  <c r="F43" i="31" s="1"/>
  <c r="E35" i="31"/>
  <c r="E43" i="31" s="1"/>
  <c r="D35" i="31"/>
  <c r="C35" i="31"/>
  <c r="C119" i="30"/>
  <c r="B119" i="30"/>
  <c r="D118" i="30"/>
  <c r="C118" i="30"/>
  <c r="B118" i="30"/>
  <c r="E117" i="30"/>
  <c r="D117" i="30"/>
  <c r="C117" i="30"/>
  <c r="B117" i="30"/>
  <c r="F116" i="30"/>
  <c r="E116" i="30"/>
  <c r="D116" i="30"/>
  <c r="C116" i="30"/>
  <c r="B116" i="30"/>
  <c r="G115" i="30"/>
  <c r="F115" i="30"/>
  <c r="E115" i="30"/>
  <c r="D115" i="30"/>
  <c r="C115" i="30"/>
  <c r="B115" i="30"/>
  <c r="H114" i="30"/>
  <c r="G114" i="30"/>
  <c r="F114" i="30"/>
  <c r="E114" i="30"/>
  <c r="D114" i="30"/>
  <c r="C114" i="30"/>
  <c r="B114" i="30"/>
  <c r="I113" i="30"/>
  <c r="H113" i="30"/>
  <c r="G113" i="30"/>
  <c r="F113" i="30"/>
  <c r="E113" i="30"/>
  <c r="D113" i="30"/>
  <c r="C113" i="30"/>
  <c r="B113" i="30"/>
  <c r="D112" i="30"/>
  <c r="E112" i="30" s="1"/>
  <c r="F112" i="30" s="1"/>
  <c r="G112" i="30" s="1"/>
  <c r="H112" i="30" s="1"/>
  <c r="I112" i="30" s="1"/>
  <c r="D62" i="30"/>
  <c r="C62" i="30"/>
  <c r="F61" i="30"/>
  <c r="E61" i="30"/>
  <c r="D61" i="30"/>
  <c r="C61" i="30"/>
  <c r="H60" i="30"/>
  <c r="G60" i="30"/>
  <c r="F60" i="30"/>
  <c r="E60" i="30"/>
  <c r="D60" i="30"/>
  <c r="C60" i="30"/>
  <c r="D50" i="30"/>
  <c r="C50" i="30"/>
  <c r="C56" i="30" s="1"/>
  <c r="F49" i="30"/>
  <c r="E49" i="30"/>
  <c r="D49" i="30"/>
  <c r="C49" i="30"/>
  <c r="C55" i="30" s="1"/>
  <c r="H48" i="30"/>
  <c r="G48" i="30"/>
  <c r="F48" i="30"/>
  <c r="E48" i="30"/>
  <c r="D48" i="30"/>
  <c r="C48" i="30"/>
  <c r="C54" i="30" s="1"/>
  <c r="B44" i="29"/>
  <c r="B45" i="29" s="1"/>
  <c r="B46" i="29" s="1"/>
  <c r="G43" i="29"/>
  <c r="G44" i="29" s="1"/>
  <c r="H22" i="29"/>
  <c r="H25" i="29" s="1"/>
  <c r="D49" i="27"/>
  <c r="I35" i="27"/>
  <c r="D35" i="27"/>
  <c r="C35" i="27"/>
  <c r="H35" i="27" s="1"/>
  <c r="F34" i="27"/>
  <c r="F33" i="27" s="1"/>
  <c r="E34" i="27"/>
  <c r="E33" i="27" s="1"/>
  <c r="D34" i="27"/>
  <c r="I34" i="27" s="1"/>
  <c r="C34" i="27"/>
  <c r="H34" i="27" s="1"/>
  <c r="D33" i="27"/>
  <c r="C33" i="27"/>
  <c r="D32" i="27"/>
  <c r="C32" i="27"/>
  <c r="D31" i="27"/>
  <c r="C31" i="27"/>
  <c r="G30" i="27"/>
  <c r="G31" i="27" s="1"/>
  <c r="G32" i="27" s="1"/>
  <c r="G33" i="27" s="1"/>
  <c r="G34" i="27" s="1"/>
  <c r="D30" i="27"/>
  <c r="C30" i="27"/>
  <c r="D29" i="27"/>
  <c r="C29" i="27"/>
  <c r="G55" i="26"/>
  <c r="G56" i="26" s="1"/>
  <c r="G60" i="26" s="1"/>
  <c r="G53" i="26"/>
  <c r="G59" i="26" s="1"/>
  <c r="F32" i="26"/>
  <c r="E32" i="26"/>
  <c r="E31" i="26"/>
  <c r="F31" i="26" s="1"/>
  <c r="E30" i="26"/>
  <c r="F30" i="26" s="1"/>
  <c r="E29" i="26"/>
  <c r="F29" i="26" s="1"/>
  <c r="F33" i="26" s="1"/>
  <c r="B29" i="26"/>
  <c r="B30" i="26" s="1"/>
  <c r="B31" i="26" s="1"/>
  <c r="B32" i="26" s="1"/>
  <c r="E28" i="26"/>
  <c r="E58" i="25"/>
  <c r="G58" i="25" s="1"/>
  <c r="E57" i="25"/>
  <c r="G57" i="25" s="1"/>
  <c r="E56" i="25"/>
  <c r="G56" i="25" s="1"/>
  <c r="F22" i="25"/>
  <c r="F20" i="25"/>
  <c r="F18" i="25"/>
  <c r="F21" i="25" s="1"/>
  <c r="F23" i="25" s="1"/>
  <c r="D35" i="25" s="1"/>
  <c r="B79" i="24"/>
  <c r="B78" i="24" s="1"/>
  <c r="B77" i="24" s="1"/>
  <c r="B76" i="24" s="1"/>
  <c r="B75" i="24" s="1"/>
  <c r="B74" i="24" s="1"/>
  <c r="B73" i="24" s="1"/>
  <c r="C65" i="24"/>
  <c r="C64" i="24"/>
  <c r="B64" i="24"/>
  <c r="C63" i="24"/>
  <c r="B63" i="24"/>
  <c r="B62" i="24" s="1"/>
  <c r="B61" i="24" s="1"/>
  <c r="B60" i="24" s="1"/>
  <c r="B59" i="24" s="1"/>
  <c r="B58" i="24" s="1"/>
  <c r="C62" i="24"/>
  <c r="C61" i="24"/>
  <c r="C60" i="24"/>
  <c r="C59" i="24"/>
  <c r="C58" i="24"/>
  <c r="D43" i="24"/>
  <c r="E43" i="24" s="1"/>
  <c r="C43" i="24"/>
  <c r="C42" i="24"/>
  <c r="B42" i="24"/>
  <c r="D42" i="24" s="1"/>
  <c r="C41" i="24"/>
  <c r="C40" i="24"/>
  <c r="C39" i="24"/>
  <c r="C38" i="24"/>
  <c r="C37" i="24"/>
  <c r="C36" i="24"/>
  <c r="C44" i="24" s="1"/>
  <c r="H35" i="23"/>
  <c r="F69" i="23" s="1"/>
  <c r="G69" i="23" s="1"/>
  <c r="F35" i="23"/>
  <c r="F33" i="23"/>
  <c r="F34" i="23" s="1"/>
  <c r="F32" i="23"/>
  <c r="H32" i="23" s="1"/>
  <c r="H31" i="23"/>
  <c r="F65" i="23" s="1"/>
  <c r="G65" i="23" s="1"/>
  <c r="F31" i="23"/>
  <c r="C24" i="23"/>
  <c r="C23" i="23"/>
  <c r="C25" i="23" s="1"/>
  <c r="C22" i="23"/>
  <c r="C21" i="23"/>
  <c r="B76" i="22"/>
  <c r="B77" i="22" s="1"/>
  <c r="B78" i="22" s="1"/>
  <c r="B75" i="22"/>
  <c r="D66" i="22"/>
  <c r="C66" i="22"/>
  <c r="B66" i="22"/>
  <c r="C65" i="22"/>
  <c r="C64" i="22"/>
  <c r="B64" i="22"/>
  <c r="C63" i="22"/>
  <c r="D62" i="22"/>
  <c r="C62" i="22"/>
  <c r="D61" i="22"/>
  <c r="D67" i="22" s="1"/>
  <c r="C61" i="22"/>
  <c r="B61" i="22"/>
  <c r="C53" i="22"/>
  <c r="B53" i="22"/>
  <c r="C52" i="22"/>
  <c r="D65" i="22" s="1"/>
  <c r="B52" i="22"/>
  <c r="B65" i="22" s="1"/>
  <c r="C51" i="22"/>
  <c r="D64" i="22" s="1"/>
  <c r="B51" i="22"/>
  <c r="C50" i="22"/>
  <c r="D63" i="22" s="1"/>
  <c r="B50" i="22"/>
  <c r="B63" i="22" s="1"/>
  <c r="C49" i="22"/>
  <c r="C54" i="22" s="1"/>
  <c r="B49" i="22"/>
  <c r="B62" i="22" s="1"/>
  <c r="C48" i="22"/>
  <c r="B48" i="22"/>
  <c r="H45" i="22"/>
  <c r="D48" i="22" s="1"/>
  <c r="G34" i="22"/>
  <c r="G35" i="22" s="1"/>
  <c r="G36" i="22" s="1"/>
  <c r="G45" i="22" s="1"/>
  <c r="D49" i="22" s="1"/>
  <c r="D34" i="22"/>
  <c r="C32" i="22"/>
  <c r="B32" i="22"/>
  <c r="D31" i="22"/>
  <c r="C31" i="22"/>
  <c r="B31" i="22"/>
  <c r="E30" i="22"/>
  <c r="D30" i="22"/>
  <c r="D35" i="22" s="1"/>
  <c r="D36" i="22" s="1"/>
  <c r="D45" i="22" s="1"/>
  <c r="D52" i="22" s="1"/>
  <c r="C30" i="22"/>
  <c r="C35" i="22" s="1"/>
  <c r="C36" i="22" s="1"/>
  <c r="B30" i="22"/>
  <c r="F29" i="22"/>
  <c r="F34" i="22" s="1"/>
  <c r="F35" i="22" s="1"/>
  <c r="F36" i="22" s="1"/>
  <c r="F45" i="22" s="1"/>
  <c r="D50" i="22" s="1"/>
  <c r="E29" i="22"/>
  <c r="E34" i="22" s="1"/>
  <c r="E35" i="22" s="1"/>
  <c r="E36" i="22" s="1"/>
  <c r="D29" i="22"/>
  <c r="C29" i="22"/>
  <c r="B29" i="22"/>
  <c r="G28" i="22"/>
  <c r="F28" i="22"/>
  <c r="E28" i="22"/>
  <c r="D28" i="22"/>
  <c r="C28" i="22"/>
  <c r="C34" i="22" s="1"/>
  <c r="B28" i="22"/>
  <c r="E28" i="21"/>
  <c r="F33" i="21" s="1"/>
  <c r="C25" i="21"/>
  <c r="E24" i="21"/>
  <c r="D24" i="21"/>
  <c r="C24" i="21"/>
  <c r="B24" i="21"/>
  <c r="E23" i="21"/>
  <c r="D23" i="21"/>
  <c r="C23" i="21"/>
  <c r="B23" i="21"/>
  <c r="E22" i="21"/>
  <c r="D22" i="21"/>
  <c r="C22" i="21"/>
  <c r="B22" i="21"/>
  <c r="E21" i="21"/>
  <c r="E26" i="21" s="1"/>
  <c r="D21" i="21"/>
  <c r="D26" i="21" s="1"/>
  <c r="C21" i="21"/>
  <c r="B21" i="21"/>
  <c r="M83" i="20"/>
  <c r="L83" i="20"/>
  <c r="G79" i="20"/>
  <c r="E79" i="20"/>
  <c r="F79" i="20" s="1"/>
  <c r="F49" i="20"/>
  <c r="E49" i="20"/>
  <c r="H49" i="20" s="1"/>
  <c r="C49" i="20"/>
  <c r="C48" i="20"/>
  <c r="E48" i="20" s="1"/>
  <c r="H48" i="20" s="1"/>
  <c r="C47" i="20"/>
  <c r="F47" i="20" s="1"/>
  <c r="F46" i="20"/>
  <c r="I46" i="20" s="1"/>
  <c r="C46" i="20"/>
  <c r="D46" i="20" s="1"/>
  <c r="I45" i="20"/>
  <c r="L45" i="20" s="1"/>
  <c r="F45" i="20"/>
  <c r="D83" i="20" s="1"/>
  <c r="E45" i="20"/>
  <c r="H45" i="20" s="1"/>
  <c r="D45" i="20"/>
  <c r="C83" i="20" s="1"/>
  <c r="C45" i="20"/>
  <c r="C44" i="20"/>
  <c r="F43" i="20"/>
  <c r="I43" i="20" s="1"/>
  <c r="E43" i="20"/>
  <c r="H43" i="20" s="1"/>
  <c r="C43" i="20"/>
  <c r="C42" i="20"/>
  <c r="D42" i="20" s="1"/>
  <c r="G42" i="20" s="1"/>
  <c r="F41" i="20"/>
  <c r="F44" i="20" s="1"/>
  <c r="I44" i="20" s="1"/>
  <c r="E41" i="20"/>
  <c r="E44" i="20" s="1"/>
  <c r="H44" i="20" s="1"/>
  <c r="D41" i="20"/>
  <c r="D49" i="20" s="1"/>
  <c r="G49" i="20" s="1"/>
  <c r="B94" i="19"/>
  <c r="B93" i="19"/>
  <c r="B91" i="19"/>
  <c r="B90" i="19"/>
  <c r="B89" i="19"/>
  <c r="E82" i="19"/>
  <c r="C82" i="19"/>
  <c r="B96" i="19" s="1"/>
  <c r="E81" i="19"/>
  <c r="C81" i="19"/>
  <c r="B95" i="19" s="1"/>
  <c r="E80" i="19"/>
  <c r="C80" i="19"/>
  <c r="E79" i="19"/>
  <c r="C79" i="19"/>
  <c r="E78" i="19"/>
  <c r="C78" i="19"/>
  <c r="B92" i="19" s="1"/>
  <c r="E77" i="19"/>
  <c r="C77" i="19"/>
  <c r="E76" i="19"/>
  <c r="C76" i="19"/>
  <c r="E75" i="19"/>
  <c r="C75" i="19"/>
  <c r="E74" i="19"/>
  <c r="C74" i="19"/>
  <c r="B88" i="19" s="1"/>
  <c r="E73" i="19"/>
  <c r="E83" i="19" s="1"/>
  <c r="C73" i="19"/>
  <c r="B87" i="19" s="1"/>
  <c r="A46" i="19"/>
  <c r="A45" i="19"/>
  <c r="C44" i="19"/>
  <c r="A44" i="19"/>
  <c r="K33" i="19"/>
  <c r="M33" i="19" s="1"/>
  <c r="P33" i="19" s="1"/>
  <c r="T33" i="19" s="1"/>
  <c r="X33" i="19" s="1"/>
  <c r="AB33" i="19" s="1"/>
  <c r="I33" i="19"/>
  <c r="G100" i="18"/>
  <c r="G101" i="18" s="1"/>
  <c r="G102" i="18" s="1"/>
  <c r="E119" i="18" s="1"/>
  <c r="G98" i="18"/>
  <c r="B65" i="18"/>
  <c r="D65" i="18" s="1"/>
  <c r="E65" i="18" s="1"/>
  <c r="F65" i="18" s="1"/>
  <c r="B64" i="18"/>
  <c r="D64" i="18" s="1"/>
  <c r="E64" i="18" s="1"/>
  <c r="F64" i="18" s="1"/>
  <c r="B63" i="18"/>
  <c r="D63" i="18" s="1"/>
  <c r="E63" i="18" s="1"/>
  <c r="F63" i="18" s="1"/>
  <c r="B62" i="18"/>
  <c r="D62" i="18" s="1"/>
  <c r="E62" i="18" s="1"/>
  <c r="F62" i="18" s="1"/>
  <c r="B61" i="18"/>
  <c r="D61" i="18" s="1"/>
  <c r="E61" i="18" s="1"/>
  <c r="F61" i="18" s="1"/>
  <c r="C32" i="18"/>
  <c r="D32" i="18" s="1"/>
  <c r="C31" i="18"/>
  <c r="C30" i="18"/>
  <c r="D31" i="18" s="1"/>
  <c r="C29" i="18"/>
  <c r="D29" i="18" s="1"/>
  <c r="C28" i="18"/>
  <c r="D28" i="18" s="1"/>
  <c r="C27" i="18"/>
  <c r="D27" i="18" s="1"/>
  <c r="C26" i="18"/>
  <c r="D26" i="18" s="1"/>
  <c r="C25" i="18"/>
  <c r="C24" i="18"/>
  <c r="D25" i="18" s="1"/>
  <c r="C23" i="18"/>
  <c r="G121" i="17"/>
  <c r="D124" i="17" s="1"/>
  <c r="F77" i="17"/>
  <c r="E77" i="17"/>
  <c r="B77" i="17"/>
  <c r="F76" i="17"/>
  <c r="B76" i="17"/>
  <c r="B75" i="17"/>
  <c r="B74" i="17"/>
  <c r="C66" i="17"/>
  <c r="E65" i="17"/>
  <c r="E93" i="17" s="1"/>
  <c r="D65" i="17"/>
  <c r="D76" i="17" s="1"/>
  <c r="C63" i="17"/>
  <c r="C74" i="17" s="1"/>
  <c r="C59" i="17"/>
  <c r="C67" i="17" s="1"/>
  <c r="C95" i="17" s="1"/>
  <c r="D58" i="17"/>
  <c r="D66" i="17" s="1"/>
  <c r="D94" i="17" s="1"/>
  <c r="C58" i="17"/>
  <c r="E57" i="17"/>
  <c r="D57" i="17"/>
  <c r="C57" i="17"/>
  <c r="C65" i="17" s="1"/>
  <c r="C76" i="17" s="1"/>
  <c r="F56" i="17"/>
  <c r="F64" i="17" s="1"/>
  <c r="F92" i="17" s="1"/>
  <c r="E56" i="17"/>
  <c r="D56" i="17"/>
  <c r="D64" i="17" s="1"/>
  <c r="D75" i="17" s="1"/>
  <c r="C56" i="17"/>
  <c r="C64" i="17" s="1"/>
  <c r="C75" i="17" s="1"/>
  <c r="G55" i="17"/>
  <c r="G63" i="17" s="1"/>
  <c r="G91" i="17" s="1"/>
  <c r="G99" i="17" s="1"/>
  <c r="G107" i="17" s="1"/>
  <c r="F55" i="17"/>
  <c r="F63" i="17" s="1"/>
  <c r="F74" i="17" s="1"/>
  <c r="E55" i="17"/>
  <c r="E63" i="17" s="1"/>
  <c r="E74" i="17" s="1"/>
  <c r="D55" i="17"/>
  <c r="D63" i="17" s="1"/>
  <c r="C55" i="17"/>
  <c r="C51" i="17"/>
  <c r="D50" i="17"/>
  <c r="C50" i="17"/>
  <c r="E49" i="17"/>
  <c r="D49" i="17"/>
  <c r="C49" i="17"/>
  <c r="F48" i="17"/>
  <c r="E48" i="17"/>
  <c r="E64" i="17" s="1"/>
  <c r="E75" i="17" s="1"/>
  <c r="D48" i="17"/>
  <c r="C48" i="17"/>
  <c r="G47" i="17"/>
  <c r="F47" i="17"/>
  <c r="E47" i="17"/>
  <c r="D47" i="17"/>
  <c r="C47" i="17"/>
  <c r="C110" i="16"/>
  <c r="C109" i="16"/>
  <c r="C111" i="16" s="1"/>
  <c r="C108" i="16"/>
  <c r="C107" i="16"/>
  <c r="C96" i="16"/>
  <c r="C97" i="16" s="1"/>
  <c r="C98" i="16" s="1"/>
  <c r="C99" i="16" s="1"/>
  <c r="C100" i="16" s="1"/>
  <c r="F94" i="16"/>
  <c r="G94" i="16" s="1"/>
  <c r="H94" i="16" s="1"/>
  <c r="G90" i="16"/>
  <c r="F90" i="16"/>
  <c r="E90" i="16"/>
  <c r="D90" i="16"/>
  <c r="C90" i="16"/>
  <c r="H89" i="16"/>
  <c r="H90" i="16" s="1"/>
  <c r="G89" i="16"/>
  <c r="F89" i="16"/>
  <c r="E89" i="16"/>
  <c r="D89" i="16"/>
  <c r="C89" i="16"/>
  <c r="C77" i="16"/>
  <c r="B60" i="16"/>
  <c r="B61" i="16" s="1"/>
  <c r="B62" i="16" s="1"/>
  <c r="B63" i="16" s="1"/>
  <c r="B59" i="16"/>
  <c r="C48" i="16"/>
  <c r="F48" i="16" s="1"/>
  <c r="E47" i="16"/>
  <c r="C47" i="16"/>
  <c r="F47" i="16" s="1"/>
  <c r="E46" i="16"/>
  <c r="E45" i="16" s="1"/>
  <c r="C46" i="16"/>
  <c r="D46" i="16" s="1"/>
  <c r="C45" i="16"/>
  <c r="C44" i="16"/>
  <c r="D45" i="16" s="1"/>
  <c r="B44" i="16"/>
  <c r="B45" i="16" s="1"/>
  <c r="B46" i="16" s="1"/>
  <c r="B47" i="16" s="1"/>
  <c r="B48" i="16" s="1"/>
  <c r="C43" i="16"/>
  <c r="C30" i="16"/>
  <c r="D30" i="16" s="1"/>
  <c r="E29" i="16"/>
  <c r="E28" i="16" s="1"/>
  <c r="C29" i="16"/>
  <c r="D29" i="16" s="1"/>
  <c r="C28" i="16"/>
  <c r="D28" i="16" s="1"/>
  <c r="C27" i="16"/>
  <c r="D27" i="16" s="1"/>
  <c r="B27" i="16"/>
  <c r="B28" i="16" s="1"/>
  <c r="B29" i="16" s="1"/>
  <c r="B30" i="16" s="1"/>
  <c r="C26" i="16"/>
  <c r="D26" i="16" s="1"/>
  <c r="D32" i="16" s="1"/>
  <c r="B26" i="16"/>
  <c r="C25" i="16"/>
  <c r="E14" i="16"/>
  <c r="D14" i="16"/>
  <c r="C14" i="16"/>
  <c r="B9" i="16"/>
  <c r="B10" i="16" s="1"/>
  <c r="B11" i="16" s="1"/>
  <c r="B12" i="16" s="1"/>
  <c r="B13" i="16" s="1"/>
  <c r="F52" i="14"/>
  <c r="F50" i="14"/>
  <c r="F39" i="14"/>
  <c r="H36" i="14"/>
  <c r="F41" i="14" s="1"/>
  <c r="D35" i="14"/>
  <c r="F33" i="14"/>
  <c r="F48" i="14" s="1"/>
  <c r="F54" i="14" s="1"/>
  <c r="M24" i="14"/>
  <c r="Q24" i="14" s="1"/>
  <c r="F23" i="32" l="1"/>
  <c r="E32" i="32" s="1"/>
  <c r="C32" i="32"/>
  <c r="F24" i="32"/>
  <c r="E33" i="32" s="1"/>
  <c r="C33" i="32"/>
  <c r="C36" i="32" s="1"/>
  <c r="E36" i="32" s="1"/>
  <c r="C34" i="32"/>
  <c r="E34" i="32"/>
  <c r="E85" i="31"/>
  <c r="E86" i="31" s="1"/>
  <c r="E87" i="31" s="1"/>
  <c r="E88" i="31" s="1"/>
  <c r="E89" i="31" s="1"/>
  <c r="E90" i="31" s="1"/>
  <c r="E91" i="31" s="1"/>
  <c r="F74" i="31"/>
  <c r="F73" i="31" s="1"/>
  <c r="G73" i="31" s="1"/>
  <c r="I73" i="31" s="1"/>
  <c r="F91" i="31"/>
  <c r="D92" i="31"/>
  <c r="F84" i="31"/>
  <c r="D44" i="31"/>
  <c r="E47" i="31"/>
  <c r="E48" i="31" s="1"/>
  <c r="C92" i="31"/>
  <c r="C106" i="31" s="1"/>
  <c r="C110" i="31" s="1"/>
  <c r="D54" i="30"/>
  <c r="C66" i="30"/>
  <c r="D55" i="30"/>
  <c r="C67" i="30"/>
  <c r="C68" i="30"/>
  <c r="D56" i="30"/>
  <c r="D68" i="30" s="1"/>
  <c r="G45" i="29"/>
  <c r="H23" i="29"/>
  <c r="H24" i="29" s="1"/>
  <c r="H32" i="27"/>
  <c r="F32" i="27"/>
  <c r="F31" i="27" s="1"/>
  <c r="F30" i="27" s="1"/>
  <c r="I33" i="27"/>
  <c r="E32" i="27"/>
  <c r="E31" i="27" s="1"/>
  <c r="E30" i="27" s="1"/>
  <c r="H33" i="27"/>
  <c r="G61" i="26"/>
  <c r="H57" i="25"/>
  <c r="H58" i="25"/>
  <c r="F56" i="25"/>
  <c r="H56" i="25" s="1"/>
  <c r="F57" i="25"/>
  <c r="F58" i="25"/>
  <c r="E42" i="24"/>
  <c r="B41" i="24"/>
  <c r="C43" i="23"/>
  <c r="H36" i="23"/>
  <c r="F66" i="23"/>
  <c r="G66" i="23" s="1"/>
  <c r="G70" i="23" s="1"/>
  <c r="C44" i="23"/>
  <c r="H34" i="23"/>
  <c r="F68" i="23" s="1"/>
  <c r="G68" i="23" s="1"/>
  <c r="H33" i="23"/>
  <c r="F67" i="23" s="1"/>
  <c r="G67" i="23" s="1"/>
  <c r="H62" i="22"/>
  <c r="I62" i="22" s="1"/>
  <c r="D74" i="22" s="1"/>
  <c r="E65" i="22"/>
  <c r="F65" i="22" s="1"/>
  <c r="H65" i="22" s="1"/>
  <c r="I65" i="22" s="1"/>
  <c r="D77" i="22" s="1"/>
  <c r="E52" i="22"/>
  <c r="F52" i="22" s="1"/>
  <c r="C77" i="22" s="1"/>
  <c r="E77" i="22" s="1"/>
  <c r="F77" i="22" s="1"/>
  <c r="G77" i="22" s="1"/>
  <c r="E45" i="22"/>
  <c r="D51" i="22" s="1"/>
  <c r="E49" i="22"/>
  <c r="F49" i="22" s="1"/>
  <c r="C74" i="22" s="1"/>
  <c r="E74" i="22" s="1"/>
  <c r="F74" i="22" s="1"/>
  <c r="G74" i="22" s="1"/>
  <c r="E62" i="22"/>
  <c r="F62" i="22" s="1"/>
  <c r="E63" i="22"/>
  <c r="F63" i="22" s="1"/>
  <c r="H63" i="22" s="1"/>
  <c r="I63" i="22" s="1"/>
  <c r="D75" i="22" s="1"/>
  <c r="E50" i="22"/>
  <c r="F50" i="22" s="1"/>
  <c r="C75" i="22" s="1"/>
  <c r="E75" i="22" s="1"/>
  <c r="F75" i="22" s="1"/>
  <c r="G75" i="22" s="1"/>
  <c r="E48" i="22"/>
  <c r="E61" i="22"/>
  <c r="F61" i="22" s="1"/>
  <c r="H61" i="22" s="1"/>
  <c r="C45" i="22"/>
  <c r="D53" i="22" s="1"/>
  <c r="F35" i="21"/>
  <c r="F32" i="21"/>
  <c r="E87" i="20"/>
  <c r="G87" i="20" s="1"/>
  <c r="E84" i="20"/>
  <c r="G84" i="20" s="1"/>
  <c r="E83" i="20"/>
  <c r="G83" i="20" s="1"/>
  <c r="L44" i="20"/>
  <c r="J49" i="20"/>
  <c r="G46" i="20"/>
  <c r="K46" i="20" s="1"/>
  <c r="L84" i="20"/>
  <c r="L43" i="20"/>
  <c r="J45" i="20"/>
  <c r="I47" i="20"/>
  <c r="C85" i="20"/>
  <c r="E85" i="20" s="1"/>
  <c r="G85" i="20" s="1"/>
  <c r="L85" i="20"/>
  <c r="D85" i="20"/>
  <c r="F85" i="20" s="1"/>
  <c r="H85" i="20" s="1"/>
  <c r="M85" i="20"/>
  <c r="L87" i="20"/>
  <c r="F42" i="20"/>
  <c r="I42" i="20" s="1"/>
  <c r="D47" i="20"/>
  <c r="G47" i="20" s="1"/>
  <c r="F48" i="20"/>
  <c r="M87" i="20"/>
  <c r="E47" i="20"/>
  <c r="H47" i="20" s="1"/>
  <c r="J47" i="20" s="1"/>
  <c r="I49" i="20"/>
  <c r="E46" i="20"/>
  <c r="D48" i="20"/>
  <c r="G48" i="20" s="1"/>
  <c r="J48" i="20" s="1"/>
  <c r="E42" i="20"/>
  <c r="H42" i="20" s="1"/>
  <c r="J42" i="20" s="1"/>
  <c r="D44" i="20"/>
  <c r="G44" i="20" s="1"/>
  <c r="J44" i="20" s="1"/>
  <c r="D84" i="20"/>
  <c r="F84" i="20" s="1"/>
  <c r="H84" i="20" s="1"/>
  <c r="C84" i="20"/>
  <c r="C87" i="20"/>
  <c r="D87" i="20"/>
  <c r="F87" i="20" s="1"/>
  <c r="H87" i="20" s="1"/>
  <c r="G45" i="20"/>
  <c r="K45" i="20"/>
  <c r="D43" i="20"/>
  <c r="G43" i="20" s="1"/>
  <c r="K43" i="20" s="1"/>
  <c r="F83" i="20"/>
  <c r="H83" i="20" s="1"/>
  <c r="C45" i="19"/>
  <c r="F67" i="18"/>
  <c r="F68" i="18"/>
  <c r="E75" i="18" s="1"/>
  <c r="E117" i="18" s="1"/>
  <c r="E120" i="18" s="1"/>
  <c r="E121" i="18" s="1"/>
  <c r="F69" i="18"/>
  <c r="D24" i="18"/>
  <c r="D30" i="18"/>
  <c r="C103" i="17"/>
  <c r="C111" i="17" s="1"/>
  <c r="C128" i="17" s="1"/>
  <c r="C94" i="17"/>
  <c r="C124" i="17"/>
  <c r="E124" i="17" s="1"/>
  <c r="C77" i="17"/>
  <c r="F91" i="17"/>
  <c r="F99" i="17" s="1"/>
  <c r="F107" i="17" s="1"/>
  <c r="F100" i="17"/>
  <c r="F108" i="17" s="1"/>
  <c r="E92" i="17"/>
  <c r="E101" i="17"/>
  <c r="E109" i="17" s="1"/>
  <c r="D74" i="17"/>
  <c r="D93" i="17"/>
  <c r="D102" i="17"/>
  <c r="D110" i="17" s="1"/>
  <c r="E44" i="16"/>
  <c r="F45" i="16"/>
  <c r="F28" i="16"/>
  <c r="E27" i="16"/>
  <c r="D48" i="16"/>
  <c r="F30" i="16"/>
  <c r="D47" i="16"/>
  <c r="F29" i="16"/>
  <c r="D44" i="16"/>
  <c r="D50" i="16" s="1"/>
  <c r="F46" i="16"/>
  <c r="G74" i="31" l="1"/>
  <c r="I74" i="31" s="1"/>
  <c r="F90" i="31"/>
  <c r="F89" i="31"/>
  <c r="F88" i="31"/>
  <c r="F87" i="31"/>
  <c r="F92" i="31"/>
  <c r="F86" i="31"/>
  <c r="F85" i="31"/>
  <c r="E55" i="30"/>
  <c r="D67" i="30"/>
  <c r="E54" i="30"/>
  <c r="D66" i="30"/>
  <c r="H26" i="29"/>
  <c r="F43" i="29"/>
  <c r="F44" i="29" s="1"/>
  <c r="F45" i="29" s="1"/>
  <c r="F46" i="29" s="1"/>
  <c r="G46" i="29"/>
  <c r="I31" i="27"/>
  <c r="H31" i="27"/>
  <c r="E29" i="27"/>
  <c r="H29" i="27" s="1"/>
  <c r="H30" i="27"/>
  <c r="F29" i="27"/>
  <c r="I29" i="27" s="1"/>
  <c r="I30" i="27"/>
  <c r="I32" i="27"/>
  <c r="H59" i="25"/>
  <c r="H60" i="25" s="1"/>
  <c r="H61" i="25" s="1"/>
  <c r="D41" i="24"/>
  <c r="E41" i="24" s="1"/>
  <c r="B40" i="24"/>
  <c r="C46" i="23"/>
  <c r="H67" i="22"/>
  <c r="I61" i="22"/>
  <c r="D73" i="22" s="1"/>
  <c r="F48" i="22"/>
  <c r="C73" i="22" s="1"/>
  <c r="E73" i="22" s="1"/>
  <c r="F73" i="22" s="1"/>
  <c r="E64" i="22"/>
  <c r="F64" i="22" s="1"/>
  <c r="H64" i="22" s="1"/>
  <c r="I64" i="22" s="1"/>
  <c r="D76" i="22" s="1"/>
  <c r="E51" i="22"/>
  <c r="F51" i="22" s="1"/>
  <c r="C76" i="22" s="1"/>
  <c r="E76" i="22" s="1"/>
  <c r="F76" i="22" s="1"/>
  <c r="G76" i="22" s="1"/>
  <c r="E66" i="22"/>
  <c r="F66" i="22" s="1"/>
  <c r="H66" i="22" s="1"/>
  <c r="I66" i="22" s="1"/>
  <c r="D78" i="22" s="1"/>
  <c r="E78" i="22" s="1"/>
  <c r="F78" i="22" s="1"/>
  <c r="G78" i="22" s="1"/>
  <c r="E53" i="22"/>
  <c r="F53" i="22" s="1"/>
  <c r="C78" i="22" s="1"/>
  <c r="H88" i="20"/>
  <c r="J43" i="20"/>
  <c r="K44" i="20"/>
  <c r="H46" i="20"/>
  <c r="M84" i="20"/>
  <c r="L47" i="20"/>
  <c r="K47" i="20"/>
  <c r="L49" i="20"/>
  <c r="K49" i="20"/>
  <c r="K42" i="20"/>
  <c r="L42" i="20"/>
  <c r="G88" i="20"/>
  <c r="D86" i="20"/>
  <c r="F86" i="20" s="1"/>
  <c r="H86" i="20" s="1"/>
  <c r="C86" i="20"/>
  <c r="E86" i="20" s="1"/>
  <c r="G86" i="20" s="1"/>
  <c r="I48" i="20"/>
  <c r="M86" i="20"/>
  <c r="L86" i="20"/>
  <c r="H48" i="19"/>
  <c r="F48" i="19"/>
  <c r="C46" i="19"/>
  <c r="L48" i="19" s="1"/>
  <c r="K48" i="19"/>
  <c r="J48" i="19"/>
  <c r="E48" i="19"/>
  <c r="D48" i="19"/>
  <c r="M48" i="19"/>
  <c r="D33" i="18"/>
  <c r="D34" i="18"/>
  <c r="C127" i="17"/>
  <c r="C118" i="17"/>
  <c r="D101" i="17"/>
  <c r="D109" i="17" s="1"/>
  <c r="D92" i="17"/>
  <c r="C126" i="17"/>
  <c r="D117" i="17"/>
  <c r="E100" i="17"/>
  <c r="E108" i="17" s="1"/>
  <c r="E91" i="17"/>
  <c r="E99" i="17" s="1"/>
  <c r="E107" i="17" s="1"/>
  <c r="E116" i="17"/>
  <c r="C125" i="17"/>
  <c r="E115" i="17"/>
  <c r="E120" i="17" s="1"/>
  <c r="E121" i="17" s="1"/>
  <c r="D126" i="17" s="1"/>
  <c r="F115" i="17"/>
  <c r="F120" i="17" s="1"/>
  <c r="F121" i="17" s="1"/>
  <c r="D125" i="17" s="1"/>
  <c r="F124" i="17"/>
  <c r="C102" i="17"/>
  <c r="C110" i="17" s="1"/>
  <c r="C93" i="17"/>
  <c r="F27" i="16"/>
  <c r="E26" i="16"/>
  <c r="E43" i="16"/>
  <c r="F43" i="16" s="1"/>
  <c r="F44" i="16"/>
  <c r="F54" i="30" l="1"/>
  <c r="E66" i="30"/>
  <c r="F55" i="30"/>
  <c r="F67" i="30" s="1"/>
  <c r="E67" i="30"/>
  <c r="C43" i="29"/>
  <c r="H27" i="29"/>
  <c r="I37" i="27"/>
  <c r="I36" i="27"/>
  <c r="D39" i="27" s="1"/>
  <c r="H37" i="27"/>
  <c r="H36" i="27"/>
  <c r="D38" i="27" s="1"/>
  <c r="D40" i="24"/>
  <c r="E40" i="24" s="1"/>
  <c r="B39" i="24"/>
  <c r="F79" i="22"/>
  <c r="G73" i="22"/>
  <c r="G79" i="22" s="1"/>
  <c r="E54" i="22"/>
  <c r="L48" i="20"/>
  <c r="K48" i="20"/>
  <c r="K50" i="20"/>
  <c r="O76" i="20" s="1"/>
  <c r="J46" i="20"/>
  <c r="J50" i="20" s="1"/>
  <c r="N76" i="20" s="1"/>
  <c r="N79" i="20" s="1"/>
  <c r="L46" i="20"/>
  <c r="L50" i="20" s="1"/>
  <c r="P76" i="20" s="1"/>
  <c r="P79" i="20" s="1"/>
  <c r="F49" i="19"/>
  <c r="B58" i="19" s="1"/>
  <c r="M49" i="19"/>
  <c r="B65" i="19" s="1"/>
  <c r="B82" i="19" s="1"/>
  <c r="D82" i="19" s="1"/>
  <c r="L49" i="19"/>
  <c r="B64" i="19" s="1"/>
  <c r="J49" i="19"/>
  <c r="B62" i="19" s="1"/>
  <c r="E49" i="19"/>
  <c r="B57" i="19" s="1"/>
  <c r="K49" i="19"/>
  <c r="B63" i="19" s="1"/>
  <c r="H49" i="19"/>
  <c r="B60" i="19" s="1"/>
  <c r="D49" i="19"/>
  <c r="B56" i="19" s="1"/>
  <c r="G48" i="19"/>
  <c r="G49" i="19" s="1"/>
  <c r="B59" i="19" s="1"/>
  <c r="I48" i="19"/>
  <c r="I49" i="19" s="1"/>
  <c r="B61" i="19" s="1"/>
  <c r="D115" i="17"/>
  <c r="D120" i="17" s="1"/>
  <c r="D121" i="17" s="1"/>
  <c r="D127" i="17" s="1"/>
  <c r="E127" i="17" s="1"/>
  <c r="F127" i="17" s="1"/>
  <c r="E126" i="17"/>
  <c r="F126" i="17" s="1"/>
  <c r="D91" i="17"/>
  <c r="D99" i="17" s="1"/>
  <c r="D107" i="17" s="1"/>
  <c r="D100" i="17"/>
  <c r="D108" i="17" s="1"/>
  <c r="E125" i="17"/>
  <c r="D116" i="17"/>
  <c r="C101" i="17"/>
  <c r="C109" i="17" s="1"/>
  <c r="C117" i="17" s="1"/>
  <c r="C92" i="17"/>
  <c r="F54" i="16"/>
  <c r="F50" i="16"/>
  <c r="E25" i="16"/>
  <c r="F25" i="16" s="1"/>
  <c r="F26" i="16"/>
  <c r="G54" i="30" l="1"/>
  <c r="F66" i="30"/>
  <c r="E43" i="29"/>
  <c r="D43" i="29"/>
  <c r="H43" i="29" s="1"/>
  <c r="C44" i="29"/>
  <c r="D41" i="27"/>
  <c r="D39" i="24"/>
  <c r="E39" i="24" s="1"/>
  <c r="E49" i="24" s="1"/>
  <c r="B38" i="24"/>
  <c r="O87" i="20"/>
  <c r="Q87" i="20" s="1"/>
  <c r="O86" i="20"/>
  <c r="Q86" i="20" s="1"/>
  <c r="O85" i="20"/>
  <c r="Q85" i="20" s="1"/>
  <c r="O84" i="20"/>
  <c r="Q84" i="20" s="1"/>
  <c r="O83" i="20"/>
  <c r="Q83" i="20" s="1"/>
  <c r="O79" i="20"/>
  <c r="D59" i="19"/>
  <c r="B76" i="19"/>
  <c r="D76" i="19" s="1"/>
  <c r="D61" i="19"/>
  <c r="B78" i="19"/>
  <c r="D78" i="19" s="1"/>
  <c r="B73" i="19"/>
  <c r="D73" i="19" s="1"/>
  <c r="D56" i="19"/>
  <c r="D60" i="19"/>
  <c r="B77" i="19"/>
  <c r="D77" i="19" s="1"/>
  <c r="D63" i="19"/>
  <c r="B80" i="19"/>
  <c r="D80" i="19" s="1"/>
  <c r="D57" i="19"/>
  <c r="B74" i="19"/>
  <c r="D74" i="19" s="1"/>
  <c r="B79" i="19"/>
  <c r="D79" i="19" s="1"/>
  <c r="D62" i="19"/>
  <c r="B81" i="19"/>
  <c r="D81" i="19" s="1"/>
  <c r="D64" i="19"/>
  <c r="D58" i="19"/>
  <c r="B75" i="19"/>
  <c r="D75" i="19" s="1"/>
  <c r="C91" i="17"/>
  <c r="C99" i="17" s="1"/>
  <c r="C107" i="17" s="1"/>
  <c r="C115" i="17" s="1"/>
  <c r="C100" i="17"/>
  <c r="C108" i="17" s="1"/>
  <c r="C116" i="17" s="1"/>
  <c r="F125" i="17"/>
  <c r="F32" i="16"/>
  <c r="F36" i="16" s="1"/>
  <c r="D62" i="16"/>
  <c r="D59" i="16"/>
  <c r="D61" i="16"/>
  <c r="D58" i="16"/>
  <c r="D63" i="16"/>
  <c r="D60" i="16"/>
  <c r="G66" i="30" l="1"/>
  <c r="H54" i="30"/>
  <c r="H66" i="30" s="1"/>
  <c r="C45" i="29"/>
  <c r="E44" i="29"/>
  <c r="D44" i="29"/>
  <c r="C62" i="27"/>
  <c r="D50" i="27"/>
  <c r="D51" i="27" s="1"/>
  <c r="B37" i="24"/>
  <c r="D38" i="24"/>
  <c r="E38" i="24" s="1"/>
  <c r="Q88" i="20"/>
  <c r="N87" i="20"/>
  <c r="P87" i="20" s="1"/>
  <c r="N86" i="20"/>
  <c r="P86" i="20" s="1"/>
  <c r="N85" i="20"/>
  <c r="P85" i="20" s="1"/>
  <c r="N84" i="20"/>
  <c r="P84" i="20" s="1"/>
  <c r="N83" i="20"/>
  <c r="P83" i="20" s="1"/>
  <c r="P88" i="20" s="1"/>
  <c r="D66" i="19"/>
  <c r="D83" i="19"/>
  <c r="E84" i="19" s="1"/>
  <c r="C120" i="17"/>
  <c r="C121" i="17" s="1"/>
  <c r="D128" i="17" s="1"/>
  <c r="E128" i="17" s="1"/>
  <c r="C62" i="16"/>
  <c r="E62" i="16" s="1"/>
  <c r="D99" i="16" s="1"/>
  <c r="C59" i="16"/>
  <c r="E59" i="16" s="1"/>
  <c r="D96" i="16" s="1"/>
  <c r="C58" i="16"/>
  <c r="E58" i="16" s="1"/>
  <c r="C63" i="16"/>
  <c r="E63" i="16" s="1"/>
  <c r="D100" i="16" s="1"/>
  <c r="H100" i="16" s="1"/>
  <c r="C60" i="16"/>
  <c r="E60" i="16" s="1"/>
  <c r="D97" i="16" s="1"/>
  <c r="C61" i="16"/>
  <c r="E61" i="16" s="1"/>
  <c r="D98" i="16" s="1"/>
  <c r="D45" i="29" l="1"/>
  <c r="C46" i="29"/>
  <c r="E45" i="29"/>
  <c r="H44" i="29"/>
  <c r="D37" i="24"/>
  <c r="E37" i="24" s="1"/>
  <c r="E48" i="24" s="1"/>
  <c r="B36" i="24"/>
  <c r="D36" i="24" s="1"/>
  <c r="E36" i="24" s="1"/>
  <c r="E47" i="24" s="1"/>
  <c r="E50" i="24" s="1"/>
  <c r="F77" i="19"/>
  <c r="C91" i="19" s="1"/>
  <c r="D91" i="19" s="1"/>
  <c r="F82" i="19"/>
  <c r="C96" i="19" s="1"/>
  <c r="D96" i="19" s="1"/>
  <c r="F78" i="19"/>
  <c r="C92" i="19" s="1"/>
  <c r="D92" i="19" s="1"/>
  <c r="F73" i="19"/>
  <c r="F79" i="19"/>
  <c r="C93" i="19" s="1"/>
  <c r="D93" i="19" s="1"/>
  <c r="F81" i="19"/>
  <c r="C95" i="19" s="1"/>
  <c r="D95" i="19" s="1"/>
  <c r="F80" i="19"/>
  <c r="C94" i="19" s="1"/>
  <c r="D94" i="19" s="1"/>
  <c r="F74" i="19"/>
  <c r="C88" i="19" s="1"/>
  <c r="D88" i="19" s="1"/>
  <c r="F76" i="19"/>
  <c r="C90" i="19" s="1"/>
  <c r="D90" i="19" s="1"/>
  <c r="F75" i="19"/>
  <c r="C89" i="19" s="1"/>
  <c r="D89" i="19" s="1"/>
  <c r="E58" i="19"/>
  <c r="F58" i="19" s="1"/>
  <c r="E60" i="19"/>
  <c r="F60" i="19" s="1"/>
  <c r="E61" i="19"/>
  <c r="F61" i="19" s="1"/>
  <c r="E63" i="19"/>
  <c r="F63" i="19" s="1"/>
  <c r="E65" i="19"/>
  <c r="F65" i="19" s="1"/>
  <c r="E62" i="19"/>
  <c r="F62" i="19" s="1"/>
  <c r="E59" i="19"/>
  <c r="F59" i="19" s="1"/>
  <c r="E56" i="19"/>
  <c r="F56" i="19" s="1"/>
  <c r="E64" i="19"/>
  <c r="F64" i="19" s="1"/>
  <c r="E57" i="19"/>
  <c r="F57" i="19" s="1"/>
  <c r="F128" i="17"/>
  <c r="F129" i="17" s="1"/>
  <c r="E129" i="17"/>
  <c r="G98" i="16"/>
  <c r="F98" i="16"/>
  <c r="H98" i="16"/>
  <c r="E97" i="16"/>
  <c r="F97" i="16"/>
  <c r="H97" i="16"/>
  <c r="G97" i="16"/>
  <c r="D95" i="16"/>
  <c r="E64" i="16"/>
  <c r="F96" i="16"/>
  <c r="H96" i="16"/>
  <c r="G96" i="16"/>
  <c r="E96" i="16"/>
  <c r="H99" i="16"/>
  <c r="G99" i="16"/>
  <c r="E46" i="29" l="1"/>
  <c r="D46" i="29"/>
  <c r="H45" i="29"/>
  <c r="F41" i="24"/>
  <c r="G41" i="24" s="1"/>
  <c r="F39" i="24"/>
  <c r="G39" i="24" s="1"/>
  <c r="F37" i="24"/>
  <c r="G37" i="24" s="1"/>
  <c r="F43" i="24"/>
  <c r="G43" i="24" s="1"/>
  <c r="F36" i="24"/>
  <c r="G36" i="24" s="1"/>
  <c r="F42" i="24"/>
  <c r="G42" i="24" s="1"/>
  <c r="F40" i="24"/>
  <c r="G40" i="24" s="1"/>
  <c r="F38" i="24"/>
  <c r="G38" i="24" s="1"/>
  <c r="F66" i="19"/>
  <c r="F83" i="19"/>
  <c r="C87" i="19"/>
  <c r="E95" i="16"/>
  <c r="E101" i="16" s="1"/>
  <c r="D107" i="16" s="1"/>
  <c r="H95" i="16"/>
  <c r="H101" i="16" s="1"/>
  <c r="D110" i="16" s="1"/>
  <c r="E110" i="16" s="1"/>
  <c r="G95" i="16"/>
  <c r="G101" i="16" s="1"/>
  <c r="D109" i="16" s="1"/>
  <c r="E109" i="16" s="1"/>
  <c r="F95" i="16"/>
  <c r="F101" i="16" s="1"/>
  <c r="D108" i="16" s="1"/>
  <c r="E108" i="16" s="1"/>
  <c r="H46" i="29" l="1"/>
  <c r="D60" i="24"/>
  <c r="E60" i="24" s="1"/>
  <c r="D62" i="24"/>
  <c r="E62" i="24" s="1"/>
  <c r="D64" i="24"/>
  <c r="E64" i="24" s="1"/>
  <c r="C79" i="24"/>
  <c r="D79" i="24" s="1"/>
  <c r="E79" i="24" s="1"/>
  <c r="D58" i="24"/>
  <c r="G44" i="24"/>
  <c r="C73" i="24"/>
  <c r="D65" i="24"/>
  <c r="E65" i="24" s="1"/>
  <c r="C74" i="24"/>
  <c r="D74" i="24" s="1"/>
  <c r="E74" i="24" s="1"/>
  <c r="D59" i="24"/>
  <c r="E59" i="24" s="1"/>
  <c r="D61" i="24"/>
  <c r="E61" i="24" s="1"/>
  <c r="D63" i="24"/>
  <c r="E63" i="24" s="1"/>
  <c r="C97" i="19"/>
  <c r="D87" i="19"/>
  <c r="D97" i="19" s="1"/>
  <c r="D111" i="16"/>
  <c r="E111" i="16" s="1"/>
  <c r="E113" i="16" s="1"/>
  <c r="C120" i="16" s="1"/>
  <c r="E107" i="16"/>
  <c r="D73" i="24" l="1"/>
  <c r="E58" i="24"/>
  <c r="E66" i="24" s="1"/>
  <c r="D66" i="24"/>
  <c r="C76" i="24"/>
  <c r="D76" i="24" s="1"/>
  <c r="E76" i="24" s="1"/>
  <c r="C77" i="24"/>
  <c r="D77" i="24" s="1"/>
  <c r="E77" i="24" s="1"/>
  <c r="C80" i="24"/>
  <c r="D80" i="24" s="1"/>
  <c r="E80" i="24" s="1"/>
  <c r="C78" i="24"/>
  <c r="D78" i="24" s="1"/>
  <c r="E78" i="24" s="1"/>
  <c r="C75" i="24"/>
  <c r="D75" i="24" s="1"/>
  <c r="E75" i="24" s="1"/>
  <c r="B30" i="13"/>
  <c r="E59" i="13" s="1"/>
  <c r="B29" i="13"/>
  <c r="C29" i="13" s="1"/>
  <c r="B28" i="13"/>
  <c r="C28" i="13" s="1"/>
  <c r="B27" i="13"/>
  <c r="C27" i="13" s="1"/>
  <c r="B26" i="13"/>
  <c r="C26" i="13" s="1"/>
  <c r="B25" i="13"/>
  <c r="B78" i="12"/>
  <c r="G77" i="12"/>
  <c r="E77" i="12"/>
  <c r="B77" i="12"/>
  <c r="C76" i="12"/>
  <c r="B76" i="12"/>
  <c r="G75" i="12"/>
  <c r="E75" i="12"/>
  <c r="B75" i="12"/>
  <c r="B74" i="12"/>
  <c r="G70" i="12"/>
  <c r="D74" i="12" s="1"/>
  <c r="C68" i="12"/>
  <c r="C65" i="12"/>
  <c r="C78" i="12" s="1"/>
  <c r="D64" i="12"/>
  <c r="C77" i="12" s="1"/>
  <c r="E63" i="12"/>
  <c r="F62" i="12"/>
  <c r="C75" i="12" s="1"/>
  <c r="G61" i="12"/>
  <c r="D60" i="12"/>
  <c r="E60" i="12" s="1"/>
  <c r="C29" i="12"/>
  <c r="H29" i="12" s="1"/>
  <c r="D28" i="12"/>
  <c r="H28" i="12" s="1"/>
  <c r="C28" i="12" s="1"/>
  <c r="C64" i="12" s="1"/>
  <c r="E27" i="12"/>
  <c r="H27" i="12" s="1"/>
  <c r="F26" i="12"/>
  <c r="H26" i="12" s="1"/>
  <c r="G25" i="12"/>
  <c r="H25" i="12" s="1"/>
  <c r="D24" i="12"/>
  <c r="E24" i="12" s="1"/>
  <c r="F24" i="12" s="1"/>
  <c r="G24" i="12" s="1"/>
  <c r="D101" i="11"/>
  <c r="C87" i="11"/>
  <c r="C86" i="11"/>
  <c r="C85" i="11"/>
  <c r="F85" i="11" s="1"/>
  <c r="C84" i="11"/>
  <c r="C83" i="11"/>
  <c r="D77" i="11"/>
  <c r="C77" i="11"/>
  <c r="D87" i="11" s="1"/>
  <c r="D76" i="11"/>
  <c r="C76" i="11"/>
  <c r="E76" i="11" s="1"/>
  <c r="E75" i="11"/>
  <c r="D75" i="11"/>
  <c r="C75" i="11"/>
  <c r="D85" i="11" s="1"/>
  <c r="D74" i="11"/>
  <c r="C74" i="11"/>
  <c r="E74" i="11" s="1"/>
  <c r="D73" i="11"/>
  <c r="C73" i="11"/>
  <c r="D83" i="11" s="1"/>
  <c r="F83" i="11" s="1"/>
  <c r="H38" i="11"/>
  <c r="G38" i="11"/>
  <c r="F38" i="11"/>
  <c r="C37" i="11"/>
  <c r="F36" i="11"/>
  <c r="C36" i="11"/>
  <c r="F35" i="11"/>
  <c r="C35" i="11"/>
  <c r="F34" i="11"/>
  <c r="C34" i="11"/>
  <c r="H40" i="11" s="1"/>
  <c r="F33" i="11"/>
  <c r="E33" i="11"/>
  <c r="D33" i="11"/>
  <c r="E32" i="11"/>
  <c r="E38" i="11" s="1"/>
  <c r="D32" i="11"/>
  <c r="D38" i="11" s="1"/>
  <c r="M24" i="11"/>
  <c r="Q24" i="11" s="1"/>
  <c r="U24" i="11" s="1"/>
  <c r="Y24" i="11" s="1"/>
  <c r="C46" i="10"/>
  <c r="E46" i="10" s="1"/>
  <c r="C45" i="10"/>
  <c r="E45" i="10" s="1"/>
  <c r="C44" i="10"/>
  <c r="E44" i="10" s="1"/>
  <c r="C43" i="10"/>
  <c r="E43" i="10" s="1"/>
  <c r="E39" i="10"/>
  <c r="G42" i="10" s="1"/>
  <c r="E38" i="10"/>
  <c r="F42" i="10" s="1"/>
  <c r="B81" i="9"/>
  <c r="B80" i="9"/>
  <c r="B79" i="9"/>
  <c r="B78" i="9"/>
  <c r="B77" i="9"/>
  <c r="B82" i="9" s="1"/>
  <c r="B70" i="9"/>
  <c r="A70" i="9"/>
  <c r="C70" i="9" s="1"/>
  <c r="B69" i="9"/>
  <c r="A69" i="9"/>
  <c r="C69" i="9" s="1"/>
  <c r="B68" i="9"/>
  <c r="A68" i="9"/>
  <c r="B67" i="9"/>
  <c r="A67" i="9"/>
  <c r="C67" i="9" s="1"/>
  <c r="D66" i="9"/>
  <c r="B66" i="9"/>
  <c r="A66" i="9"/>
  <c r="E61" i="9"/>
  <c r="F61" i="9" s="1"/>
  <c r="C81" i="9" s="1"/>
  <c r="B61" i="9"/>
  <c r="E60" i="9"/>
  <c r="F60" i="9" s="1"/>
  <c r="C80" i="9" s="1"/>
  <c r="B60" i="9"/>
  <c r="E59" i="9"/>
  <c r="F59" i="9" s="1"/>
  <c r="C79" i="9" s="1"/>
  <c r="B59" i="9"/>
  <c r="E58" i="9"/>
  <c r="F58" i="9" s="1"/>
  <c r="C78" i="9" s="1"/>
  <c r="B58" i="9"/>
  <c r="E57" i="9"/>
  <c r="F57" i="9" s="1"/>
  <c r="C77" i="9" s="1"/>
  <c r="B57" i="9"/>
  <c r="E47" i="9"/>
  <c r="F45" i="9"/>
  <c r="E45" i="9"/>
  <c r="D45" i="9"/>
  <c r="G44" i="9"/>
  <c r="C44" i="9"/>
  <c r="G47" i="9" s="1"/>
  <c r="H43" i="9"/>
  <c r="G43" i="9"/>
  <c r="G45" i="9" s="1"/>
  <c r="M34" i="9"/>
  <c r="Q34" i="9" s="1"/>
  <c r="U34" i="9" s="1"/>
  <c r="Y34" i="9" s="1"/>
  <c r="D54" i="8"/>
  <c r="D53" i="8" s="1"/>
  <c r="B54" i="8"/>
  <c r="C54" i="8" s="1"/>
  <c r="E48" i="8"/>
  <c r="C26" i="8"/>
  <c r="D26" i="8" s="1"/>
  <c r="B26" i="8"/>
  <c r="C25" i="8"/>
  <c r="D25" i="8" s="1"/>
  <c r="B25" i="8"/>
  <c r="B53" i="8" s="1"/>
  <c r="C53" i="8" s="1"/>
  <c r="C24" i="8"/>
  <c r="D24" i="8" s="1"/>
  <c r="D29" i="8" s="1"/>
  <c r="B24" i="8"/>
  <c r="B52" i="8" s="1"/>
  <c r="C52" i="8" s="1"/>
  <c r="C23" i="8"/>
  <c r="D23" i="8" s="1"/>
  <c r="B23" i="8"/>
  <c r="C22" i="8"/>
  <c r="D22" i="8" s="1"/>
  <c r="D28" i="8" s="1"/>
  <c r="B22" i="8"/>
  <c r="C21" i="8"/>
  <c r="B21" i="8"/>
  <c r="B63" i="7"/>
  <c r="B64" i="7" s="1"/>
  <c r="B65" i="7" s="1"/>
  <c r="B44" i="7"/>
  <c r="B45" i="7" s="1"/>
  <c r="D43" i="7"/>
  <c r="F43" i="7" s="1"/>
  <c r="H43" i="7" s="1"/>
  <c r="C43" i="7"/>
  <c r="E43" i="7" s="1"/>
  <c r="G43" i="7" s="1"/>
  <c r="B43" i="7"/>
  <c r="D42" i="7"/>
  <c r="F42" i="7" s="1"/>
  <c r="C42" i="7"/>
  <c r="E42" i="7" s="1"/>
  <c r="D28" i="7"/>
  <c r="D45" i="7" s="1"/>
  <c r="F45" i="7" s="1"/>
  <c r="H45" i="7" s="1"/>
  <c r="C28" i="7"/>
  <c r="C45" i="7" s="1"/>
  <c r="E45" i="7" s="1"/>
  <c r="G45" i="7" s="1"/>
  <c r="D27" i="7"/>
  <c r="F27" i="7" s="1"/>
  <c r="C27" i="7"/>
  <c r="E27" i="7" s="1"/>
  <c r="C64" i="7" s="1"/>
  <c r="B27" i="7"/>
  <c r="B28" i="7" s="1"/>
  <c r="F26" i="7"/>
  <c r="D26" i="7"/>
  <c r="C26" i="7"/>
  <c r="E26" i="7" s="1"/>
  <c r="C63" i="7" s="1"/>
  <c r="B26" i="7"/>
  <c r="D25" i="7"/>
  <c r="F25" i="7" s="1"/>
  <c r="C25" i="7"/>
  <c r="E25" i="7" s="1"/>
  <c r="B9" i="7"/>
  <c r="B10" i="7" s="1"/>
  <c r="B11" i="7" s="1"/>
  <c r="C78" i="6"/>
  <c r="D77" i="6"/>
  <c r="C77" i="6"/>
  <c r="B77" i="6"/>
  <c r="B78" i="6" s="1"/>
  <c r="B76" i="6"/>
  <c r="F75" i="6"/>
  <c r="E75" i="6"/>
  <c r="D75" i="6"/>
  <c r="C75" i="6"/>
  <c r="D74" i="6"/>
  <c r="E74" i="6" s="1"/>
  <c r="F74" i="6" s="1"/>
  <c r="C71" i="6"/>
  <c r="D70" i="6"/>
  <c r="C70" i="6"/>
  <c r="G89" i="6" s="1"/>
  <c r="B69" i="6"/>
  <c r="B70" i="6" s="1"/>
  <c r="B71" i="6" s="1"/>
  <c r="F68" i="6"/>
  <c r="E68" i="6"/>
  <c r="D68" i="6"/>
  <c r="C68" i="6"/>
  <c r="D67" i="6"/>
  <c r="E67" i="6" s="1"/>
  <c r="F67" i="6" s="1"/>
  <c r="F62" i="6"/>
  <c r="D76" i="6" s="1"/>
  <c r="F61" i="6"/>
  <c r="C76" i="6" s="1"/>
  <c r="F57" i="6"/>
  <c r="D69" i="6" s="1"/>
  <c r="F56" i="6"/>
  <c r="C69" i="6" s="1"/>
  <c r="C37" i="6"/>
  <c r="D36" i="6"/>
  <c r="C36" i="6"/>
  <c r="E35" i="6"/>
  <c r="D35" i="6"/>
  <c r="C35" i="6"/>
  <c r="B35" i="6"/>
  <c r="B36" i="6" s="1"/>
  <c r="B37" i="6" s="1"/>
  <c r="F34" i="6"/>
  <c r="E34" i="6"/>
  <c r="D34" i="6"/>
  <c r="C34" i="6"/>
  <c r="E33" i="6"/>
  <c r="F33" i="6" s="1"/>
  <c r="D33" i="6"/>
  <c r="D81" i="24" l="1"/>
  <c r="E81" i="24" s="1"/>
  <c r="E73" i="24"/>
  <c r="C81" i="24"/>
  <c r="E69" i="9"/>
  <c r="D47" i="9"/>
  <c r="B71" i="9"/>
  <c r="C36" i="13"/>
  <c r="C30" i="13"/>
  <c r="C37" i="13" s="1"/>
  <c r="D39" i="13" s="1"/>
  <c r="E58" i="13" s="1"/>
  <c r="E61" i="13" s="1"/>
  <c r="F25" i="12"/>
  <c r="F61" i="12" s="1"/>
  <c r="C25" i="12"/>
  <c r="C61" i="12" s="1"/>
  <c r="E25" i="12"/>
  <c r="E61" i="12" s="1"/>
  <c r="D25" i="12"/>
  <c r="D61" i="12" s="1"/>
  <c r="C27" i="12"/>
  <c r="C63" i="12" s="1"/>
  <c r="D27" i="12"/>
  <c r="D63" i="12" s="1"/>
  <c r="F69" i="12"/>
  <c r="F70" i="12" s="1"/>
  <c r="D75" i="12" s="1"/>
  <c r="E26" i="12"/>
  <c r="E62" i="12" s="1"/>
  <c r="D26" i="12"/>
  <c r="D62" i="12" s="1"/>
  <c r="C69" i="12" s="1"/>
  <c r="C26" i="12"/>
  <c r="C62" i="12" s="1"/>
  <c r="F75" i="12"/>
  <c r="H75" i="12" s="1"/>
  <c r="F60" i="12"/>
  <c r="E68" i="12" s="1"/>
  <c r="D68" i="12"/>
  <c r="C74" i="12"/>
  <c r="F87" i="11"/>
  <c r="G42" i="11"/>
  <c r="F76" i="11" s="1"/>
  <c r="G76" i="11" s="1"/>
  <c r="E77" i="11"/>
  <c r="D40" i="11"/>
  <c r="D42" i="11" s="1"/>
  <c r="F73" i="11" s="1"/>
  <c r="E73" i="11"/>
  <c r="G73" i="11" s="1"/>
  <c r="G83" i="11" s="1"/>
  <c r="C96" i="11" s="1"/>
  <c r="D86" i="11"/>
  <c r="F86" i="11" s="1"/>
  <c r="F40" i="11"/>
  <c r="F42" i="11" s="1"/>
  <c r="F75" i="11" s="1"/>
  <c r="G75" i="11" s="1"/>
  <c r="G85" i="11" s="1"/>
  <c r="C98" i="11" s="1"/>
  <c r="H42" i="11"/>
  <c r="F77" i="11" s="1"/>
  <c r="D84" i="11"/>
  <c r="F84" i="11" s="1"/>
  <c r="E40" i="11"/>
  <c r="E42" i="11" s="1"/>
  <c r="F74" i="11" s="1"/>
  <c r="G74" i="11" s="1"/>
  <c r="G40" i="11"/>
  <c r="F45" i="10"/>
  <c r="C52" i="10" s="1"/>
  <c r="F44" i="10"/>
  <c r="C51" i="10" s="1"/>
  <c r="F46" i="10"/>
  <c r="C53" i="10" s="1"/>
  <c r="F43" i="10"/>
  <c r="C50" i="10" s="1"/>
  <c r="G45" i="10"/>
  <c r="D52" i="10" s="1"/>
  <c r="E52" i="10" s="1"/>
  <c r="F52" i="10" s="1"/>
  <c r="G44" i="10"/>
  <c r="D51" i="10" s="1"/>
  <c r="E51" i="10" s="1"/>
  <c r="F51" i="10" s="1"/>
  <c r="G46" i="10"/>
  <c r="D53" i="10" s="1"/>
  <c r="E53" i="10" s="1"/>
  <c r="F53" i="10" s="1"/>
  <c r="G43" i="10"/>
  <c r="D50" i="10" s="1"/>
  <c r="E50" i="10" s="1"/>
  <c r="F50" i="10" s="1"/>
  <c r="E70" i="9"/>
  <c r="E67" i="9"/>
  <c r="F47" i="9"/>
  <c r="B62" i="9"/>
  <c r="C68" i="9"/>
  <c r="E68" i="9" s="1"/>
  <c r="C66" i="9"/>
  <c r="E66" i="9" s="1"/>
  <c r="H44" i="9"/>
  <c r="H45" i="9" s="1"/>
  <c r="D52" i="8"/>
  <c r="E52" i="8" s="1"/>
  <c r="F52" i="8" s="1"/>
  <c r="G52" i="8" s="1"/>
  <c r="H52" i="8" s="1"/>
  <c r="E53" i="8"/>
  <c r="F53" i="8" s="1"/>
  <c r="G53" i="8" s="1"/>
  <c r="H53" i="8" s="1"/>
  <c r="E54" i="8"/>
  <c r="F54" i="8" s="1"/>
  <c r="G54" i="8" s="1"/>
  <c r="H54" i="8" s="1"/>
  <c r="G42" i="7"/>
  <c r="G46" i="7" s="1"/>
  <c r="E46" i="7"/>
  <c r="C62" i="7"/>
  <c r="H42" i="7"/>
  <c r="C44" i="7"/>
  <c r="E44" i="7" s="1"/>
  <c r="G44" i="7" s="1"/>
  <c r="D44" i="7"/>
  <c r="F44" i="7" s="1"/>
  <c r="H44" i="7" s="1"/>
  <c r="E28" i="7"/>
  <c r="C65" i="7" s="1"/>
  <c r="F28" i="7"/>
  <c r="F29" i="7" s="1"/>
  <c r="G88" i="6"/>
  <c r="B88" i="6"/>
  <c r="B87" i="6"/>
  <c r="F58" i="6"/>
  <c r="E69" i="6" s="1"/>
  <c r="G87" i="6"/>
  <c r="F63" i="6"/>
  <c r="E76" i="6" s="1"/>
  <c r="B89" i="6"/>
  <c r="F74" i="12" l="1"/>
  <c r="C79" i="12"/>
  <c r="D69" i="12"/>
  <c r="G60" i="12"/>
  <c r="G68" i="12" s="1"/>
  <c r="F68" i="12"/>
  <c r="E69" i="12"/>
  <c r="E70" i="12" s="1"/>
  <c r="D76" i="12" s="1"/>
  <c r="F76" i="12" s="1"/>
  <c r="H76" i="12" s="1"/>
  <c r="G84" i="11"/>
  <c r="C97" i="11" s="1"/>
  <c r="G86" i="11"/>
  <c r="C99" i="11" s="1"/>
  <c r="G77" i="11"/>
  <c r="G87" i="11" s="1"/>
  <c r="C100" i="11" s="1"/>
  <c r="E71" i="9"/>
  <c r="H47" i="9"/>
  <c r="H55" i="8"/>
  <c r="F46" i="7"/>
  <c r="C66" i="7"/>
  <c r="H46" i="7"/>
  <c r="E29" i="7"/>
  <c r="G90" i="6"/>
  <c r="C70" i="12" l="1"/>
  <c r="D78" i="12" s="1"/>
  <c r="F78" i="12" s="1"/>
  <c r="H78" i="12" s="1"/>
  <c r="D70" i="12"/>
  <c r="D77" i="12" s="1"/>
  <c r="F77" i="12" s="1"/>
  <c r="H77" i="12" s="1"/>
  <c r="H74" i="12"/>
  <c r="H79" i="12" s="1"/>
  <c r="E103" i="11"/>
  <c r="F119" i="11" s="1"/>
  <c r="F121" i="11" s="1"/>
  <c r="H49" i="9"/>
  <c r="C61" i="9" s="1"/>
  <c r="D61" i="9" s="1"/>
  <c r="F49" i="9"/>
  <c r="C59" i="9" s="1"/>
  <c r="D59" i="9" s="1"/>
  <c r="E49" i="9"/>
  <c r="C58" i="9" s="1"/>
  <c r="D58" i="9" s="1"/>
  <c r="G49" i="9"/>
  <c r="C60" i="9" s="1"/>
  <c r="D60" i="9" s="1"/>
  <c r="D49" i="9"/>
  <c r="C57" i="9" s="1"/>
  <c r="D57" i="9" s="1"/>
  <c r="F79" i="12" l="1"/>
  <c r="F125" i="11"/>
  <c r="F126" i="11" s="1"/>
  <c r="G58" i="9"/>
  <c r="G60" i="9"/>
  <c r="G59" i="9"/>
  <c r="D62" i="9"/>
  <c r="G57" i="9"/>
  <c r="G61" i="9"/>
  <c r="G62" i="9" l="1"/>
  <c r="E73" i="9" s="1"/>
  <c r="F67" i="9" l="1"/>
  <c r="D78" i="9" s="1"/>
  <c r="E78" i="9" s="1"/>
  <c r="F69" i="9"/>
  <c r="D80" i="9" s="1"/>
  <c r="E80" i="9" s="1"/>
  <c r="F68" i="9"/>
  <c r="D79" i="9" s="1"/>
  <c r="E79" i="9" s="1"/>
  <c r="F66" i="9"/>
  <c r="F70" i="9"/>
  <c r="D81" i="9" s="1"/>
  <c r="E81" i="9" s="1"/>
  <c r="F71" i="9" l="1"/>
  <c r="D77" i="9"/>
  <c r="D82" i="9" l="1"/>
  <c r="E77" i="9"/>
  <c r="E82" i="9" s="1"/>
  <c r="C42" i="5" l="1"/>
  <c r="E42" i="5" s="1"/>
  <c r="C41" i="5"/>
  <c r="E41" i="5" s="1"/>
  <c r="C40" i="5"/>
  <c r="E40" i="5" s="1"/>
  <c r="C39" i="5"/>
  <c r="E39" i="5" s="1"/>
  <c r="C38" i="5"/>
  <c r="E38" i="5" s="1"/>
  <c r="C37" i="5"/>
  <c r="C43" i="5" s="1"/>
  <c r="D37" i="5" l="1"/>
  <c r="D41" i="5"/>
  <c r="E37" i="5"/>
  <c r="E43" i="5" s="1"/>
  <c r="D42" i="5"/>
  <c r="D39" i="5"/>
  <c r="D40" i="5"/>
  <c r="D38" i="5"/>
  <c r="D43" i="5" l="1"/>
  <c r="G35" i="2" l="1"/>
  <c r="B39" i="2" s="1"/>
  <c r="D49" i="2" s="1"/>
  <c r="E41" i="88" l="1" a="1"/>
  <c r="E41" i="88"/>
  <c r="E42" i="88"/>
  <c r="B49" i="88"/>
  <c r="B54" i="88"/>
  <c r="B53" i="88"/>
  <c r="C53" i="88"/>
  <c r="B52" i="88"/>
  <c r="C52" i="88"/>
  <c r="C54" i="88"/>
  <c r="B51" i="88"/>
  <c r="B50" i="88"/>
  <c r="C50" i="88"/>
  <c r="C51" i="88"/>
  <c r="C58" i="88"/>
  <c r="C57" i="88"/>
  <c r="C59" i="88"/>
  <c r="D52" i="88"/>
  <c r="D53" i="88"/>
  <c r="D55" i="88"/>
  <c r="D54" i="88"/>
  <c r="D50" i="88"/>
  <c r="D51" i="88"/>
  <c r="E91" i="88"/>
  <c r="E93" i="88"/>
  <c r="E94" i="88"/>
  <c r="E90" i="88"/>
  <c r="E92" i="88"/>
  <c r="E95" i="8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<sst xmlns="http://schemas.openxmlformats.org/spreadsheetml/2006/main" count="5636" uniqueCount="2936">
  <si>
    <r>
      <t>(</t>
    </r>
    <r>
      <rPr>
        <i/>
        <sz val="12"/>
        <color rgb="FF002060"/>
        <rFont val="Times New Roman"/>
        <family val="1"/>
      </rPr>
      <t>4 points</t>
    </r>
    <r>
      <rPr>
        <sz val="12"/>
        <color rgb="FF002060"/>
        <rFont val="Times New Roman"/>
        <family val="1"/>
      </rPr>
      <t>)</t>
    </r>
  </si>
  <si>
    <t>The response for part (a) is to be provided in the Word document.</t>
  </si>
  <si>
    <t>You are given the following information for an insurance company:</t>
  </si>
  <si>
    <t>Calendar Year</t>
  </si>
  <si>
    <t>Earned Exposures</t>
  </si>
  <si>
    <t>Paid ULAE</t>
  </si>
  <si>
    <t>Ratio of ULAE to Claims</t>
  </si>
  <si>
    <t>Classical Paid</t>
  </si>
  <si>
    <t>Kittel Refinement</t>
  </si>
  <si>
    <t>·</t>
  </si>
  <si>
    <t xml:space="preserve">	The Kittel refinement reflects the average of actual paid and reported claims.</t>
  </si>
  <si>
    <t>The response for part (b) is to be provided in the Word document.</t>
  </si>
  <si>
    <t>You are given the following additional information:</t>
  </si>
  <si>
    <t>As of December 31, 2019</t>
  </si>
  <si>
    <t>Case Estimates</t>
  </si>
  <si>
    <t>IBNR</t>
  </si>
  <si>
    <t>Approximately 80% of IBNR is a provision for development on known claims.</t>
  </si>
  <si>
    <t xml:space="preserve">Approximately 25% of claim department expenses relate to opening a claim file and 75% relate to maintaining and closing a claim file. </t>
  </si>
  <si>
    <t>(c)</t>
  </si>
  <si>
    <t>(1.5 points)  Estimate unpaid ULAE as of December 31, 2019 using the approach you selected in part (b).</t>
  </si>
  <si>
    <t>ANSWER:</t>
  </si>
  <si>
    <t xml:space="preserve">Ratio of ULAE to claims (Kittel refinement): average of 2018 and 2019 = </t>
  </si>
  <si>
    <t>For the ULAE ratio selection, use the average of the most recent 2 years to reflect the growing exposure base.</t>
  </si>
  <si>
    <t>Unpaid ULAE = (ULAE ratio × pure IBNR) + [ULAE ratio × multiplier × (case estimates+ development on case estimates)]</t>
  </si>
  <si>
    <t>Unpaid ULAE as of December 31, 2018 was 270,000.</t>
  </si>
  <si>
    <t>(d)</t>
  </si>
  <si>
    <t xml:space="preserve">(0.5 points)  Determine calendar year 2019 incurred ULAE.  </t>
  </si>
  <si>
    <t>CY Incurred = Paid + Change in O/S =</t>
  </si>
  <si>
    <t>The response for part (e) is to be provided in the Word document.</t>
  </si>
  <si>
    <t>o</t>
  </si>
  <si>
    <t>Version 2025-1</t>
  </si>
  <si>
    <t xml:space="preserve">Copyright © Society of Actuaries </t>
  </si>
  <si>
    <t>F2020 Question 15</t>
  </si>
  <si>
    <t>GIRR Fall 2020 Question 15 (LOs 1d, 1i, 4b, 4c)</t>
  </si>
  <si>
    <t>GIRR Fall 2021 Question 6 (LOs 1d, 1f, 3g, 3j)</t>
  </si>
  <si>
    <t>GIRR Fall 2021 Question 18 (LOs 1d, 3f, 3g, 4a, 4b)</t>
  </si>
  <si>
    <t>GIRR Spring 2022 Question 2 (LOs 1d, 2a, 3c, 3d)</t>
  </si>
  <si>
    <t>GIRR Fall 2022 Question 18 (LOs 1d, 2a)</t>
  </si>
  <si>
    <t>GIRR Spring 2023 Question 2 (LOs 1g, 2a)</t>
  </si>
  <si>
    <t>GIRR Fall 2023 Question 1 (LOs 1d, 2a, 3d)</t>
  </si>
  <si>
    <t>GIRR Spring 2024 Question 7 (LOs 1d, 3e, 3f, 3g)</t>
  </si>
  <si>
    <t>GIRR Fall 2024 Question 3 (LOs 1l, 6d, 6e)</t>
  </si>
  <si>
    <t>GIRR Fall 2024 Question 4 (LOs 1d, 2a, 2c)</t>
  </si>
  <si>
    <t>Learning Objective 1</t>
  </si>
  <si>
    <t>Introduction and Key Considerations</t>
  </si>
  <si>
    <t>The candidate will understand the key considerations for and key concepts underlying general insurance actuarial work.</t>
  </si>
  <si>
    <t>You are given the following information as of December 31, 2020 for a general liability line of business:</t>
  </si>
  <si>
    <t>Earned Premiums</t>
  </si>
  <si>
    <t>Projected Ultimate Claims Based on Frequency-Severity Method</t>
  </si>
  <si>
    <t>Accident Year</t>
  </si>
  <si>
    <t>Development Based</t>
  </si>
  <si>
    <t>Claim Closure</t>
  </si>
  <si>
    <t>You are also given the following diagnostic results:</t>
  </si>
  <si>
    <t>Accident</t>
  </si>
  <si>
    <t>Reported Claim Ratios</t>
  </si>
  <si>
    <t>Year</t>
  </si>
  <si>
    <r>
      <t>(</t>
    </r>
    <r>
      <rPr>
        <i/>
        <sz val="12"/>
        <color rgb="FF002060"/>
        <rFont val="Times New Roman"/>
        <family val="1"/>
      </rPr>
      <t>1 point</t>
    </r>
    <r>
      <rPr>
        <sz val="12"/>
        <color rgb="FF002060"/>
        <rFont val="Times New Roman"/>
        <family val="1"/>
      </rPr>
      <t>)  Calculate the indicated IBNR as of December 31, 2020 for each of the frequency-severity method projections above.</t>
    </r>
  </si>
  <si>
    <t>Indicated IBNR</t>
  </si>
  <si>
    <t>AY</t>
  </si>
  <si>
    <t>Reported Claims</t>
  </si>
  <si>
    <t>You are given the following IBNR estimates for an auto insurer’s bodily injury liability claims:</t>
  </si>
  <si>
    <t>IBNR Claim Estimates (000)</t>
  </si>
  <si>
    <t xml:space="preserve">Development Method </t>
  </si>
  <si>
    <t>Bornhuetter Ferguson</t>
  </si>
  <si>
    <t xml:space="preserve">Paid </t>
  </si>
  <si>
    <t>Reported</t>
  </si>
  <si>
    <t>Paid</t>
  </si>
  <si>
    <t xml:space="preserve">·       A large claim was reported in accident year 2018.  </t>
  </si>
  <si>
    <t xml:space="preserve">·       The case estimate on the large claim appears adequate.  </t>
  </si>
  <si>
    <t xml:space="preserve">·       The large claim remains unpaid as of December 31, 2020.  </t>
  </si>
  <si>
    <t>·       None of the methods have an explicit adjustment for the large claim.</t>
  </si>
  <si>
    <t>Company management has asked you to recommend an accident year 2018 IBNR reserve as of December 31, 2020.</t>
  </si>
  <si>
    <r>
      <t>(</t>
    </r>
    <r>
      <rPr>
        <i/>
        <sz val="12"/>
        <color rgb="FF002060"/>
        <rFont val="Times New Roman"/>
        <family val="1"/>
      </rPr>
      <t>2 points</t>
    </r>
    <r>
      <rPr>
        <sz val="12"/>
        <color rgb="FF002060"/>
        <rFont val="Times New Roman"/>
        <family val="1"/>
      </rPr>
      <t>)  Critique the appropriateness of each method as a potential IBNR selection for accident year 2018.</t>
    </r>
  </si>
  <si>
    <t>(i)</t>
  </si>
  <si>
    <t>Paid development method</t>
  </si>
  <si>
    <t>(ii)</t>
  </si>
  <si>
    <t>Reported development method</t>
  </si>
  <si>
    <t>(iii)</t>
  </si>
  <si>
    <t>Paid Bornhuetter Ferguson method</t>
  </si>
  <si>
    <t>(iv)</t>
  </si>
  <si>
    <t>Reported Bornhuetter Ferguson method</t>
  </si>
  <si>
    <t>Paid development is not appropriate because it is under-responsive to large claim.</t>
  </si>
  <si>
    <t>Reported development is not appropriate because it is over-responsive to large claim.</t>
  </si>
  <si>
    <t>Paid Bornhuetter Ferguson is not appropriate because it is under-responsive to large claim.</t>
  </si>
  <si>
    <t>Reported Bornhuetter Ferguson is an appropriate method because it is not distorted by large claim and also recognizes relative immaturity of a liability coverage.</t>
  </si>
  <si>
    <t>F2021 Question 6</t>
  </si>
  <si>
    <t>GI 101 – Ratemaking and Reserving</t>
  </si>
  <si>
    <t>You are given the following information for a line of business that started in 2016:</t>
  </si>
  <si>
    <t>Reported Claims (000)</t>
  </si>
  <si>
    <t>Paid Claims (000)</t>
  </si>
  <si>
    <t>Case Estimates (000)</t>
  </si>
  <si>
    <t>(a)</t>
  </si>
  <si>
    <t>(1 point)  Identify the inconsistencies in the data triangles.</t>
  </si>
  <si>
    <t>Reconciled Reported Claims (000)</t>
  </si>
  <si>
    <t>The most recent diagonal does not reconcile.  Reported Claims &gt; Paid claims +  Case estimates</t>
  </si>
  <si>
    <t>You are provided with the following additional transactions from a single claim that occurred on March 1, 2017 and was not included in the above data:</t>
  </si>
  <si>
    <t>Transaction</t>
  </si>
  <si>
    <t>Transaction Date</t>
  </si>
  <si>
    <t>Case Estimate</t>
  </si>
  <si>
    <t>Indemnity Payment</t>
  </si>
  <si>
    <t>ALAE Payment</t>
  </si>
  <si>
    <t>Open new claim file</t>
  </si>
  <si>
    <t>Payment on reported claim file</t>
  </si>
  <si>
    <t>(1.5 points)  Construct revised paid claims and case estimates triangles incorporating this additional information.</t>
  </si>
  <si>
    <t>Changes to cumulative paid:</t>
  </si>
  <si>
    <t/>
  </si>
  <si>
    <t>Increase in AY2017 @ 12 months by</t>
  </si>
  <si>
    <t xml:space="preserve">  {both indemnity + ALAE}</t>
  </si>
  <si>
    <t>Increase in AY2017 @ 24 months by</t>
  </si>
  <si>
    <t>Increase in AY2017 @ 36 months by</t>
  </si>
  <si>
    <t xml:space="preserve">  {Note: no payments and no case adjustment in CY2019, so still the same values by the end of 2019}</t>
  </si>
  <si>
    <t>Changes in case estimates:</t>
  </si>
  <si>
    <t xml:space="preserve"> {latest case estimate}</t>
  </si>
  <si>
    <t>Restated Paid Claims (000)</t>
  </si>
  <si>
    <t>Restated Case Estimates (000)</t>
  </si>
  <si>
    <t>(1 point)  Calculate the calendar year 2018 reported claims using the revised triangles from part (c).</t>
  </si>
  <si>
    <t>CY reported = (Case estimate at end of year) – (Case estimate at beginning of year) + (Paid claims during the year)</t>
  </si>
  <si>
    <t xml:space="preserve">CY 2018 reported claims = </t>
  </si>
  <si>
    <t>You are estimating ultimate claims as of December 31, 2019 using the Bornhuetter Ferguson method, and are given the following information:</t>
  </si>
  <si>
    <t>Actual Claims</t>
  </si>
  <si>
    <t>Ultimate Claims from</t>
  </si>
  <si>
    <t>as of Dec. 31, 2019</t>
  </si>
  <si>
    <t>Development Method on</t>
  </si>
  <si>
    <t>Expected</t>
  </si>
  <si>
    <t>Claims</t>
  </si>
  <si>
    <t>(1 point)  Calculate the total ultimate claims using the Bornhuetter Ferguson method applied to the following two claim amounts:</t>
  </si>
  <si>
    <t>Paid claims</t>
  </si>
  <si>
    <t>Reported claims</t>
  </si>
  <si>
    <t xml:space="preserve">Age-to-Ultimate Dev. </t>
  </si>
  <si>
    <t>BF Estimate</t>
  </si>
  <si>
    <t>Factors Based on</t>
  </si>
  <si>
    <t>Ultimate Claims</t>
  </si>
  <si>
    <t>Total</t>
  </si>
  <si>
    <t>(b)</t>
  </si>
  <si>
    <t>(1.5 points)  Evaluate the reasonableness of the inputs for the Bornhuetter Ferguson method in part (a) by comparing the following two amounts:</t>
  </si>
  <si>
    <t>Actual paid claims to expected paid claims</t>
  </si>
  <si>
    <t>Actual reported claims to expected reported claims</t>
  </si>
  <si>
    <t>Expected % Dev. At</t>
  </si>
  <si>
    <t>Expected Claims</t>
  </si>
  <si>
    <t>Difference</t>
  </si>
  <si>
    <t>Dec. 31, 2019</t>
  </si>
  <si>
    <t>Developed</t>
  </si>
  <si>
    <t>Actual and Expected</t>
  </si>
  <si>
    <t>Overall, it appears reasonable, but there are some AY's that are not reasonable (e.g., 2016 &amp; 2018).</t>
  </si>
  <si>
    <t>The response for part (c) is to be provided in the Word document.</t>
  </si>
  <si>
    <t>You have decided to estimate ultimate claims as of December 31, 2019 using the Benktander method.</t>
  </si>
  <si>
    <t>The response for part (d) is to be provided in the Word document.</t>
  </si>
  <si>
    <t>(e)</t>
  </si>
  <si>
    <t>(0.5 points)  Calculate the total ultimate claims applied to paid claims using one iteration of the Benktander method.</t>
  </si>
  <si>
    <t>Benktander</t>
  </si>
  <si>
    <t>Estimate</t>
  </si>
  <si>
    <t>You are conducting an expense analysis to be used in ratemaking for a line of business, and are given the following information:</t>
  </si>
  <si>
    <t>Earned Premiums at Current Rate Level</t>
  </si>
  <si>
    <t>Fixed Expenses</t>
  </si>
  <si>
    <t>This line of business has historically used an annual fixed expense trend of 3%, which has been based on a publicly-available cost index.</t>
  </si>
  <si>
    <t>(1 point)  Calculate the historical trend in fixed expenses.</t>
  </si>
  <si>
    <t>Fixed Expense per On-Level Earned Premium</t>
  </si>
  <si>
    <t>Change in Fixed Expense per On-Level Earned Premium</t>
  </si>
  <si>
    <t>Average all years:</t>
  </si>
  <si>
    <t>{Note: averages not needed for part (a) but helpful for part (c)}</t>
  </si>
  <si>
    <t>Average most recent 3 years:</t>
  </si>
  <si>
    <t xml:space="preserve">	New rates will be effective April 1, 2021 for one year._x000D_
</t>
  </si>
  <si>
    <t>All policies are written as 12-month policies.</t>
  </si>
  <si>
    <t xml:space="preserve">	The annual premium trend is 0%._x000D_
</t>
  </si>
  <si>
    <t>(2 points)  Calculate the fixed expense ratio to be used in ratemaking, using a simple average from calendar years 2017, 2018 and 2019.</t>
  </si>
  <si>
    <t>Recommended annual fixed expense trend from  part (c):</t>
  </si>
  <si>
    <t>Rates effective:</t>
  </si>
  <si>
    <t xml:space="preserve"> 12-month policies for 1 year</t>
  </si>
  <si>
    <t>Average incurred date in rating period:</t>
  </si>
  <si>
    <t>Average Incurred Date</t>
  </si>
  <si>
    <t>Experience Period</t>
  </si>
  <si>
    <t>Forecast Period</t>
  </si>
  <si>
    <t>Trend Period (months)</t>
  </si>
  <si>
    <t>Trend Factors</t>
  </si>
  <si>
    <t>Trended Fixed Expenses</t>
  </si>
  <si>
    <t>Average</t>
  </si>
  <si>
    <r>
      <t>(</t>
    </r>
    <r>
      <rPr>
        <i/>
        <sz val="12"/>
        <color rgb="FF002060"/>
        <rFont val="Times New Roman"/>
        <family val="1"/>
      </rPr>
      <t>8 points</t>
    </r>
    <r>
      <rPr>
        <sz val="12"/>
        <color rgb="FF002060"/>
        <rFont val="Times New Roman"/>
        <family val="1"/>
      </rPr>
      <t>)</t>
    </r>
  </si>
  <si>
    <t>You have been asked to project ultimate claims using the Cape Cod method and have been given the following information as of December 31, 2019:</t>
  </si>
  <si>
    <t>Earned Premiums (000)</t>
  </si>
  <si>
    <t>Actual Reported Claims (000)</t>
  </si>
  <si>
    <t>Reported Cumulative Development Factors</t>
  </si>
  <si>
    <t>All policies are written for 12-month policy terms.</t>
  </si>
  <si>
    <t>The following rate changes have occurred:</t>
  </si>
  <si>
    <t>6% effective January 1, 2016</t>
  </si>
  <si>
    <t>5% effective July 1, 2018</t>
  </si>
  <si>
    <t>The annual claim ratio trend  is 5%.</t>
  </si>
  <si>
    <t>Tort reform resulted in a claim decrease of 10% for all accidents occurring on or after July 1, 2016.</t>
  </si>
  <si>
    <t>Accident year 2018 includes one unusually large claim of 600,000 which has been recorded as a case estimate.</t>
  </si>
  <si>
    <t>(2 points)  Calculate premium on-level factors for each accident year, to use in the Cape Cod method as of December 31, 2019.</t>
  </si>
  <si>
    <t>You may choose to draw on this diagram to assist you in responding to this question. Use of this diagram is not required for full credit.</t>
  </si>
  <si>
    <t>A</t>
  </si>
  <si>
    <t>B</t>
  </si>
  <si>
    <t>C</t>
  </si>
  <si>
    <t>Rate Level</t>
  </si>
  <si>
    <t>Percent Premium Earned in Each CY at Rate Level</t>
  </si>
  <si>
    <t>Level</t>
  </si>
  <si>
    <t>Index</t>
  </si>
  <si>
    <t>Average rate level in each CY:</t>
  </si>
  <si>
    <t>On-level factors for reserving:</t>
  </si>
  <si>
    <t>(4 points)  Calculate the projected ultimate claims for each accident year using the Cape Cod method.</t>
  </si>
  <si>
    <t>Premium On-Level Factors from part (d)</t>
  </si>
  <si>
    <t>On-Level Earned Premiums</t>
  </si>
  <si>
    <t>Reported CDFs</t>
  </si>
  <si>
    <t>Expected % Reported</t>
  </si>
  <si>
    <t>Used-Up On-Level EP</t>
  </si>
  <si>
    <t>Claim Adjustment Factors</t>
  </si>
  <si>
    <t>Actual Reported Claims excluding Large Claim</t>
  </si>
  <si>
    <t>Trend at 5%</t>
  </si>
  <si>
    <t>Tort Reform</t>
  </si>
  <si>
    <t>Adjusted Claims</t>
  </si>
  <si>
    <t>Large claim adjustment:</t>
  </si>
  <si>
    <t>Adjusted Expected Claim Ratio:</t>
  </si>
  <si>
    <t>Actual Reported Claims</t>
  </si>
  <si>
    <t>Expected % Unreported</t>
  </si>
  <si>
    <t>Expected Unreported</t>
  </si>
  <si>
    <t>Projected Ultimate</t>
  </si>
  <si>
    <r>
      <t>(</t>
    </r>
    <r>
      <rPr>
        <i/>
        <sz val="12"/>
        <color rgb="FF002060"/>
        <rFont val="Times New Roman"/>
        <family val="1"/>
      </rPr>
      <t>5 points</t>
    </r>
    <r>
      <rPr>
        <sz val="12"/>
        <color rgb="FF002060"/>
        <rFont val="Times New Roman"/>
        <family val="1"/>
      </rPr>
      <t>)</t>
    </r>
  </si>
  <si>
    <t>You are determining a loading for large claims on a homeowners line of business.</t>
  </si>
  <si>
    <t>You are estimating ultimate property claims to be used in a ratemaking analysis for State Q, and are given the following information:</t>
  </si>
  <si>
    <t>Selected Ultimate Claims at 1 Million Limit (000)</t>
  </si>
  <si>
    <t>Selected Ultimate Claims at Total Limit (000)</t>
  </si>
  <si>
    <t>Selections</t>
  </si>
  <si>
    <t>1 Million Limit</t>
  </si>
  <si>
    <t>Total Limit</t>
  </si>
  <si>
    <t xml:space="preserve">State Q Severity Trend </t>
  </si>
  <si>
    <t xml:space="preserve">State Q Credibility </t>
  </si>
  <si>
    <t>Countrywide Severity Trend</t>
  </si>
  <si>
    <t>The claims experience of State Q is not fully credible for calculating trend.</t>
  </si>
  <si>
    <t>Rates are effective April 1, 2021 for one year.</t>
  </si>
  <si>
    <t>You are given the following loadings for large claims for the 500,000 to 1 million limit:</t>
  </si>
  <si>
    <t>500,000 to 1 Million Limit</t>
  </si>
  <si>
    <t>(3 points)  Calculate the loadings for 500,000 to total limits for each accident year.</t>
  </si>
  <si>
    <t xml:space="preserve">Severity trend for 1,000,000 limit = </t>
  </si>
  <si>
    <t xml:space="preserve">Severity trend for total limit = </t>
  </si>
  <si>
    <t>Average Accident Date</t>
  </si>
  <si>
    <t>Severity Trend at:</t>
  </si>
  <si>
    <t>Trended Claims at</t>
  </si>
  <si>
    <t>1,000,000 Limit</t>
  </si>
  <si>
    <t>Loading for 1,000,000 to Total Limit</t>
  </si>
  <si>
    <t>Loadings for 500,000 to Total Limit</t>
  </si>
  <si>
    <r>
      <t>(</t>
    </r>
    <r>
      <rPr>
        <i/>
        <sz val="12"/>
        <color rgb="FF002060"/>
        <rFont val="Times New Roman"/>
        <family val="1"/>
      </rPr>
      <t>7 points</t>
    </r>
    <r>
      <rPr>
        <sz val="12"/>
        <color rgb="FF002060"/>
        <rFont val="Times New Roman"/>
        <family val="1"/>
      </rPr>
      <t>)</t>
    </r>
  </si>
  <si>
    <t>You are conducting a ratemaking analysis for an automobile line of business and are given the following information:</t>
  </si>
  <si>
    <t>Rate Change History</t>
  </si>
  <si>
    <t>Effective Date</t>
  </si>
  <si>
    <t>Rate</t>
  </si>
  <si>
    <t>of Rate Change</t>
  </si>
  <si>
    <t>Change %</t>
  </si>
  <si>
    <t>Premiums are written and earned evenly throughout the year.</t>
  </si>
  <si>
    <t>In addition to the above rate changes, there was a regulation change where all premiums in force on July 1, 2017 were required to be reduced by 20%.</t>
  </si>
  <si>
    <t>(2 points)  Calculate premium on-level factors for accident years 2015-2019 to use for ratemaking purposes.</t>
  </si>
  <si>
    <t>D</t>
  </si>
  <si>
    <t>E</t>
  </si>
  <si>
    <t>F</t>
  </si>
  <si>
    <t>On-level factors for ratemaking:</t>
  </si>
  <si>
    <t>The annual premium trend is 1%.</t>
  </si>
  <si>
    <t>The annual pure premium trend is 4%.</t>
  </si>
  <si>
    <t>The new rates will be effective November 1, 2020 through October 31, 2021.</t>
  </si>
  <si>
    <t>The historical data is considered fully credible for ratemaking purposes.</t>
  </si>
  <si>
    <t xml:space="preserve">The regulation change which reduced premiums also reduced claim costs by 20% for all accidents occurring on or after July 1, 2017. </t>
  </si>
  <si>
    <t>(2.5 points)  Calculate the trended on-level claim ratios for each accident year.</t>
  </si>
  <si>
    <t>Trend from the average accident date in each AY (i.e., July 1) to the average accident date in future rating period.</t>
  </si>
  <si>
    <t>Average accident date in future rating period:</t>
  </si>
  <si>
    <t>Trended</t>
  </si>
  <si>
    <t>Trending</t>
  </si>
  <si>
    <t>Premium Adj. Factors</t>
  </si>
  <si>
    <t>Earned Prem.</t>
  </si>
  <si>
    <t>Period in</t>
  </si>
  <si>
    <t>Earned</t>
  </si>
  <si>
    <t>Trend at</t>
  </si>
  <si>
    <t>at Current</t>
  </si>
  <si>
    <t>Years</t>
  </si>
  <si>
    <t>Premiums</t>
  </si>
  <si>
    <t>On-Level</t>
  </si>
  <si>
    <t>Pure Premium</t>
  </si>
  <si>
    <t>Trend</t>
  </si>
  <si>
    <t>Regulation</t>
  </si>
  <si>
    <t>Ultimate</t>
  </si>
  <si>
    <t>Factor at</t>
  </si>
  <si>
    <t>Adjustment</t>
  </si>
  <si>
    <t>Claim</t>
  </si>
  <si>
    <t>to Claims</t>
  </si>
  <si>
    <t>Ratio</t>
  </si>
  <si>
    <t>(1 point)  Recommend a trended claim ratio to use for ratemaking.  Justify your recommendation.</t>
  </si>
  <si>
    <t>Weights</t>
  </si>
  <si>
    <t>Weighted average trended claim ratio:</t>
  </si>
  <si>
    <t>Justification: No significant outliers, so average of all years with more weight to more recent experience.</t>
  </si>
  <si>
    <t>The ratio of ULAE to claims is 10%.</t>
  </si>
  <si>
    <t>The ratio of fixed expenses to premiums at current rates is 6%.</t>
  </si>
  <si>
    <t>The ratio of variable expenses to premiums is 19%.</t>
  </si>
  <si>
    <t>The ratio of profit and contingencies to premiums is 5%.</t>
  </si>
  <si>
    <t>(0.5 points)  Calculate the indicated rate change.</t>
  </si>
  <si>
    <t>Weighted average trended claim ratio</t>
  </si>
  <si>
    <t>Ratio of ULAE to claims</t>
  </si>
  <si>
    <t xml:space="preserve">Weighted average trended claim ratio including ULAE </t>
  </si>
  <si>
    <t>Fixed expenses as ratio to premiums at current rate level</t>
  </si>
  <si>
    <t>Variable expenses - ratio to premiums</t>
  </si>
  <si>
    <t>Profit and contingencies ratio to premiums</t>
  </si>
  <si>
    <t>Permissible claim ratio</t>
  </si>
  <si>
    <t>Indicated rate change</t>
  </si>
  <si>
    <t xml:space="preserve">You are estimating ultimate claims for a line of business and need to apply a Berquist-Sherman adjustment for a change in settlement rates.  You are given the following information: </t>
  </si>
  <si>
    <t>Closed Counts excluding Large Claim Counts</t>
  </si>
  <si>
    <t>Selected Disposal Ratios by Maturity Age</t>
  </si>
  <si>
    <t>(1 point)  Calculate the triangle of adjusted closed counts.</t>
  </si>
  <si>
    <t>Adjusted Closed Counts Excluding Large Claim Counts</t>
  </si>
  <si>
    <t>Counts</t>
  </si>
  <si>
    <t>Paid Claims Excluding Large Claims</t>
  </si>
  <si>
    <t>Large Claims as of December 31, 2019</t>
  </si>
  <si>
    <t>A 3-year volume-weighted average is used to select age-to-age development factors.</t>
  </si>
  <si>
    <t>There is no development after 60 months.</t>
  </si>
  <si>
    <r>
      <t xml:space="preserve">An exponential curve of the form </t>
    </r>
    <r>
      <rPr>
        <i/>
        <sz val="12"/>
        <color rgb="FF002060"/>
        <rFont val="Times New Roman"/>
        <family val="1"/>
      </rPr>
      <t>y = ae</t>
    </r>
    <r>
      <rPr>
        <i/>
        <vertAlign val="superscript"/>
        <sz val="12"/>
        <color rgb="FF002060"/>
        <rFont val="Times New Roman"/>
        <family val="1"/>
      </rPr>
      <t>bx</t>
    </r>
    <r>
      <rPr>
        <sz val="12"/>
        <color rgb="FF002060"/>
        <rFont val="Times New Roman"/>
        <family val="1"/>
      </rPr>
      <t xml:space="preserve"> can be used to approximate the relationship between cumulative closed counts (</t>
    </r>
    <r>
      <rPr>
        <i/>
        <sz val="12"/>
        <color rgb="FF002060"/>
        <rFont val="Times New Roman"/>
        <family val="1"/>
      </rPr>
      <t>x</t>
    </r>
    <r>
      <rPr>
        <sz val="12"/>
        <color rgb="FF002060"/>
        <rFont val="Times New Roman"/>
        <family val="1"/>
      </rPr>
      <t>) and cumulative paid claims (</t>
    </r>
    <r>
      <rPr>
        <i/>
        <sz val="12"/>
        <color rgb="FF002060"/>
        <rFont val="Times New Roman"/>
        <family val="1"/>
      </rPr>
      <t>y</t>
    </r>
    <r>
      <rPr>
        <sz val="12"/>
        <color rgb="FF002060"/>
        <rFont val="Times New Roman"/>
        <family val="1"/>
      </rPr>
      <t xml:space="preserve">).  You are given the following values for </t>
    </r>
    <r>
      <rPr>
        <i/>
        <sz val="12"/>
        <color rgb="FF002060"/>
        <rFont val="Times New Roman"/>
        <family val="1"/>
      </rPr>
      <t>a</t>
    </r>
    <r>
      <rPr>
        <sz val="12"/>
        <color rgb="FF002060"/>
        <rFont val="Times New Roman"/>
        <family val="1"/>
      </rPr>
      <t xml:space="preserve"> and </t>
    </r>
    <r>
      <rPr>
        <i/>
        <sz val="12"/>
        <color rgb="FF002060"/>
        <rFont val="Times New Roman"/>
        <family val="1"/>
      </rPr>
      <t>b</t>
    </r>
    <r>
      <rPr>
        <sz val="12"/>
        <color rgb="FF002060"/>
        <rFont val="Times New Roman"/>
        <family val="1"/>
      </rPr>
      <t>:</t>
    </r>
  </si>
  <si>
    <r>
      <t>Parameter "</t>
    </r>
    <r>
      <rPr>
        <b/>
        <i/>
        <sz val="12"/>
        <color rgb="FF002060"/>
        <rFont val="Times New Roman"/>
        <family val="1"/>
      </rPr>
      <t>a</t>
    </r>
    <r>
      <rPr>
        <b/>
        <sz val="12"/>
        <color rgb="FF002060"/>
        <rFont val="Times New Roman"/>
        <family val="1"/>
      </rPr>
      <t>" Values</t>
    </r>
  </si>
  <si>
    <r>
      <t>Parameter "</t>
    </r>
    <r>
      <rPr>
        <b/>
        <i/>
        <sz val="12"/>
        <color rgb="FF002060"/>
        <rFont val="Times New Roman"/>
        <family val="1"/>
      </rPr>
      <t>b</t>
    </r>
    <r>
      <rPr>
        <b/>
        <sz val="12"/>
        <color rgb="FF002060"/>
        <rFont val="Times New Roman"/>
        <family val="1"/>
      </rPr>
      <t>" Values</t>
    </r>
  </si>
  <si>
    <t>12&amp;24</t>
  </si>
  <si>
    <t>24&amp;36</t>
  </si>
  <si>
    <t>36&amp;48</t>
  </si>
  <si>
    <t>48&amp;60</t>
  </si>
  <si>
    <t>(2.5 points)  Calculate total unpaid claims using the development method applied to paid claims, adjusted for changes in settlement rates.</t>
  </si>
  <si>
    <t>Adjusted Paid Claims Excluding Large Claims</t>
  </si>
  <si>
    <t>Development factors (3 year volume weighted average):</t>
  </si>
  <si>
    <t>Age-to-age</t>
  </si>
  <si>
    <t>Age-to-ult</t>
  </si>
  <si>
    <t>Large Claims</t>
  </si>
  <si>
    <t>Ult. Claims</t>
  </si>
  <si>
    <t>Unpaid</t>
  </si>
  <si>
    <t>Paid Claims</t>
  </si>
  <si>
    <t>DFs</t>
  </si>
  <si>
    <t>Incl. Large</t>
  </si>
  <si>
    <t>You are trending earned premiums for ratemaking purposes and are given the following information:</t>
  </si>
  <si>
    <t>Earned Exposures by Policy Limit</t>
  </si>
  <si>
    <t>Increased Limits Factors by Policy Limit</t>
  </si>
  <si>
    <t>In effect prior to Nov. 1, 2020</t>
  </si>
  <si>
    <t>In effect starting Nov. 1, 2020</t>
  </si>
  <si>
    <t>(1.5 points)  Calculate the annual premium trend due to the shift in policy limits for each year.</t>
  </si>
  <si>
    <t>Weighted Average ILF</t>
  </si>
  <si>
    <t>Annual Trend Due to Shift in ILF</t>
  </si>
  <si>
    <t>(1 point)  Recommend the annual premium trend due to the shift in policy limits to use for ratemaking.  Justify your recommendation.</t>
  </si>
  <si>
    <t>Average:</t>
  </si>
  <si>
    <t>Excl. high/low:</t>
  </si>
  <si>
    <t>Recommend annual trend:</t>
  </si>
  <si>
    <t>Justification: exclude the high and low values because of the volatility.</t>
  </si>
  <si>
    <t>A deductible analysis resulted in an annual trend of -0.4% due to a shift in deductibles.</t>
  </si>
  <si>
    <t>Calendar year 2017 on-level earned premium is 17,808,000.</t>
  </si>
  <si>
    <t>The new rates will be effective March 1, 2021 through February 28, 2022.</t>
  </si>
  <si>
    <t>All policies are written for 6-month policy terms.</t>
  </si>
  <si>
    <t>(1 point)  Calculate the calendar year 2017 on-level earned premium trended for ratemaking purposes.</t>
  </si>
  <si>
    <t>Average earned premium date in future rating period:</t>
  </si>
  <si>
    <t>Total premium trend:</t>
  </si>
  <si>
    <t>Experience period trend factor (2017 to 2019):</t>
  </si>
  <si>
    <t>Forecast period (months) from July 1, 2019 to Dec. 1, 2021:</t>
  </si>
  <si>
    <t>CY2017 on-level EP trended to future rating period:</t>
  </si>
  <si>
    <t>F2020_Question 1</t>
  </si>
  <si>
    <t>F2020_Question 2</t>
  </si>
  <si>
    <t>F2020_Question 5</t>
  </si>
  <si>
    <t>F2020_Question 9</t>
  </si>
  <si>
    <t>F2020_Question 13</t>
  </si>
  <si>
    <t>F2020_Question 16</t>
  </si>
  <si>
    <t>F2020_Question 19</t>
  </si>
  <si>
    <t>F2020 Question 20</t>
  </si>
  <si>
    <t>GIRR Fall 2020 Question 1 (LOs 2a)</t>
  </si>
  <si>
    <t>GIRR Fall 2020 Question 9 (LOs 2d, 3e, 3f, 3g)</t>
  </si>
  <si>
    <t>GIRR Fall 2020 Question 16 (LOs 2d, 5b, 5e, 6g)</t>
  </si>
  <si>
    <t>GIRR Spring 2021 Question 1 (LOs 2c, 2d)</t>
  </si>
  <si>
    <t>GIRR Fall 2021 Question 6 (LOs 2d, 3g)</t>
  </si>
  <si>
    <t>GIRR Fall 2021 Question 1 (LOs 2c, 2d)</t>
  </si>
  <si>
    <t>GIRR Fall 2021 Question 16 (LOs 2a, 3c, 3d)</t>
  </si>
  <si>
    <t>GIRR Spring 2022 Question 1 (LOs 2c, 2d)</t>
  </si>
  <si>
    <t>GIRR Fall 2022 Question 2 (LOs 2d)</t>
  </si>
  <si>
    <t>GIRR Fall 2022 Question 11 (LOs 2b, 2c)</t>
  </si>
  <si>
    <t>GIRR Spring 2023 Question 1 (LOs 2b, 2c, 2d)</t>
  </si>
  <si>
    <t>GIRR Fall 2023 Question 9 (LOs 2d)</t>
  </si>
  <si>
    <t>GIRR Fall 2023 Question 15 (LOs 2c, 2d)</t>
  </si>
  <si>
    <t>GIRR Spring 2024 Question 1 (LOs 2c, 2d)</t>
  </si>
  <si>
    <t>GIRR Spring 2024 Question 5 (LOs 1d, 1f, 3g, and 3j)</t>
  </si>
  <si>
    <t>GIRR Spring 2024 Question 13 (LOs 2a)</t>
  </si>
  <si>
    <t>GIRR Fall 2024 Question 10 (LOs 2a, 3e, 3g)</t>
  </si>
  <si>
    <t>GIRR Fall 2024 Question 11 (LOs 2d, 5b, 5e)</t>
  </si>
  <si>
    <t>GIRR Fall 2020 Question 2 (LOs 3e, 3f, 3g)</t>
  </si>
  <si>
    <t>GIRR Fall 2020 Question 19 (LOs 3e, 3g)</t>
  </si>
  <si>
    <t>GIRR Spring 2021 Question 2 (LOs 3c, 3d)</t>
  </si>
  <si>
    <t>GIRR Spring 2021 Question 3 (LOs 3g, 4a, 4b, 4c, 5b, 5c, 5d, 5e)</t>
  </si>
  <si>
    <t>GIRR Spring 2021 Question 9 (LOs 3d, 3f, 3g)</t>
  </si>
  <si>
    <t>GIRR Spring 2021 Question 14 (LOs 2d, 3g)</t>
  </si>
  <si>
    <t>GIRR Spring 2021 Question 19 (LOs 3e, 3g, 3j)</t>
  </si>
  <si>
    <t>GIRR Fall 2021 Question 2 (LOs 3a, 3e, 3f, 3g)</t>
  </si>
  <si>
    <t>GIRR Fall 2021 Question 11 (LOs 3e, 3g)</t>
  </si>
  <si>
    <t>GIRR Spring 2022 Question 8 (LOs 3c, 3d, 3e, 3g)</t>
  </si>
  <si>
    <t>GIRR Spring 2022 Question 15 (LOs 3e, 3g)</t>
  </si>
  <si>
    <t>GIRR Fall 2022 Question 6 (LOs 3g, 3j, 6b, 6c, 6d)</t>
  </si>
  <si>
    <t>GIRR Fall 2022 Question 15 (LOs 3d, 3e, 3g)</t>
  </si>
  <si>
    <t>GIRR Fall 2022 Question 17 (LOs 3e, 3f, 3g, 3j)</t>
  </si>
  <si>
    <t>GIRR Spring 2023 Question 3 (LOs 3e, 3g)</t>
  </si>
  <si>
    <t>GIRR Spring 2023 Question 6 (LOs 3e, 3g)</t>
  </si>
  <si>
    <t>GIRR Spring 2023 Question 11 (LOs 3e, 3g)</t>
  </si>
  <si>
    <t>GIRR Spring 2023 Question 13 (LOs 3c, 3d)</t>
  </si>
  <si>
    <t>GIRR Spring 2023 Question 14 (LOs 3g, 5c, 5d)</t>
  </si>
  <si>
    <t>GIRR Fall 2023 Question 5 (LOs 3g)</t>
  </si>
  <si>
    <t>GIRR Fall 2023 Question 8 (LOs 3g, 5c, 5d, 5e)</t>
  </si>
  <si>
    <t>GIRR Fall 2023 Question 10 (LOs 3e, 3g)</t>
  </si>
  <si>
    <t>GIRR Fall 2023 Question 13 (LOs 3e, 3f, 3g)</t>
  </si>
  <si>
    <t>GIRR Fall 2023 Question 14 (LOs 3c, 3d)</t>
  </si>
  <si>
    <t>GIRR Spring 2024 Question 2 (LOs 3e, 3g)</t>
  </si>
  <si>
    <t>GIRR Spring 2024 Question 10 (LOs 3d, 3e, 3g)</t>
  </si>
  <si>
    <t>GIRR Spring 2024 Question 12 (LOs 3g, 5c, 5d)</t>
  </si>
  <si>
    <t>GIRR Fall 2024 Question 2 (LOs 3e, 3f, 3g)</t>
  </si>
  <si>
    <t>GIRR Fall 2024 Question 12 (LOs 3f, 3g, 3j)</t>
  </si>
  <si>
    <t>GIRR Fall 2024 Question 13 (LOs 3e, 3g)</t>
  </si>
  <si>
    <t>GIRR Spring 2022 Question 12 (LOs 4b, 4c)</t>
  </si>
  <si>
    <t>GIRR Fall 2022 Question 12 (LOs 4a, 4b, 4c)</t>
  </si>
  <si>
    <t>GIRR Spring 2023 Question 9 (LOs 4a, 4b, 4c)</t>
  </si>
  <si>
    <t>GIRR Fall 2023 Question 4 (LOs 4b)</t>
  </si>
  <si>
    <t>GIRR Spring 2024 Question 8 (LOs 4a, 4b, 4c)</t>
  </si>
  <si>
    <t>GIRR Fall 2024 Question 9 (LOs 4a, 4b)</t>
  </si>
  <si>
    <t>GIRR Fall 2020 Question 20 (LOs 5a, 5b, 5c, 5d, 5e)</t>
  </si>
  <si>
    <t>GIRR Spring 2021 Question 12 (LOs 5b, 5c, 5d, 5e, 6g, 6h)</t>
  </si>
  <si>
    <t>GIRR Fall 2021 Question 4 (LOs 5b, 5e, 6d, 6e, 6g)</t>
  </si>
  <si>
    <t>GIRR Fall 2021 Question 5 (LOs 5b, 5c)</t>
  </si>
  <si>
    <t>GIRR Spring 2022 Question 16 (LOs 5b, 5c, 5d, 5e)</t>
  </si>
  <si>
    <t>GIRR Spring 2022 Question 17 (LOs 5b, 5e, 6d, 6e, 6g, 6h)</t>
  </si>
  <si>
    <t>GIRR Fall 2022 Question 14 (LOs 5b, 5c, 5d, 5e, 6e, 6g, 6h)</t>
  </si>
  <si>
    <t>GIRR Fall 2022 Question 16 (LOs 5b, 5c, 5d, 5e)</t>
  </si>
  <si>
    <t>GIRR Spring 2023 Question 5 (LOs 5b, 5c, 5d, 5e, 6g)</t>
  </si>
  <si>
    <t>GIRR Spring 2023 Question 8 (LOs 5a, 5b, 5e, 6c, 6d)</t>
  </si>
  <si>
    <t>GIRR Fall 2023 Question 3 (LOs 5b, 5e, 6d)</t>
  </si>
  <si>
    <t>GIRR Fall 2023 Question 11 (LOs 5b, 5c, 5d, 5e, 6a)</t>
  </si>
  <si>
    <t>GIRR Fall 2023 Question 12 (LOs 5b, 5c, 5d, 5e, 6g, 6h)</t>
  </si>
  <si>
    <t>GIRR Spring 2024 Question 3 (LOs 5b, 5c, 5e)</t>
  </si>
  <si>
    <t>GIRR Fall 2024 Question 8 (LOs 5e)</t>
  </si>
  <si>
    <t>GIRR Fall 2020 Question 5 (LOs 6a)</t>
  </si>
  <si>
    <t>GIRR Fall 2020 Question 13 (LOs 6c, 6d)</t>
  </si>
  <si>
    <t>GIRR Spring 2021 Question 16 (LOs 6c, 6d)</t>
  </si>
  <si>
    <t>GIRR Spring 2021 Question 18 (LOs 6a)</t>
  </si>
  <si>
    <t>GIRR Fall 2021 Question 15 (LOs 6g)</t>
  </si>
  <si>
    <t>GIRR Fall 2021 Question 20 (LOs 6a)</t>
  </si>
  <si>
    <t>GIRR Fall 2022 Question 5 (LOs 6a)</t>
  </si>
  <si>
    <t>GIRR Spring 2023 Question 4 (LOs 6a)</t>
  </si>
  <si>
    <t>GIRR Fall 2024 Question 5 (LOs 6f, 6g)</t>
  </si>
  <si>
    <t>GIRR Fall 2024 Question 6 (LOs 6a)</t>
  </si>
  <si>
    <t xml:space="preserve">Preparing Claims and Exposure Data for Actuarial Work </t>
  </si>
  <si>
    <t>The candidate will demonstrate the ability to prepare claims and exposure data for general insurance actuarial work.</t>
  </si>
  <si>
    <t>Learning Objective 2</t>
  </si>
  <si>
    <t>Learning Objective 3</t>
  </si>
  <si>
    <t xml:space="preserve">Projecting Ultimate Claims </t>
  </si>
  <si>
    <t>The candidate will know how to calculate and evaluate projected ultimate values.</t>
  </si>
  <si>
    <t>Learning Objective 4</t>
  </si>
  <si>
    <t>Financial Reporting</t>
  </si>
  <si>
    <t>The candidate will understand financial reporting of claim liabilities with respect to unpaid unallocated loss adjustment expenses.</t>
  </si>
  <si>
    <t>Learning Objective 5</t>
  </si>
  <si>
    <t>The candidate will understand trending procedures as applied to ultimate claims, exposures and premiums.</t>
  </si>
  <si>
    <t>The candidate will understand how to apply the fundamental ratemaking techniques of general insurance.</t>
  </si>
  <si>
    <t>Ratemaking</t>
  </si>
  <si>
    <t>Learning Objective 6</t>
  </si>
  <si>
    <t>You are calculating on-level earned premiums for a line of business and are given the following information:</t>
  </si>
  <si>
    <t xml:space="preserve"> - All policies written on or before December 31, 2017 were 6-month policies.  These policies were written uniformly throughout the year.</t>
  </si>
  <si>
    <t xml:space="preserve"> - All policies written or renewed after December 31, 2017 are 12-month policies.</t>
  </si>
  <si>
    <t xml:space="preserve"> - All new policies are written uniformly throughout the year.</t>
  </si>
  <si>
    <t xml:space="preserve"> - All policies are earned uniformly through the policy period.</t>
  </si>
  <si>
    <t xml:space="preserve"> - As of December 31, 2017, there were 2,500 policies in force, with an average annualized premium of 750.</t>
  </si>
  <si>
    <t xml:space="preserve"> - During calendar year 2018:</t>
  </si>
  <si>
    <t>80% of the policies in force on December 31, 2017 renewed in 2018, and</t>
  </si>
  <si>
    <t>2,750 new policies were written in 2018 with an average annualized premium of 780.</t>
  </si>
  <si>
    <t xml:space="preserve"> - The following historical rate changes were made:</t>
  </si>
  <si>
    <t>4% increase effective January 1, 2018, and</t>
  </si>
  <si>
    <t>5% increase effective July 1, 2020.</t>
  </si>
  <si>
    <r>
      <t>(</t>
    </r>
    <r>
      <rPr>
        <i/>
        <sz val="12"/>
        <color rgb="FF002060"/>
        <rFont val="Times New Roman"/>
        <family val="1"/>
      </rPr>
      <t>3 points</t>
    </r>
    <r>
      <rPr>
        <sz val="12"/>
        <color rgb="FF002060"/>
        <rFont val="Times New Roman"/>
        <family val="1"/>
      </rPr>
      <t>)  Calculate the 2018 earned premium.</t>
    </r>
  </si>
  <si>
    <t xml:space="preserve">  A</t>
  </si>
  <si>
    <t>1. Policies in force as of Dec. 31, 2017:</t>
  </si>
  <si>
    <t xml:space="preserve">A:  </t>
  </si>
  <si>
    <t>These are the policies that are in force as of Dec. 31, 2017 and expire in 2018</t>
  </si>
  <si>
    <t xml:space="preserve">Area = 1/2 × 1 × 1/2 = </t>
  </si>
  <si>
    <t>Earned premium = 2,500 × 750 × 0.25 =</t>
  </si>
  <si>
    <t xml:space="preserve">B:  </t>
  </si>
  <si>
    <t>These are the policies from 2017 that expired in 2018 and then renewed</t>
  </si>
  <si>
    <t xml:space="preserve">Area = 1/2 – 1/8 = </t>
  </si>
  <si>
    <t>Earned premium = 2,500 × 750 × 0.375 × 0.80 × (1 + 0.04) =</t>
  </si>
  <si>
    <t>2. Policies written new in 2018:</t>
  </si>
  <si>
    <t>Earned premium = 2,750 × 780 × 0.50  =</t>
  </si>
  <si>
    <t>Total 2018 earned premium:</t>
  </si>
  <si>
    <r>
      <t>(</t>
    </r>
    <r>
      <rPr>
        <i/>
        <sz val="12"/>
        <color rgb="FF002060"/>
        <rFont val="Times New Roman"/>
        <family val="1"/>
      </rPr>
      <t>1 point</t>
    </r>
    <r>
      <rPr>
        <sz val="12"/>
        <color rgb="FF002060"/>
        <rFont val="Times New Roman"/>
        <family val="1"/>
      </rPr>
      <t>)  Calculate the 2018 on-level earned premium to use for ratemaking.</t>
    </r>
  </si>
  <si>
    <t>1 A:</t>
  </si>
  <si>
    <t>This area needs to reflect both rate changes to be on-level:</t>
  </si>
  <si>
    <t>OLEP = 468,750 × (1 + 0.04) × (1 + 0.05) =</t>
  </si>
  <si>
    <t>1 B:</t>
  </si>
  <si>
    <t>This needs only needs to reflect the 2020 rate change:</t>
  </si>
  <si>
    <t>OLEP = 585,000 × (1 + 0.05) =</t>
  </si>
  <si>
    <t xml:space="preserve">2. </t>
  </si>
  <si>
    <t>OLEP = 1,072,500 × (1 + 0.05) =</t>
  </si>
  <si>
    <t>Total 2018 on-level earned premium:</t>
  </si>
  <si>
    <t>You are given the following development triangles for investigative analysis on a book of business:</t>
  </si>
  <si>
    <t>Ratios of Closed Counts to Reported Counts</t>
  </si>
  <si>
    <t>Average Reported Claims</t>
  </si>
  <si>
    <t>Average Paid Claims</t>
  </si>
  <si>
    <t>Ratios of Paid Claims to Reported Claims</t>
  </si>
  <si>
    <t xml:space="preserve">  - The annual claims trend is 0% and experience has generally been stable.</t>
  </si>
  <si>
    <t xml:space="preserve">Accident Year 2014 seems to show an anomaly. </t>
  </si>
  <si>
    <r>
      <t>(</t>
    </r>
    <r>
      <rPr>
        <i/>
        <sz val="12"/>
        <color rgb="FF002060"/>
        <rFont val="Times New Roman"/>
        <family val="1"/>
      </rPr>
      <t>1.5 points</t>
    </r>
    <r>
      <rPr>
        <sz val="12"/>
        <color rgb="FF002060"/>
        <rFont val="Times New Roman"/>
        <family val="1"/>
      </rPr>
      <t>)  Provide one possible interpretation of this anomaly.  Justify your interpretation.</t>
    </r>
  </si>
  <si>
    <t xml:space="preserve">A large claim may have been reported between 24 and 36 months (which remains unpaid).  </t>
  </si>
  <si>
    <t>Justification:</t>
  </si>
  <si>
    <t xml:space="preserve"> - A large reported claim would explain the increase in average reported claims for AY 2014 only, with no change in average paid claims.</t>
  </si>
  <si>
    <t xml:space="preserve"> - A large reported but unpaid claim would explain the decrease in the Ratios for Paid to Reported claims for AY 2014 only beginning at 36 months.</t>
  </si>
  <si>
    <t xml:space="preserve"> - A single large claim would not have a material effect on counts.</t>
  </si>
  <si>
    <r>
      <t>(</t>
    </r>
    <r>
      <rPr>
        <i/>
        <sz val="12"/>
        <color rgb="FF002060"/>
        <rFont val="Times New Roman"/>
        <family val="1"/>
      </rPr>
      <t>1 point</t>
    </r>
    <r>
      <rPr>
        <sz val="12"/>
        <color rgb="FF002060"/>
        <rFont val="Times New Roman"/>
        <family val="1"/>
      </rPr>
      <t>)  Identify another anomaly from the diagnostics.</t>
    </r>
  </si>
  <si>
    <t>Latest 2 diagonals (i.e., calendar years 2019-2020) for ratios of paid to reported claims is low</t>
  </si>
  <si>
    <t>OR</t>
  </si>
  <si>
    <t>Latest 2 diagonals (i.e., calendar years 2019-2020) for ratios of closed to reported counts is low</t>
  </si>
  <si>
    <r>
      <t>(</t>
    </r>
    <r>
      <rPr>
        <i/>
        <sz val="12"/>
        <color rgb="FF002060"/>
        <rFont val="Times New Roman"/>
        <family val="1"/>
      </rPr>
      <t>1.5 points</t>
    </r>
    <r>
      <rPr>
        <sz val="12"/>
        <color rgb="FF002060"/>
        <rFont val="Times New Roman"/>
        <family val="1"/>
      </rPr>
      <t>)  Provide one possible interpretation of the anomaly you identified in part (b).  Justify your interpretation.</t>
    </r>
  </si>
  <si>
    <t>This appears to be a slow-down in settlement patterns.</t>
  </si>
  <si>
    <t xml:space="preserve"> - Changes on the diagonal often relate to settlement changes or case reserve adequacy changes.</t>
  </si>
  <si>
    <t xml:space="preserve"> - Either paid claims have decreased or reported claims have increased.</t>
  </si>
  <si>
    <t xml:space="preserve"> - Closed counts and paid claims have both decreased.</t>
  </si>
  <si>
    <t xml:space="preserve"> - Since average reported claims didn't change, this does not appear to be a change in case adequacy.</t>
  </si>
  <si>
    <t>You are estimating ultimate claims using the development-based frequency-severity method, and are given the following information:</t>
  </si>
  <si>
    <t>Projected Ultimate Based on Development Method</t>
  </si>
  <si>
    <t>Severity</t>
  </si>
  <si>
    <t>You have noticed that the ultimate severity from the development method is not equal to the development method ultimate claims divided by the development method ultimate counts in this case.</t>
  </si>
  <si>
    <r>
      <t>(</t>
    </r>
    <r>
      <rPr>
        <i/>
        <sz val="12"/>
        <color rgb="FF002060"/>
        <rFont val="Times New Roman"/>
        <family val="1"/>
      </rPr>
      <t>2.5 points</t>
    </r>
    <r>
      <rPr>
        <sz val="12"/>
        <color rgb="FF002060"/>
        <rFont val="Times New Roman"/>
        <family val="1"/>
      </rPr>
      <t>)  Recommend a claim frequency at the accident year 2020 cost level.  Justify your recommendation.</t>
    </r>
  </si>
  <si>
    <t>Indicated Frequency</t>
  </si>
  <si>
    <t>Year-to-year Change</t>
  </si>
  <si>
    <t>Frequency Trend</t>
  </si>
  <si>
    <t>Trended Frequency</t>
  </si>
  <si>
    <t>Average all years except 2019&amp;2020:</t>
  </si>
  <si>
    <t>Recommended annual frequency trend:</t>
  </si>
  <si>
    <t xml:space="preserve">     Rationale: 2019&amp;2020 are outliers.</t>
  </si>
  <si>
    <t>Recommended claim frequency at 2020 cost level:</t>
  </si>
  <si>
    <r>
      <t>(</t>
    </r>
    <r>
      <rPr>
        <i/>
        <sz val="12"/>
        <color rgb="FF002060"/>
        <rFont val="Times New Roman"/>
        <family val="1"/>
      </rPr>
      <t>1 point</t>
    </r>
    <r>
      <rPr>
        <sz val="12"/>
        <color rgb="FF002060"/>
        <rFont val="Times New Roman"/>
        <family val="1"/>
      </rPr>
      <t>)  Calculate ultimate claims using the development-based frequency-severity method and the recommended claim frequency from part (b).</t>
    </r>
  </si>
  <si>
    <t>Indicated Severity</t>
  </si>
  <si>
    <t>Severity Trend</t>
  </si>
  <si>
    <t>Trended Severity</t>
  </si>
  <si>
    <t>Recommended claim severity at 2020 cost level:</t>
  </si>
  <si>
    <t>Ultimate Counts</t>
  </si>
  <si>
    <t>Ultimate Severity</t>
  </si>
  <si>
    <t>You are given the following additional information for calculating unpaid ULAE for this line of business:</t>
  </si>
  <si>
    <t>Cumulative paid claims development factors by maturity age (months)</t>
  </si>
  <si>
    <t xml:space="preserve"> - Ultimate claims are selected from the development-based frequency-severity method.
</t>
  </si>
  <si>
    <t xml:space="preserve"> - You are using the classical paid method with a Mango-Allen smoothing adjustment to estimate unpaid ULAE.</t>
  </si>
  <si>
    <t xml:space="preserve"> - Approximately 25% of claim department expenses relate to opening a claim file and 75% relate to maintaining and closing a claim file.
</t>
  </si>
  <si>
    <t xml:space="preserve"> - The total case estimate is</t>
  </si>
  <si>
    <t xml:space="preserve"> - The total IBNR is </t>
  </si>
  <si>
    <r>
      <t>(</t>
    </r>
    <r>
      <rPr>
        <i/>
        <sz val="12"/>
        <color rgb="FF002060"/>
        <rFont val="Times New Roman"/>
        <family val="1"/>
      </rPr>
      <t>1.5 points</t>
    </r>
    <r>
      <rPr>
        <sz val="12"/>
        <color rgb="FF002060"/>
        <rFont val="Times New Roman"/>
        <family val="1"/>
      </rPr>
      <t>)  Calculate the expected claims paid for calendar years 2017 through 2020.</t>
    </r>
  </si>
  <si>
    <t>% Cumulative Paid</t>
  </si>
  <si>
    <t>% Incremental Paid</t>
  </si>
  <si>
    <t>Projected in Calendar Year</t>
  </si>
  <si>
    <r>
      <t>(</t>
    </r>
    <r>
      <rPr>
        <i/>
        <sz val="12"/>
        <color rgb="FF002060"/>
        <rFont val="Times New Roman"/>
        <family val="1"/>
      </rPr>
      <t>1 point</t>
    </r>
    <r>
      <rPr>
        <sz val="12"/>
        <color rgb="FF002060"/>
        <rFont val="Times New Roman"/>
        <family val="1"/>
      </rPr>
      <t>)  Recommend a ULAE ratio using the classical paid-to-paid method with the Mango-Allen smoothing adjustment.  Justify your recommendation.</t>
    </r>
  </si>
  <si>
    <t>Ratio ULAE to Claims</t>
  </si>
  <si>
    <t>Recommended ratio:</t>
  </si>
  <si>
    <t xml:space="preserve">   Justification: there are no significant outliers</t>
  </si>
  <si>
    <t>(f)</t>
  </si>
  <si>
    <r>
      <t>(</t>
    </r>
    <r>
      <rPr>
        <i/>
        <sz val="12"/>
        <color rgb="FF002060"/>
        <rFont val="Times New Roman"/>
        <family val="1"/>
      </rPr>
      <t>0.5 points</t>
    </r>
    <r>
      <rPr>
        <sz val="12"/>
        <color rgb="FF002060"/>
        <rFont val="Times New Roman"/>
        <family val="1"/>
      </rPr>
      <t>)  Calculate the unpaid ULAE.</t>
    </r>
  </si>
  <si>
    <t xml:space="preserve">Calculated unpaid ULAE = </t>
  </si>
  <si>
    <r>
      <t>(</t>
    </r>
    <r>
      <rPr>
        <i/>
        <sz val="12"/>
        <color rgb="FF002060"/>
        <rFont val="Times New Roman"/>
        <family val="1"/>
      </rPr>
      <t>6 points</t>
    </r>
    <r>
      <rPr>
        <sz val="12"/>
        <color rgb="FF002060"/>
        <rFont val="Times New Roman"/>
        <family val="1"/>
      </rPr>
      <t>)</t>
    </r>
  </si>
  <si>
    <t>As part of your investigations into IBNR reserves, you are conducting investigative tests for changing levels of case reserve adequacy.  You are given the following information:</t>
  </si>
  <si>
    <t>Reported Counts</t>
  </si>
  <si>
    <t>Closed Counts</t>
  </si>
  <si>
    <t xml:space="preserve"> - The annual severity trend is 5%.</t>
  </si>
  <si>
    <t xml:space="preserve"> - There is no development after 60 months.</t>
  </si>
  <si>
    <r>
      <t>(</t>
    </r>
    <r>
      <rPr>
        <i/>
        <sz val="12"/>
        <color rgb="FF002060"/>
        <rFont val="Times New Roman"/>
        <family val="1"/>
      </rPr>
      <t>1.5 points</t>
    </r>
    <r>
      <rPr>
        <sz val="12"/>
        <color rgb="FF002060"/>
        <rFont val="Times New Roman"/>
        <family val="1"/>
      </rPr>
      <t>)  Calculate the average case estimate triangle.</t>
    </r>
  </si>
  <si>
    <t>Case Estimates = Reported Claims - Paid Claims</t>
  </si>
  <si>
    <t>Open Counts = Reported Counts - Closed Counts</t>
  </si>
  <si>
    <t>Average Case = Case Estimates / Open Counts</t>
  </si>
  <si>
    <r>
      <t>(</t>
    </r>
    <r>
      <rPr>
        <i/>
        <sz val="12"/>
        <color rgb="FF002060"/>
        <rFont val="Times New Roman"/>
        <family val="1"/>
      </rPr>
      <t>1 point</t>
    </r>
    <r>
      <rPr>
        <sz val="12"/>
        <color rgb="FF002060"/>
        <rFont val="Times New Roman"/>
        <family val="1"/>
      </rPr>
      <t>)  Evaluate whether the average case estimate triangle indicates either decreasing, increasing or stable case reserve adequacy.</t>
    </r>
  </si>
  <si>
    <t>Changes in Average Case Estimates</t>
  </si>
  <si>
    <t>There is some instability.</t>
  </si>
  <si>
    <t>The last diagonal shows significant increases, suggested a significant increase in case reserve adequacy.</t>
  </si>
  <si>
    <t>You have decided to estimate IBNR using the development method with a Berquist-Sherman adjustment.</t>
  </si>
  <si>
    <r>
      <t>(</t>
    </r>
    <r>
      <rPr>
        <i/>
        <sz val="12"/>
        <color rgb="FF002060"/>
        <rFont val="Times New Roman"/>
        <family val="1"/>
      </rPr>
      <t>3 points</t>
    </r>
    <r>
      <rPr>
        <sz val="12"/>
        <color rgb="FF002060"/>
        <rFont val="Times New Roman"/>
        <family val="1"/>
      </rPr>
      <t>)  Calculate IBNR by accident year using the reported development method, with a Berquist-Sherman adjustment.</t>
    </r>
  </si>
  <si>
    <t>Adjusted average case estimates</t>
  </si>
  <si>
    <t>Adjusted case estimates</t>
  </si>
  <si>
    <t>Adjusted Reported Claims</t>
  </si>
  <si>
    <t>Development factors</t>
  </si>
  <si>
    <t>12 to 24</t>
  </si>
  <si>
    <t>24 to 36</t>
  </si>
  <si>
    <t>36 to 48</t>
  </si>
  <si>
    <t>48 to 60</t>
  </si>
  <si>
    <t>60 to Ult</t>
  </si>
  <si>
    <t>Age-to-Ultimate</t>
  </si>
  <si>
    <t>Age-to-Ultimate Development Factor</t>
  </si>
  <si>
    <t>You are given the following information:</t>
  </si>
  <si>
    <t>Written Exposures</t>
  </si>
  <si>
    <t>On-Level Written Premiums</t>
  </si>
  <si>
    <r>
      <t>(</t>
    </r>
    <r>
      <rPr>
        <i/>
        <sz val="12"/>
        <color rgb="FF002060"/>
        <rFont val="Times New Roman"/>
        <family val="1"/>
      </rPr>
      <t>2 points</t>
    </r>
    <r>
      <rPr>
        <sz val="12"/>
        <color rgb="FF002060"/>
        <rFont val="Times New Roman"/>
        <family val="1"/>
      </rPr>
      <t>)  Recommend the annual premium trend to use for ratemaking. Justify your recommendation.</t>
    </r>
  </si>
  <si>
    <t>Average On-Level Written Premium (OLWP)</t>
  </si>
  <si>
    <t>Year-to-Year Change in Average OLWP</t>
  </si>
  <si>
    <t>Average all years</t>
  </si>
  <si>
    <t>Average excluding 2015 outlier</t>
  </si>
  <si>
    <t>Recommended annual premium trend:</t>
  </si>
  <si>
    <t>Justification: Annual trend is reasonably stable except for 2015, which appears to be an outlier.</t>
  </si>
  <si>
    <t xml:space="preserve"> - New rates will be effective August 1, 2021 for six months.</t>
  </si>
  <si>
    <t xml:space="preserve"> - All policies are written as 12-month policies.</t>
  </si>
  <si>
    <t>Trended Ultimate Claims</t>
  </si>
  <si>
    <r>
      <t>(</t>
    </r>
    <r>
      <rPr>
        <i/>
        <sz val="12"/>
        <color rgb="FF002060"/>
        <rFont val="Times New Roman"/>
        <family val="1"/>
      </rPr>
      <t>1.5 points</t>
    </r>
    <r>
      <rPr>
        <sz val="12"/>
        <color rgb="FF002060"/>
        <rFont val="Times New Roman"/>
        <family val="1"/>
      </rPr>
      <t>)  Calculate the trended claim ratio for each accident year.</t>
    </r>
  </si>
  <si>
    <t>Average earned premium date in the future rating period = 9 months after August 1, 2021 = May 1, 2022</t>
  </si>
  <si>
    <t>Average Earned Premium Date</t>
  </si>
  <si>
    <t>Trending Period (months)</t>
  </si>
  <si>
    <t>Trended On-Level Earned Premium @1.23%</t>
  </si>
  <si>
    <t>Trended Claim Ratios</t>
  </si>
  <si>
    <t>All year average:</t>
  </si>
  <si>
    <t>Excluding high/low:</t>
  </si>
  <si>
    <t>Average (2018-2020):</t>
  </si>
  <si>
    <r>
      <t>(</t>
    </r>
    <r>
      <rPr>
        <i/>
        <sz val="12"/>
        <color rgb="FF002060"/>
        <rFont val="Times New Roman"/>
        <family val="1"/>
      </rPr>
      <t>0.5 points</t>
    </r>
    <r>
      <rPr>
        <sz val="12"/>
        <color rgb="FF002060"/>
        <rFont val="Times New Roman"/>
        <family val="1"/>
      </rPr>
      <t>)  Recommend a trended claim ratio to use for ratemaking. Justify your recommendation.</t>
    </r>
  </si>
  <si>
    <t>Selected weighted average trended experience claim ratio:</t>
  </si>
  <si>
    <t>Justification: Exclude high and low years to smooth the erratic values. No clear trend.</t>
  </si>
  <si>
    <t xml:space="preserve"> - The annual pure premium trend is 5%.</t>
  </si>
  <si>
    <t xml:space="preserve"> - The complement of credibility is derived using the data from the last ratemaking analysis.</t>
  </si>
  <si>
    <t xml:space="preserve"> - The last ratemaking analysis was for policies effective January 1, 2021 through June 30, 2021, where</t>
  </si>
  <si>
    <t xml:space="preserve"> - the indicated rate change was 4%,</t>
  </si>
  <si>
    <t xml:space="preserve"> - the approved rate change was 2%, and</t>
  </si>
  <si>
    <t xml:space="preserve"> - the permissible claim ratio was 55%.</t>
  </si>
  <si>
    <r>
      <t>(</t>
    </r>
    <r>
      <rPr>
        <i/>
        <sz val="12"/>
        <color rgb="FF002060"/>
        <rFont val="Times New Roman"/>
        <family val="1"/>
      </rPr>
      <t>1 point</t>
    </r>
    <r>
      <rPr>
        <sz val="12"/>
        <color rgb="FF002060"/>
        <rFont val="Times New Roman"/>
        <family val="1"/>
      </rPr>
      <t>)  Calculate the claim ratio to use for the complement of credibility.</t>
    </r>
  </si>
  <si>
    <t>Indicated rate change for policies effective January 1, 2021 through June 30, 2021</t>
  </si>
  <si>
    <t>Approved rate change for policies effective January 1, 2021 through June 30, 2021</t>
  </si>
  <si>
    <t>Permissible claim ratio for policies effective January 1, 2021 through June 30, 2021</t>
  </si>
  <si>
    <t>Pure premium trend</t>
  </si>
  <si>
    <t>Premium trend</t>
  </si>
  <si>
    <t>Average accident date of prior filing</t>
  </si>
  <si>
    <t>Average accident date of forecast period</t>
  </si>
  <si>
    <t>Trending period in months</t>
  </si>
  <si>
    <t>Complement of credibility claim ratio</t>
  </si>
  <si>
    <t xml:space="preserve"> - The ratio of fixed expenses to premiums at current rates including ULAE is 15%.</t>
  </si>
  <si>
    <t xml:space="preserve"> - The ratio of variable expenses to premiums is 11%.</t>
  </si>
  <si>
    <t xml:space="preserve"> - The ratio of profit and contingencies to premiums is 4%.</t>
  </si>
  <si>
    <t xml:space="preserve"> - The credibility assigned to the experience claim ratio is 77%.</t>
  </si>
  <si>
    <r>
      <t>(</t>
    </r>
    <r>
      <rPr>
        <i/>
        <sz val="12"/>
        <color rgb="FF002060"/>
        <rFont val="Times New Roman"/>
        <family val="1"/>
      </rPr>
      <t>1 point</t>
    </r>
    <r>
      <rPr>
        <sz val="12"/>
        <color rgb="FF002060"/>
        <rFont val="Times New Roman"/>
        <family val="1"/>
      </rPr>
      <t>)  Calculate the indicated rate change.</t>
    </r>
  </si>
  <si>
    <t>Selected trended claim ratio</t>
  </si>
  <si>
    <t xml:space="preserve">Credibility assigned to the experience claim ratio </t>
  </si>
  <si>
    <t>Complement of credibility</t>
  </si>
  <si>
    <t>Credibility weighed claim ratio</t>
  </si>
  <si>
    <t>You are given the following information for estimating ultimate claims as of December 31, 2020:</t>
  </si>
  <si>
    <t>Paid Claims as of December 31, 2020</t>
  </si>
  <si>
    <t>Cumulative Development Factors</t>
  </si>
  <si>
    <t>Projected Ultimate Claims from Development Method</t>
  </si>
  <si>
    <t>Rate Change</t>
  </si>
  <si>
    <t>–3%</t>
  </si>
  <si>
    <t xml:space="preserve"> - All policies are annual and are written and earned evenly throughout the year.  </t>
  </si>
  <si>
    <t xml:space="preserve"> - Tort reform resulted in an estimated claim decrease of 20% for all accidents occurring on or after July 1, 2014. </t>
  </si>
  <si>
    <t xml:space="preserve"> - The annual claim trend is 0%.</t>
  </si>
  <si>
    <r>
      <t>(</t>
    </r>
    <r>
      <rPr>
        <i/>
        <sz val="12"/>
        <color rgb="FF002060"/>
        <rFont val="Times New Roman"/>
        <family val="1"/>
      </rPr>
      <t>1.5 points</t>
    </r>
    <r>
      <rPr>
        <sz val="12"/>
        <color rgb="FF002060"/>
        <rFont val="Times New Roman"/>
        <family val="1"/>
      </rPr>
      <t>)  Calculate premium on-level factors for all accident years for projecting claim ratios as of December 31, 2020.</t>
    </r>
  </si>
  <si>
    <t>6%</t>
  </si>
  <si>
    <t>-3%</t>
  </si>
  <si>
    <t>5%</t>
  </si>
  <si>
    <t>Initial</t>
  </si>
  <si>
    <t>Average Rate Level in each CY:</t>
  </si>
  <si>
    <t>On-Level Factors for reserving:</t>
  </si>
  <si>
    <r>
      <t>(</t>
    </r>
    <r>
      <rPr>
        <i/>
        <sz val="12"/>
        <color rgb="FF002060"/>
        <rFont val="Times New Roman"/>
        <family val="1"/>
      </rPr>
      <t>3.5 points</t>
    </r>
    <r>
      <rPr>
        <sz val="12"/>
        <color rgb="FF002060"/>
        <rFont val="Times New Roman"/>
        <family val="1"/>
      </rPr>
      <t>)  Calculate projected ultimate claims for all accident years using the expected method.</t>
    </r>
  </si>
  <si>
    <t>Accident Year (AY)</t>
  </si>
  <si>
    <t>On-Level Factors</t>
  </si>
  <si>
    <t>Trended On-Level Claim Ratio</t>
  </si>
  <si>
    <t>Claim Ratio at Cost Level of Each AY</t>
  </si>
  <si>
    <t>Projected Ultimate Claims</t>
  </si>
  <si>
    <r>
      <t>(</t>
    </r>
    <r>
      <rPr>
        <i/>
        <sz val="12"/>
        <color rgb="FF002060"/>
        <rFont val="Times New Roman"/>
        <family val="1"/>
      </rPr>
      <t>3 points</t>
    </r>
    <r>
      <rPr>
        <sz val="12"/>
        <color rgb="FF002060"/>
        <rFont val="Times New Roman"/>
        <family val="1"/>
      </rPr>
      <t>)  Calculate projected ultimate claims for all accident years using the Cape Cod method.</t>
    </r>
  </si>
  <si>
    <t>On-Level Earned Premium</t>
  </si>
  <si>
    <t>Expected % Paid</t>
  </si>
  <si>
    <t>Used-Up On-Level Earned Premium</t>
  </si>
  <si>
    <t>Adjusted Paid Claims at Dec. 31, 2020</t>
  </si>
  <si>
    <t>Expected % Unpaid</t>
  </si>
  <si>
    <t>Expected Unpaid Claims</t>
  </si>
  <si>
    <t>You are estimating ultimate property claims in State X for ratemaking purposes using a large claims loading approach.</t>
  </si>
  <si>
    <t>Selected Ultimate Claims at</t>
  </si>
  <si>
    <t>Alternative Limits (000)</t>
  </si>
  <si>
    <t>Total Limits</t>
  </si>
  <si>
    <t>Selected Severity Trend at</t>
  </si>
  <si>
    <t xml:space="preserve"> - The new rates are to be effective February 1, 2022 through January 31, 2023.</t>
  </si>
  <si>
    <t xml:space="preserve"> - All policies are written for 12-month policy terms.</t>
  </si>
  <si>
    <t>You are given the following loadings for large claims in State X, which were calculated using experience from accident years 2013 to 2020:</t>
  </si>
  <si>
    <t>Loadings for Large Claims</t>
  </si>
  <si>
    <t>250,000 to 500,000</t>
  </si>
  <si>
    <t>250,000 to Total Limits</t>
  </si>
  <si>
    <t>500,000 to Total Limits</t>
  </si>
  <si>
    <t>All-years average</t>
  </si>
  <si>
    <r>
      <t>(</t>
    </r>
    <r>
      <rPr>
        <i/>
        <sz val="12"/>
        <color rgb="FF002060"/>
        <rFont val="Times New Roman"/>
        <family val="1"/>
      </rPr>
      <t>2 points</t>
    </r>
    <r>
      <rPr>
        <sz val="12"/>
        <color rgb="FF002060"/>
        <rFont val="Times New Roman"/>
        <family val="1"/>
      </rPr>
      <t>)  Demonstrate that the all-years simple average of the loadings for large claims were calculated correctly in the table above.</t>
    </r>
  </si>
  <si>
    <t>Average earned date in rating period:</t>
  </si>
  <si>
    <t xml:space="preserve"> ( 12 months following the effective date)</t>
  </si>
  <si>
    <t>Trend Period (years)</t>
  </si>
  <si>
    <t>Severity Trend at</t>
  </si>
  <si>
    <t>Trended Ultimate Claims at Limit</t>
  </si>
  <si>
    <t>Loading for Large Claims</t>
  </si>
  <si>
    <t>Therefore, the loadings provided were not calculated correctly.</t>
  </si>
  <si>
    <t>A credibility procedure was used to select the State X loadings for large claims at a 250,000 limit and a 500,000 limit using the following assumptions:</t>
  </si>
  <si>
    <t xml:space="preserve"> - State X credibility is 50% for claims from 250,000 to 500,000, and 20% for claims from 500,000 to total limits. </t>
  </si>
  <si>
    <t xml:space="preserve"> - The countrywide loadings for large claims are 1.53 for claims from 250,000 to 500,000, and 1.05 for claims from 500,000 to total limits.</t>
  </si>
  <si>
    <t xml:space="preserve"> - The loading for large claims from 250,000 to total limits is derived from the loadings for large claims from 250,000 to 500,000, and 500,000 to total limits.</t>
  </si>
  <si>
    <r>
      <t>(</t>
    </r>
    <r>
      <rPr>
        <i/>
        <sz val="12"/>
        <color rgb="FF002060"/>
        <rFont val="Times New Roman"/>
        <family val="1"/>
      </rPr>
      <t>2 points</t>
    </r>
    <r>
      <rPr>
        <sz val="12"/>
        <color rgb="FF002060"/>
        <rFont val="Times New Roman"/>
        <family val="1"/>
      </rPr>
      <t>)  Calculate the ultimate claims at total limits for each accident year from 2016 to 2020, using selected ultimate claims at the following limits:</t>
    </r>
  </si>
  <si>
    <t>Alternative solution using correct loadings as calculated in part (a).</t>
  </si>
  <si>
    <t xml:space="preserve">Loadings for large claims </t>
  </si>
  <si>
    <t>Loadings for large claims (from part (a))</t>
  </si>
  <si>
    <t>Coutrytwide</t>
  </si>
  <si>
    <t>State X cred.</t>
  </si>
  <si>
    <t>Credibility-weighted loadings for large claims</t>
  </si>
  <si>
    <t>Trend Factor for Large Claim Loading</t>
  </si>
  <si>
    <t xml:space="preserve">Large Claim Loading adjusted for cost level </t>
  </si>
  <si>
    <t>Indicated Ultimate Claims at Total Limits based on projections at
Alternative Limits (000)</t>
  </si>
  <si>
    <t>You are given the following information for a line of business:</t>
  </si>
  <si>
    <t>General and Other Acquisition Expenses</t>
  </si>
  <si>
    <t>Commission Expenses</t>
  </si>
  <si>
    <t>Premium Taxes, Licenses and Fees</t>
  </si>
  <si>
    <t>Direct Written Premiums</t>
  </si>
  <si>
    <t>Direct Earned Premiums</t>
  </si>
  <si>
    <t xml:space="preserve"> - Calendar year 2021 budgeted earned premiums are </t>
  </si>
  <si>
    <r>
      <t xml:space="preserve"> - Calendar year 2021 budgeted general and other acquisition expenses</t>
    </r>
    <r>
      <rPr>
        <b/>
        <sz val="12"/>
        <color rgb="FF002060"/>
        <rFont val="Times New Roman"/>
        <family val="1"/>
      </rPr>
      <t xml:space="preserve"> </t>
    </r>
    <r>
      <rPr>
        <sz val="12"/>
        <color rgb="FF002060"/>
        <rFont val="Times New Roman"/>
        <family val="1"/>
      </rPr>
      <t xml:space="preserve">are </t>
    </r>
  </si>
  <si>
    <t xml:space="preserve"> - The percent of general and other acquisition expenses that are fixed is </t>
  </si>
  <si>
    <r>
      <t>(</t>
    </r>
    <r>
      <rPr>
        <i/>
        <sz val="12"/>
        <color rgb="FF002060"/>
        <rFont val="Times New Roman"/>
        <family val="1"/>
      </rPr>
      <t>3 points</t>
    </r>
    <r>
      <rPr>
        <sz val="12"/>
        <color rgb="FF002060"/>
        <rFont val="Times New Roman"/>
        <family val="1"/>
      </rPr>
      <t>)  Recommend a fixed and a variable expense ratio to use for ratemaking.  Justify your recommendation.</t>
    </r>
  </si>
  <si>
    <t>General and Other Acquisition Expenses Ratio</t>
  </si>
  <si>
    <t>Premium Taxes and Licenses</t>
  </si>
  <si>
    <t>Budgeted ratio:</t>
  </si>
  <si>
    <t>Recommended gen &amp; other acq expense ratio:</t>
  </si>
  <si>
    <t xml:space="preserve">Justification: Budget is similar to all other prior years except 2020, so budget appears to be a reasonable ratio. </t>
  </si>
  <si>
    <t xml:space="preserve">     Also, 2020 may be an outlier due to premium growth in excess premium growth exhibited in prior years.</t>
  </si>
  <si>
    <t>Fixed expense ratio:</t>
  </si>
  <si>
    <t>Variable expense ratio for general and other acquisition expenses:</t>
  </si>
  <si>
    <t>Total variable expense ratio:</t>
  </si>
  <si>
    <t>You are given the following information for the purpose of estimating unpaid claims for an automobile insurance line of business:</t>
  </si>
  <si>
    <t>Cumulative Paid Claims (000)</t>
  </si>
  <si>
    <t xml:space="preserve"> - The tail factor at 72 months is 1.100.</t>
  </si>
  <si>
    <t xml:space="preserve"> - The a priori claim ratio for accident years 2015 to 2019 is 65%.</t>
  </si>
  <si>
    <t xml:space="preserve"> - The a priori claim ratio for accident year 2020 is 60% reflecting a lower expected claim frequency during COVID stay-at-home orders.</t>
  </si>
  <si>
    <r>
      <t>(</t>
    </r>
    <r>
      <rPr>
        <i/>
        <sz val="12"/>
        <color rgb="FF002060"/>
        <rFont val="Times New Roman"/>
        <family val="1"/>
      </rPr>
      <t>1 point</t>
    </r>
    <r>
      <rPr>
        <sz val="12"/>
        <color rgb="FF002060"/>
        <rFont val="Times New Roman"/>
        <family val="1"/>
      </rPr>
      <t>)  Select age-to-age development factors to be used in applying the development method.</t>
    </r>
  </si>
  <si>
    <t>12:24</t>
  </si>
  <si>
    <t>24:36</t>
  </si>
  <si>
    <t>36:48</t>
  </si>
  <si>
    <t>48:60</t>
  </si>
  <si>
    <t>60:72</t>
  </si>
  <si>
    <t>Tail</t>
  </si>
  <si>
    <t>Simple average:</t>
  </si>
  <si>
    <t>Latest 3 years:</t>
  </si>
  <si>
    <t>Selection:</t>
  </si>
  <si>
    <t>Justification: Use the most recent 3 years to give consideration to the decreasing ratios down the columns.</t>
  </si>
  <si>
    <r>
      <t>(</t>
    </r>
    <r>
      <rPr>
        <i/>
        <sz val="12"/>
        <color rgb="FF002060"/>
        <rFont val="Times New Roman"/>
        <family val="1"/>
      </rPr>
      <t>1 point</t>
    </r>
    <r>
      <rPr>
        <sz val="12"/>
        <color rgb="FF002060"/>
        <rFont val="Times New Roman"/>
        <family val="1"/>
      </rPr>
      <t>)  Estimate ultimate claim ratios as of December 31, 2020 for all accident years using the development method and selections from part (b).</t>
    </r>
  </si>
  <si>
    <t>Calculated CDFs</t>
  </si>
  <si>
    <t>CDF</t>
  </si>
  <si>
    <t>Ultimate Claim Ratios</t>
  </si>
  <si>
    <r>
      <t>(</t>
    </r>
    <r>
      <rPr>
        <i/>
        <sz val="12"/>
        <color rgb="FF002060"/>
        <rFont val="Times New Roman"/>
        <family val="1"/>
      </rPr>
      <t>1 point</t>
    </r>
    <r>
      <rPr>
        <sz val="12"/>
        <color rgb="FF002060"/>
        <rFont val="Times New Roman"/>
        <family val="1"/>
      </rPr>
      <t>)  Estimate ultimate claim ratios as of December 31, 2020 for all accident years using the Bornhuetter Ferguson method.</t>
    </r>
  </si>
  <si>
    <t>% Unpaid</t>
  </si>
  <si>
    <t>A Priori Claim Ratio</t>
  </si>
  <si>
    <r>
      <t>(</t>
    </r>
    <r>
      <rPr>
        <i/>
        <sz val="12"/>
        <color rgb="FF002060"/>
        <rFont val="Times New Roman"/>
        <family val="1"/>
      </rPr>
      <t>1 point</t>
    </r>
    <r>
      <rPr>
        <sz val="12"/>
        <color rgb="FF002060"/>
        <rFont val="Times New Roman"/>
        <family val="1"/>
      </rPr>
      <t>)  Recommend unpaid claims by accident year as of December 31, 2020.  Justify your recommendations.</t>
    </r>
  </si>
  <si>
    <t>Ultimate Claim Ratio from Part (c)</t>
  </si>
  <si>
    <t>Ultimate Claim Ratio from Part (d)</t>
  </si>
  <si>
    <t>Selected Ultimate Claim Ratio</t>
  </si>
  <si>
    <t>Unpaid Claims</t>
  </si>
  <si>
    <t>Recommend the development method for AYs 2019 and prior, and the Bornhuetter Ferguson (BF)method for AY 2020.  The development method is used for older years to reflect actual experience.  The BF is better for immature periods and more than half of paids in AY 2020 are unpaid.  Also, BF method allows incorporation of expected change from COVID in the a priori claim ratio for AY 2020.</t>
  </si>
  <si>
    <t>S2021_Question 1</t>
  </si>
  <si>
    <t>S2021_Question 2</t>
  </si>
  <si>
    <t>S2021_Question 3</t>
  </si>
  <si>
    <t>S2021_Question 9</t>
  </si>
  <si>
    <t>S2021_Question 12</t>
  </si>
  <si>
    <t>S2021_Question 14</t>
  </si>
  <si>
    <t>S2021_Question 16</t>
  </si>
  <si>
    <t>S2021_Question 18</t>
  </si>
  <si>
    <t>S2021_Question 19</t>
  </si>
  <si>
    <t>You are analyzing the following policies:</t>
  </si>
  <si>
    <t xml:space="preserve">·       Policy #1:  12-month policy first written on November 1, 2019 for a premium of </t>
  </si>
  <si>
    <t xml:space="preserve"> renewed in 2020, and in force on December 31, 2020.</t>
  </si>
  <si>
    <t xml:space="preserve">·       Policy #2:  6-month policy first written on February 1, 2020 for a premium of </t>
  </si>
  <si>
    <t>·       Policy #3:  12-month policy first written on April 1, 2020 for a premium of</t>
  </si>
  <si>
    <t xml:space="preserve"> and cancelled on November 30, 2020.</t>
  </si>
  <si>
    <t>There was a premium level increase of</t>
  </si>
  <si>
    <t xml:space="preserve"> for each policy written or renewed after September 1, 2020. </t>
  </si>
  <si>
    <t>All rating characteristics remained the same for each policy at each renewal.</t>
  </si>
  <si>
    <r>
      <t>(</t>
    </r>
    <r>
      <rPr>
        <i/>
        <sz val="12"/>
        <color rgb="FF002060"/>
        <rFont val="Times New Roman"/>
        <family val="1"/>
      </rPr>
      <t>1 point</t>
    </r>
    <r>
      <rPr>
        <sz val="12"/>
        <color rgb="FF002060"/>
        <rFont val="Times New Roman"/>
        <family val="1"/>
      </rPr>
      <t>)  Calculate the 2020 calendar year total written premiums.</t>
    </r>
  </si>
  <si>
    <t>Policy#</t>
  </si>
  <si>
    <t>2020 WP</t>
  </si>
  <si>
    <r>
      <t>(</t>
    </r>
    <r>
      <rPr>
        <i/>
        <sz val="12"/>
        <color rgb="FF002060"/>
        <rFont val="Times New Roman"/>
        <family val="1"/>
      </rPr>
      <t>1.5 points</t>
    </r>
    <r>
      <rPr>
        <sz val="12"/>
        <color rgb="FF002060"/>
        <rFont val="Times New Roman"/>
        <family val="1"/>
      </rPr>
      <t>)  Calculate the 2020 calendar year total earned premiums.</t>
    </r>
  </si>
  <si>
    <t>Period</t>
  </si>
  <si>
    <t>Original WP</t>
  </si>
  <si>
    <t># months earned in 2020</t>
  </si>
  <si>
    <t>2020 EP</t>
  </si>
  <si>
    <t>Jan 1, 2020 to Oct 31, 2020</t>
  </si>
  <si>
    <t>Nov 1, 2020 to Dec 31, 2020</t>
  </si>
  <si>
    <t>Feb 1, 2020 to July 31, 2020</t>
  </si>
  <si>
    <t>Aug 1, 2020 to Dec 31, 2020</t>
  </si>
  <si>
    <t>April 1, 2020 to Nov 30, 2020</t>
  </si>
  <si>
    <t>Total 2020 EP</t>
  </si>
  <si>
    <r>
      <t>(</t>
    </r>
    <r>
      <rPr>
        <i/>
        <sz val="12"/>
        <color rgb="FF002060"/>
        <rFont val="Times New Roman"/>
        <family val="1"/>
      </rPr>
      <t>1 point</t>
    </r>
    <r>
      <rPr>
        <sz val="12"/>
        <color rgb="FF002060"/>
        <rFont val="Times New Roman"/>
        <family val="1"/>
      </rPr>
      <t>)  Calculate the total unearned premiums as of December 31, 2020.</t>
    </r>
  </si>
  <si>
    <t>UEP</t>
  </si>
  <si>
    <t>Diff between WP &amp; EP for the latest period</t>
  </si>
  <si>
    <t>Not in force at the end of the year</t>
  </si>
  <si>
    <t>You are calculating 2020 total earned premiums adjusted to the current rate level.</t>
  </si>
  <si>
    <r>
      <t>(</t>
    </r>
    <r>
      <rPr>
        <i/>
        <sz val="12"/>
        <color rgb="FF002060"/>
        <rFont val="Times New Roman"/>
        <family val="1"/>
      </rPr>
      <t>1 point</t>
    </r>
    <r>
      <rPr>
        <sz val="12"/>
        <color rgb="FF002060"/>
        <rFont val="Times New Roman"/>
        <family val="1"/>
      </rPr>
      <t>)  Explain why the parallelogram approach would be inaccurate for this calculation.</t>
    </r>
  </si>
  <si>
    <t>Any two of the following are acceptable:</t>
  </si>
  <si>
    <t xml:space="preserve"> - The policies are not written evenly through the period.</t>
  </si>
  <si>
    <t xml:space="preserve"> - The parallelogram approach is an approximation method and with so few policies the actual calculation is more accurate.</t>
  </si>
  <si>
    <t xml:space="preserve"> - The parallelogram approach more appropriate for an entire book of business and not few individual policies.</t>
  </si>
  <si>
    <r>
      <t>(</t>
    </r>
    <r>
      <rPr>
        <i/>
        <sz val="12"/>
        <color rgb="FF002060"/>
        <rFont val="Times New Roman"/>
        <family val="1"/>
      </rPr>
      <t>0.5 points</t>
    </r>
    <r>
      <rPr>
        <sz val="12"/>
        <color rgb="FF002060"/>
        <rFont val="Times New Roman"/>
        <family val="1"/>
      </rPr>
      <t>)  Calculate the 2020 total earned premiums adjusted to the current rate level.</t>
    </r>
  </si>
  <si>
    <t>EP @ CRL</t>
  </si>
  <si>
    <t>Needs the 5% rate increase</t>
  </si>
  <si>
    <t>Already at current rate level</t>
  </si>
  <si>
    <t>April 1, 2020 to Dec 1, 2020</t>
  </si>
  <si>
    <t>You are given the following information to estimate ultimate claims as of December 31, 2020.</t>
  </si>
  <si>
    <t xml:space="preserve">Actual Reported Claims </t>
  </si>
  <si>
    <t>Report Year</t>
  </si>
  <si>
    <t>Annual claim trend</t>
  </si>
  <si>
    <r>
      <t>(</t>
    </r>
    <r>
      <rPr>
        <i/>
        <sz val="12"/>
        <color rgb="FF002060"/>
        <rFont val="Times New Roman"/>
        <family val="1"/>
      </rPr>
      <t>2 points</t>
    </r>
    <r>
      <rPr>
        <sz val="12"/>
        <color rgb="FF002060"/>
        <rFont val="Times New Roman"/>
        <family val="1"/>
      </rPr>
      <t>)  Calculate ultimate claims using the pure premium approach to the expected method.</t>
    </r>
  </si>
  <si>
    <t>Report Year (RY)</t>
  </si>
  <si>
    <t>Trended Pure Premium</t>
  </si>
  <si>
    <t>Detrended Pure Premium</t>
  </si>
  <si>
    <t>Projected Ultimate based on Expected Method</t>
  </si>
  <si>
    <t>Average Trended PP excl 2020:</t>
  </si>
  <si>
    <t>All Years</t>
  </si>
  <si>
    <t>All Years excl hi/lo</t>
  </si>
  <si>
    <t>Latest 5</t>
  </si>
  <si>
    <t>Selected</t>
  </si>
  <si>
    <t>(g)</t>
  </si>
  <si>
    <r>
      <t>(</t>
    </r>
    <r>
      <rPr>
        <i/>
        <sz val="12"/>
        <color rgb="FF002060"/>
        <rFont val="Times New Roman"/>
        <family val="1"/>
      </rPr>
      <t>1 point</t>
    </r>
    <r>
      <rPr>
        <sz val="12"/>
        <color rgb="FF002060"/>
        <rFont val="Times New Roman"/>
        <family val="1"/>
      </rPr>
      <t>)  Calculate ultimate claims using the Bornhuetter Ferguson method, where the a priori expected claims are the estimated ultimate claims from the expected method in part (f).</t>
    </r>
  </si>
  <si>
    <t>Projected Ult</t>
  </si>
  <si>
    <t>(h)</t>
  </si>
  <si>
    <r>
      <t>(</t>
    </r>
    <r>
      <rPr>
        <i/>
        <sz val="12"/>
        <color rgb="FF002060"/>
        <rFont val="Times New Roman"/>
        <family val="1"/>
      </rPr>
      <t>1 point</t>
    </r>
    <r>
      <rPr>
        <sz val="12"/>
        <color rgb="FF002060"/>
        <rFont val="Times New Roman"/>
        <family val="1"/>
      </rPr>
      <t>)  Evaluate the reasonableness of the inputs for the Bornhuetter Ferguson method in part (g).</t>
    </r>
  </si>
  <si>
    <t>Expected Reported</t>
  </si>
  <si>
    <t>Difference Actual vs. Expected</t>
  </si>
  <si>
    <t>Percentage Difference</t>
  </si>
  <si>
    <t>The difference is reasonable in total.  The largest difference is in the most recent two years, which is expected based on maturity.</t>
  </si>
  <si>
    <t>XYZ insurer is thinking of offering an earthquake endorsement to its basic homeowners policy. You are given the following information:</t>
  </si>
  <si>
    <t>·       Using July 1, 2020 in-force policies, expected claims from the earthquake catastrophe model are</t>
  </si>
  <si>
    <t>based on an October 1, 2020 cost level.</t>
  </si>
  <si>
    <t>·       Earned house years for accident year 2020:</t>
  </si>
  <si>
    <t>·       The annual exposure trend is:</t>
  </si>
  <si>
    <t>·       The annual severity trend is:</t>
  </si>
  <si>
    <t>·       New rates are to be effective July 1, 2022 for one year with all policies written as 12-month policies.</t>
  </si>
  <si>
    <r>
      <t>(</t>
    </r>
    <r>
      <rPr>
        <i/>
        <sz val="12"/>
        <color rgb="FF002060"/>
        <rFont val="Times New Roman"/>
        <family val="1"/>
      </rPr>
      <t>2 points</t>
    </r>
    <r>
      <rPr>
        <sz val="12"/>
        <color rgb="FF002060"/>
        <rFont val="Times New Roman"/>
        <family val="1"/>
      </rPr>
      <t xml:space="preserve">)  Calculate the pure premium for the earthquake endorsement. </t>
    </r>
  </si>
  <si>
    <t>Mid point of future rating period:</t>
  </si>
  <si>
    <t>Exposure trend period (months): July 1, 2020 to October 1, 2020</t>
  </si>
  <si>
    <t xml:space="preserve">Exposure trend </t>
  </si>
  <si>
    <t>Severity trend period (months): October 1, 2020 to July 1, 2023</t>
  </si>
  <si>
    <t>Severity trend</t>
  </si>
  <si>
    <t xml:space="preserve">Trended modeled catastrophe claims </t>
  </si>
  <si>
    <t>Trended exposures</t>
  </si>
  <si>
    <t xml:space="preserve">Pure premium </t>
  </si>
  <si>
    <t>You are given the following additional information for the earthquake endorsement:</t>
  </si>
  <si>
    <t>Fixed cost per policy</t>
  </si>
  <si>
    <t>Variable expense to premium ratio</t>
  </si>
  <si>
    <t>Risk load as a perecent of premium</t>
  </si>
  <si>
    <r>
      <t>(</t>
    </r>
    <r>
      <rPr>
        <i/>
        <sz val="12"/>
        <color rgb="FF002060"/>
        <rFont val="Times New Roman"/>
        <family val="1"/>
      </rPr>
      <t>0.5 points</t>
    </r>
    <r>
      <rPr>
        <sz val="12"/>
        <color rgb="FF002060"/>
        <rFont val="Times New Roman"/>
        <family val="1"/>
      </rPr>
      <t xml:space="preserve">)  Calculate the premium for the earthquake endorsement. </t>
    </r>
  </si>
  <si>
    <t>Endorsement premium:</t>
  </si>
  <si>
    <t>You are given the following information for the basic homeowners coverage:</t>
  </si>
  <si>
    <t xml:space="preserve">Basic Homeowners </t>
  </si>
  <si>
    <t>(excluding optional 
earthquake endorsement)</t>
  </si>
  <si>
    <t>On Level Earned Premium</t>
  </si>
  <si>
    <t>Current rate level</t>
  </si>
  <si>
    <t>Annual premium trend</t>
  </si>
  <si>
    <t>Permissible claim ratio is:</t>
  </si>
  <si>
    <r>
      <t>(</t>
    </r>
    <r>
      <rPr>
        <i/>
        <sz val="12"/>
        <color rgb="FF002060"/>
        <rFont val="Times New Roman"/>
        <family val="1"/>
      </rPr>
      <t>1 point</t>
    </r>
    <r>
      <rPr>
        <sz val="12"/>
        <color rgb="FF002060"/>
        <rFont val="Times New Roman"/>
        <family val="1"/>
      </rPr>
      <t>)  Calculate the indicated rate for the basic homeowners coverage.  Justify any selections.</t>
    </r>
  </si>
  <si>
    <t>On Level Earned Premium (OLEP)</t>
  </si>
  <si>
    <t>Trended OLEP</t>
  </si>
  <si>
    <t>Claim Ratio</t>
  </si>
  <si>
    <t>Selected ultimate claim ratio:</t>
  </si>
  <si>
    <t>Indicated rate change:</t>
  </si>
  <si>
    <t>Indicated rate:</t>
  </si>
  <si>
    <t>Selected ultimate claim ratio: average of 2019 and 2020 is used as 2018 is an outlier</t>
  </si>
  <si>
    <t>Since the earthquake coverage is an optional endorsement, management proposes that there should not be any fixed and variable expense charged to this optional coverage.</t>
  </si>
  <si>
    <r>
      <t>(</t>
    </r>
    <r>
      <rPr>
        <i/>
        <sz val="12"/>
        <color rgb="FF002060"/>
        <rFont val="Times New Roman"/>
        <family val="1"/>
      </rPr>
      <t>0.5 points</t>
    </r>
    <r>
      <rPr>
        <sz val="12"/>
        <color rgb="FF002060"/>
        <rFont val="Times New Roman"/>
        <family val="1"/>
      </rPr>
      <t>)  State whether you agree with management’s proposal.  Justify your response.</t>
    </r>
  </si>
  <si>
    <t xml:space="preserve">Do not agree. </t>
  </si>
  <si>
    <t xml:space="preserve">There is additional administrative cost related to this optional add-on, such as the mid-term addition or cancellation. </t>
  </si>
  <si>
    <t>ABC insurer has been offering mileage discounts to its automobile insurance policyholders who drive below a certain mileage each year.  You are given the following information:</t>
  </si>
  <si>
    <t>Earned Proportion of Automobile Policyholders with</t>
  </si>
  <si>
    <t>5% Discount</t>
  </si>
  <si>
    <t>10% Discount</t>
  </si>
  <si>
    <t>·       Policyholders who drive more than 5,000 miles per year and less than 7,500 miles per year qualify for a 5% discount.</t>
  </si>
  <si>
    <t>·       Policyholders who drive less than 5,000 miles per year qualify for a 10% discount.</t>
  </si>
  <si>
    <t>·       Due to the pandemic in 2020, there was a significant one-time decrease in the distance driven by many policyholders.</t>
  </si>
  <si>
    <t>·       Policies are annual and written and earned evenly throughout the year.</t>
  </si>
  <si>
    <r>
      <t>(</t>
    </r>
    <r>
      <rPr>
        <i/>
        <sz val="12"/>
        <color rgb="FF002060"/>
        <rFont val="Times New Roman"/>
        <family val="1"/>
      </rPr>
      <t>1.5 points</t>
    </r>
    <r>
      <rPr>
        <sz val="12"/>
        <color rgb="FF002060"/>
        <rFont val="Times New Roman"/>
        <family val="1"/>
      </rPr>
      <t>)  Calculate and select the annual premium trend due to the change in discount level.  Justify your selection.</t>
    </r>
  </si>
  <si>
    <t>5% discount</t>
  </si>
  <si>
    <t>10% discount</t>
  </si>
  <si>
    <t>Average Discount</t>
  </si>
  <si>
    <t>Annual Change</t>
  </si>
  <si>
    <t>Average excluding 2020:</t>
  </si>
  <si>
    <t xml:space="preserve">Selected trend due to shift in discount = </t>
  </si>
  <si>
    <t>Justification is that 2020 should be excluded as this is assumed to be a one-time change and the annual change should therefore return to historical levels after 2020.</t>
  </si>
  <si>
    <t>You are conducting a premium trend analysis for rates to be effective on February 1, 2022, for one year and are given the following additional information:</t>
  </si>
  <si>
    <t>·        The annual premium trend due to change in discount level is expected to be</t>
  </si>
  <si>
    <t xml:space="preserve"> post 2020.</t>
  </si>
  <si>
    <t>·        The annual trend due to changes in policy limits is:</t>
  </si>
  <si>
    <r>
      <t>(</t>
    </r>
    <r>
      <rPr>
        <i/>
        <sz val="12"/>
        <color rgb="FF002060"/>
        <rFont val="Times New Roman"/>
        <family val="1"/>
      </rPr>
      <t>2.5 points</t>
    </r>
    <r>
      <rPr>
        <sz val="12"/>
        <color rgb="FF002060"/>
        <rFont val="Times New Roman"/>
        <family val="1"/>
      </rPr>
      <t>)  Calculate the premium trend factor to be used for 2018 using earned premium for the trending analysis and incorporating the annual trend selected in part (b).</t>
    </r>
  </si>
  <si>
    <t>2018 average earned date</t>
  </si>
  <si>
    <t>2020 average earned date</t>
  </si>
  <si>
    <t>Trending Period 1</t>
  </si>
  <si>
    <t>months</t>
  </si>
  <si>
    <t>Effective date of new rates:</t>
  </si>
  <si>
    <t>Avg earned date of forecast period</t>
  </si>
  <si>
    <t>Trending Period 2</t>
  </si>
  <si>
    <t>Premium Trend Factor:</t>
  </si>
  <si>
    <t xml:space="preserve">Trending factor period 1: </t>
  </si>
  <si>
    <t xml:space="preserve">Trending factor period 2: </t>
  </si>
  <si>
    <t>Premium trend factor:</t>
  </si>
  <si>
    <t>Reported Claims as of  Dec. 31, 2020</t>
  </si>
  <si>
    <t>Projected Ultimate Based</t>
  </si>
  <si>
    <t>on Development Method</t>
  </si>
  <si>
    <t xml:space="preserve">      ▪</t>
  </si>
  <si>
    <t>For claims occurring prior to 2020, the following trends were observed for this line of business:</t>
  </si>
  <si>
    <t xml:space="preserve">o   Annual severity trend of </t>
  </si>
  <si>
    <t>o   Annual frequency trend of</t>
  </si>
  <si>
    <t xml:space="preserve">There was a court ruling that expanded policy coverage for claims occurring in 2020.  It was expected to increase claim frequency 6% over the trended historical average but have no effect on claim severity beyond the observed annual severity trend. </t>
  </si>
  <si>
    <r>
      <t>(</t>
    </r>
    <r>
      <rPr>
        <i/>
        <sz val="12"/>
        <color rgb="FF002060"/>
        <rFont val="Times New Roman"/>
        <family val="1"/>
      </rPr>
      <t>2.5 points</t>
    </r>
    <r>
      <rPr>
        <sz val="12"/>
        <color rgb="FF002060"/>
        <rFont val="Times New Roman"/>
        <family val="1"/>
      </rPr>
      <t>)  Calculate the ultimate claims for accident year 2020 using the development-based frequency-severity method.  Justify any selections.</t>
    </r>
  </si>
  <si>
    <t>Frequency</t>
  </si>
  <si>
    <t>Frequency Trend @0.5%</t>
  </si>
  <si>
    <t>Severity Trend @4.7%</t>
  </si>
  <si>
    <t>Change from Court Ruling</t>
  </si>
  <si>
    <t>All years average</t>
  </si>
  <si>
    <t>Average excluding 2020</t>
  </si>
  <si>
    <t xml:space="preserve">Selected frequency = </t>
  </si>
  <si>
    <t>(both averages account for the court ruling change, so either is reasonable)</t>
  </si>
  <si>
    <t xml:space="preserve">Selected severity = </t>
  </si>
  <si>
    <t>(no outliers and no significant trend, therefore all years average is reasonable)</t>
  </si>
  <si>
    <t xml:space="preserve">Ultimate claims = </t>
  </si>
  <si>
    <r>
      <t>(</t>
    </r>
    <r>
      <rPr>
        <i/>
        <sz val="12"/>
        <color rgb="FF002060"/>
        <rFont val="Times New Roman"/>
        <family val="1"/>
      </rPr>
      <t>0.5 points</t>
    </r>
    <r>
      <rPr>
        <sz val="12"/>
        <color rgb="FF002060"/>
        <rFont val="Times New Roman"/>
        <family val="1"/>
      </rPr>
      <t>)  Calculate the percentage growth in accident year 2020 IBNR in changing from the development method to the development-based frequency-severity method.</t>
    </r>
  </si>
  <si>
    <t xml:space="preserve">Development method IBNR = </t>
  </si>
  <si>
    <t xml:space="preserve">F-S method IBNR = </t>
  </si>
  <si>
    <t xml:space="preserve">Percent growth in IBNR = </t>
  </si>
  <si>
    <r>
      <t>(</t>
    </r>
    <r>
      <rPr>
        <i/>
        <sz val="12"/>
        <color rgb="FF002060"/>
        <rFont val="Times New Roman"/>
        <family val="1"/>
      </rPr>
      <t>1 point</t>
    </r>
    <r>
      <rPr>
        <sz val="12"/>
        <color rgb="FF002060"/>
        <rFont val="Times New Roman"/>
        <family val="1"/>
      </rPr>
      <t>)  Explain why the accident year 2020 IBNR calculated using the development-based frequency-severity method is likely to be more appropriate than the IBNR calculated using the development method.</t>
    </r>
  </si>
  <si>
    <t xml:space="preserve">	If we are confident in the expected increase in claim frequency for AY 2020 then the F-S method is more likely to be appropriate._x000D_
</t>
  </si>
  <si>
    <t>Development method does not adjust for AY 2020 expected increase in claim frequency.</t>
  </si>
  <si>
    <t xml:space="preserve">	This is seen by the fact the F-S method ultimate claims are 2.5% higher than the development method ultimate claims, and the F-S method IBNR is 3.91% higher than the development method IBNR._x000D_
</t>
  </si>
  <si>
    <t>: increase in ultimate claims</t>
  </si>
  <si>
    <t>Paid CDFs</t>
  </si>
  <si>
    <t>You are conducting a ratemaking analysis for a line of business for new rates to be effective January 1, 2022, and are given the following information:</t>
  </si>
  <si>
    <t>Calendar year 2020 earned premium</t>
  </si>
  <si>
    <t>Calendar year 2020 earned exposures</t>
  </si>
  <si>
    <t>Premium on-level factor</t>
  </si>
  <si>
    <t>Premium trend factor</t>
  </si>
  <si>
    <t>Experience claims ratio trended to the future rating period</t>
  </si>
  <si>
    <t>ULAE as a percent of claims</t>
  </si>
  <si>
    <t>Fixed expenses as a percent of premium</t>
  </si>
  <si>
    <t>Annual fixed expense trend</t>
  </si>
  <si>
    <t>Variable expenses as a percent of premium</t>
  </si>
  <si>
    <t>Target profit as a percent of premium</t>
  </si>
  <si>
    <r>
      <t>(</t>
    </r>
    <r>
      <rPr>
        <i/>
        <sz val="12"/>
        <color rgb="FF002060"/>
        <rFont val="Times New Roman"/>
        <family val="1"/>
      </rPr>
      <t>1.5 points</t>
    </r>
    <r>
      <rPr>
        <sz val="12"/>
        <color rgb="FF002060"/>
        <rFont val="Times New Roman"/>
        <family val="1"/>
      </rPr>
      <t>)  Demonstrate that the indicated rate change using the pure premium approach is 5.9%.</t>
    </r>
  </si>
  <si>
    <t>Average earned premium at current rate level</t>
  </si>
  <si>
    <t>Trended ultimate claims</t>
  </si>
  <si>
    <t xml:space="preserve">Trended pure premium </t>
  </si>
  <si>
    <t xml:space="preserve">Total fixed expenses </t>
  </si>
  <si>
    <t xml:space="preserve">Indicated rate </t>
  </si>
  <si>
    <t xml:space="preserve">Indicated rate change </t>
  </si>
  <si>
    <t>·       Management approves a</t>
  </si>
  <si>
    <t>rate increase for this line of business.</t>
  </si>
  <si>
    <t>·       No further rate changes are expected.</t>
  </si>
  <si>
    <t>·       The annual frequency trend is:</t>
  </si>
  <si>
    <t>·       The annual premium trend is:</t>
  </si>
  <si>
    <r>
      <t>(</t>
    </r>
    <r>
      <rPr>
        <i/>
        <sz val="12"/>
        <color rgb="FF002060"/>
        <rFont val="Times New Roman"/>
        <family val="1"/>
      </rPr>
      <t>3.5 points</t>
    </r>
    <r>
      <rPr>
        <sz val="12"/>
        <color rgb="FF002060"/>
        <rFont val="Times New Roman"/>
        <family val="1"/>
      </rPr>
      <t>)  Calculate the forecasted profit per policy for policies written in 2022, 2023, 2024 and 2025.</t>
    </r>
  </si>
  <si>
    <t>CY</t>
  </si>
  <si>
    <t>Required Premium</t>
  </si>
  <si>
    <t>Variable Expenses</t>
  </si>
  <si>
    <t>PP with ULAE</t>
  </si>
  <si>
    <t>Charged Premium</t>
  </si>
  <si>
    <t>Profit</t>
  </si>
  <si>
    <t>You are given the following claim information.</t>
  </si>
  <si>
    <t>Claim ID</t>
  </si>
  <si>
    <t>Incremental Paid Claims</t>
  </si>
  <si>
    <t>2018H1</t>
  </si>
  <si>
    <t>2018H2</t>
  </si>
  <si>
    <t>2019H1</t>
  </si>
  <si>
    <t>2019H2</t>
  </si>
  <si>
    <t>2020H1</t>
  </si>
  <si>
    <t>2020H2</t>
  </si>
  <si>
    <t>Occurrence Year: 2018</t>
  </si>
  <si>
    <t>Occurrence Year: 2019</t>
  </si>
  <si>
    <t>Occurrence Year: 2020</t>
  </si>
  <si>
    <t>Case Estimates at the End of Each Half Year</t>
  </si>
  <si>
    <r>
      <t>(</t>
    </r>
    <r>
      <rPr>
        <i/>
        <sz val="12"/>
        <color rgb="FF002060"/>
        <rFont val="Times New Roman"/>
        <family val="1"/>
      </rPr>
      <t>3 points</t>
    </r>
    <r>
      <rPr>
        <sz val="12"/>
        <color rgb="FF002060"/>
        <rFont val="Times New Roman"/>
        <family val="1"/>
      </rPr>
      <t>)  Construct a development triangle of cumulative reported claims, by accident year, with maturity ages 6, 12, 18, 24, 30 and 36 months.</t>
    </r>
  </si>
  <si>
    <t>Incremental Paid Claims at Maturity Age (in Months)</t>
    <phoneticPr fontId="0" type="noConversion"/>
  </si>
  <si>
    <t>Cumulative Paid Claims at Maturity Age (in Months)</t>
    <phoneticPr fontId="0" type="noConversion"/>
  </si>
  <si>
    <t>Case Estimates at Maturity Age (in Months)</t>
    <phoneticPr fontId="0" type="noConversion"/>
  </si>
  <si>
    <t>Reported Claims at Maturity Age (in Months)</t>
  </si>
  <si>
    <t xml:space="preserve">The above claim information provides claims from the following three lines of business: </t>
  </si>
  <si>
    <t>·       Medical malpractice</t>
  </si>
  <si>
    <t>·       Workers’ compensation</t>
  </si>
  <si>
    <t>·       Automobile physical damage</t>
  </si>
  <si>
    <r>
      <t>(</t>
    </r>
    <r>
      <rPr>
        <i/>
        <sz val="12"/>
        <color rgb="FF002060"/>
        <rFont val="Times New Roman"/>
        <family val="1"/>
      </rPr>
      <t>1.5 points</t>
    </r>
    <r>
      <rPr>
        <sz val="12"/>
        <color rgb="FF002060"/>
        <rFont val="Times New Roman"/>
        <family val="1"/>
      </rPr>
      <t xml:space="preserve">)  Select which line of business was the likely source for each of the following claims, providing a justification for each selection: </t>
    </r>
  </si>
  <si>
    <t>Claim 2</t>
  </si>
  <si>
    <t>Claim 3</t>
  </si>
  <si>
    <t>Claim 7</t>
  </si>
  <si>
    <t>Claim 2 is likely Automobile physical damage as it has a short reporting delay and was settled within 6 months of claim occurrence.</t>
  </si>
  <si>
    <t>Claim 3 is likely Medical malpractice claim as it has a long reporting delay and has not closed within 36 months of its occurrence.</t>
  </si>
  <si>
    <t>Claim 7 is likely Workers' compensation claim as it was reopened after its initial settlement.</t>
  </si>
  <si>
    <t>You are given the following general liability development triangle for investigative analysis.</t>
  </si>
  <si>
    <t> Accident Year</t>
  </si>
  <si>
    <t>Reported Pure Premiums</t>
  </si>
  <si>
    <r>
      <t>(</t>
    </r>
    <r>
      <rPr>
        <i/>
        <sz val="12"/>
        <color rgb="FF002060"/>
        <rFont val="Times New Roman"/>
        <family val="1"/>
      </rPr>
      <t>1 point</t>
    </r>
    <r>
      <rPr>
        <sz val="12"/>
        <color rgb="FF002060"/>
        <rFont val="Times New Roman"/>
        <family val="1"/>
      </rPr>
      <t>)  Identify two anomalies relating to this triangle.</t>
    </r>
  </si>
  <si>
    <t>OPTIONAL development factor calculation which may be helpful to identify anomalies</t>
  </si>
  <si>
    <t xml:space="preserve"> - Reported pure premiums decreased in AYs 2015-2016, then increased again in AYs 2017 and subsequent accident years.
</t>
  </si>
  <si>
    <t xml:space="preserve"> - Reported pure premium for AY2014 increased significantly at 72 months, then decreased again at 84 months.</t>
  </si>
  <si>
    <t xml:space="preserve"> - Reported pure premium development is increasing over time (i.e., development factors increase down each column).
</t>
  </si>
  <si>
    <r>
      <t>(</t>
    </r>
    <r>
      <rPr>
        <i/>
        <sz val="12"/>
        <color rgb="FF002060"/>
        <rFont val="Times New Roman"/>
        <family val="1"/>
      </rPr>
      <t>1 point</t>
    </r>
    <r>
      <rPr>
        <sz val="12"/>
        <color rgb="FF002060"/>
        <rFont val="Times New Roman"/>
        <family val="1"/>
      </rPr>
      <t>)  Describe a business, operational, or environmental change that could cause each of the anomalies identified in part (d).</t>
    </r>
  </si>
  <si>
    <t>Commentary on Question:</t>
  </si>
  <si>
    <t>Only one change is needed for each anomaly identified in part (d).</t>
  </si>
  <si>
    <r>
      <t>·</t>
    </r>
    <r>
      <rPr>
        <sz val="7"/>
        <color theme="1"/>
        <rFont val="Times New Roman"/>
        <family val="1"/>
      </rPr>
      <t xml:space="preserve">       </t>
    </r>
    <r>
      <rPr>
        <sz val="12"/>
        <color theme="1"/>
        <rFont val="Times New Roman"/>
        <family val="1"/>
      </rPr>
      <t>Reported pure premiums decreased in AYs 2015-2016, then increased again in AYs 2017 and subsequent accident years:</t>
    </r>
  </si>
  <si>
    <r>
      <t>o</t>
    </r>
    <r>
      <rPr>
        <sz val="7"/>
        <color theme="1"/>
        <rFont val="Times New Roman"/>
        <family val="1"/>
      </rPr>
      <t xml:space="preserve">   </t>
    </r>
    <r>
      <rPr>
        <sz val="12"/>
        <color theme="1"/>
        <rFont val="Times New Roman"/>
        <family val="1"/>
      </rPr>
      <t>Changes in policy terms (e.g., limits, deductibles) could cause PP to change over time.</t>
    </r>
  </si>
  <si>
    <r>
      <t>o</t>
    </r>
    <r>
      <rPr>
        <sz val="7"/>
        <color theme="1"/>
        <rFont val="Times New Roman"/>
        <family val="1"/>
      </rPr>
      <t xml:space="preserve">   </t>
    </r>
    <r>
      <rPr>
        <sz val="12"/>
        <color theme="1"/>
        <rFont val="Times New Roman"/>
        <family val="1"/>
      </rPr>
      <t>Changes in the type of insureds (exposures) could cause PP to change over time.</t>
    </r>
  </si>
  <si>
    <r>
      <t>·</t>
    </r>
    <r>
      <rPr>
        <sz val="7"/>
        <color theme="1"/>
        <rFont val="Times New Roman"/>
        <family val="1"/>
      </rPr>
      <t xml:space="preserve">       </t>
    </r>
    <r>
      <rPr>
        <sz val="12"/>
        <color theme="1"/>
        <rFont val="Times New Roman"/>
        <family val="1"/>
      </rPr>
      <t>Reported pure premium for AY2014 increased significantly at 72 months, then decreased again at 84 months:</t>
    </r>
  </si>
  <si>
    <r>
      <t>o</t>
    </r>
    <r>
      <rPr>
        <sz val="7"/>
        <color theme="1"/>
        <rFont val="Times New Roman"/>
        <family val="1"/>
      </rPr>
      <t xml:space="preserve">   </t>
    </r>
    <r>
      <rPr>
        <sz val="12"/>
        <color theme="1"/>
        <rFont val="Times New Roman"/>
        <family val="1"/>
      </rPr>
      <t>The reporting of a large claim (or case estimate) which then decreased/normalized could cause an increase, then decrease in reported pure premiums.</t>
    </r>
  </si>
  <si>
    <r>
      <t>o</t>
    </r>
    <r>
      <rPr>
        <sz val="7"/>
        <color theme="1"/>
        <rFont val="Times New Roman"/>
        <family val="1"/>
      </rPr>
      <t xml:space="preserve">   </t>
    </r>
    <r>
      <rPr>
        <sz val="12"/>
        <color theme="1"/>
        <rFont val="Times New Roman"/>
        <family val="1"/>
      </rPr>
      <t>The reporting of a large claim, which was subsequently covered by reinsurance (or subrogation) could cause an increase, then decrease in reported pure premiums.</t>
    </r>
  </si>
  <si>
    <r>
      <t>·</t>
    </r>
    <r>
      <rPr>
        <sz val="7"/>
        <color theme="1"/>
        <rFont val="Times New Roman"/>
        <family val="1"/>
      </rPr>
      <t xml:space="preserve">       </t>
    </r>
    <r>
      <rPr>
        <sz val="12"/>
        <color theme="1"/>
        <rFont val="Times New Roman"/>
        <family val="1"/>
      </rPr>
      <t>Reported pure premium development is increasing over time (i.e., development factors increase down each column).</t>
    </r>
  </si>
  <si>
    <r>
      <t>o</t>
    </r>
    <r>
      <rPr>
        <sz val="7"/>
        <color theme="1"/>
        <rFont val="Times New Roman"/>
        <family val="1"/>
      </rPr>
      <t xml:space="preserve">   </t>
    </r>
    <r>
      <rPr>
        <sz val="12"/>
        <color theme="1"/>
        <rFont val="Times New Roman"/>
        <family val="1"/>
      </rPr>
      <t>Change in policy terms (e.g., limits, deductibles) could cause development to change over time.</t>
    </r>
  </si>
  <si>
    <r>
      <t>o</t>
    </r>
    <r>
      <rPr>
        <sz val="7"/>
        <color theme="1"/>
        <rFont val="Times New Roman"/>
        <family val="1"/>
      </rPr>
      <t xml:space="preserve">   </t>
    </r>
    <r>
      <rPr>
        <sz val="12"/>
        <color theme="1"/>
        <rFont val="Times New Roman"/>
        <family val="1"/>
      </rPr>
      <t>Change in the type of insureds (exposures) could cause development to change over time.</t>
    </r>
  </si>
  <si>
    <r>
      <t>o</t>
    </r>
    <r>
      <rPr>
        <sz val="7"/>
        <color theme="1"/>
        <rFont val="Times New Roman"/>
        <family val="1"/>
      </rPr>
      <t xml:space="preserve">   </t>
    </r>
    <r>
      <rPr>
        <sz val="12"/>
        <color theme="1"/>
        <rFont val="Times New Roman"/>
        <family val="1"/>
      </rPr>
      <t>Change in case reserve adequacy (or claim settlement patterns) could cause development to change over time.</t>
    </r>
  </si>
  <si>
    <t>You are projecting ultimate claims as of December 31, 2020 using the paid development method and are given the following data:</t>
  </si>
  <si>
    <t>12-24</t>
  </si>
  <si>
    <t>24-36</t>
  </si>
  <si>
    <t>36-48</t>
  </si>
  <si>
    <t>48-60</t>
  </si>
  <si>
    <t>60-72</t>
  </si>
  <si>
    <t>72-84</t>
  </si>
  <si>
    <t>84-96</t>
  </si>
  <si>
    <t>Accident year 2017 includes a large claim of</t>
  </si>
  <si>
    <t xml:space="preserve"> paid and closed on March 15, 2019.</t>
  </si>
  <si>
    <t>The claim was unusual, and a similar claim is not likely to occur.</t>
  </si>
  <si>
    <r>
      <t>(</t>
    </r>
    <r>
      <rPr>
        <i/>
        <sz val="12"/>
        <color rgb="FF002060"/>
        <rFont val="Times New Roman"/>
        <family val="1"/>
      </rPr>
      <t>1 point</t>
    </r>
    <r>
      <rPr>
        <sz val="12"/>
        <color rgb="FF002060"/>
        <rFont val="Times New Roman"/>
        <family val="1"/>
      </rPr>
      <t>)  Select age-to-age development factors for all periods excluding the tail factor.  Justify your selections.</t>
    </r>
  </si>
  <si>
    <t>Adjusted Age-to-Age Development Factors Excluding the Large Claim</t>
  </si>
  <si>
    <t>All Years Average</t>
  </si>
  <si>
    <t>Ave excl hi/lo</t>
  </si>
  <si>
    <t>Volume Wtd Average</t>
  </si>
  <si>
    <t>5 Year Average</t>
  </si>
  <si>
    <t>3  Year Average</t>
  </si>
  <si>
    <t>Justification for selection: Selected 3 years average to recognize decreasing trend down the columns.</t>
  </si>
  <si>
    <t>Projected Ultimate Claims from Reported Development Method (000)</t>
  </si>
  <si>
    <r>
      <t>(</t>
    </r>
    <r>
      <rPr>
        <i/>
        <sz val="12"/>
        <color rgb="FF002060"/>
        <rFont val="Times New Roman"/>
        <family val="1"/>
      </rPr>
      <t>1.5 points</t>
    </r>
    <r>
      <rPr>
        <sz val="12"/>
        <color rgb="FF002060"/>
        <rFont val="Times New Roman"/>
        <family val="1"/>
      </rPr>
      <t>)  Derive a paid tail factor using Boor’s algebraic method.</t>
    </r>
  </si>
  <si>
    <t>Selected Paid DFs</t>
  </si>
  <si>
    <t>Estimated Claims</t>
  </si>
  <si>
    <t>Actual Paid</t>
  </si>
  <si>
    <t>Age</t>
  </si>
  <si>
    <t>Ultimate Claims from Reported Development Method</t>
  </si>
  <si>
    <t>Implied Tail Factor</t>
  </si>
  <si>
    <t>Subsequently, the Chief Actuary provides you with an alternative tail factor of 1.072 based on industry benchmark data.</t>
  </si>
  <si>
    <r>
      <t>(</t>
    </r>
    <r>
      <rPr>
        <i/>
        <sz val="12"/>
        <color rgb="FF002060"/>
        <rFont val="Times New Roman"/>
        <family val="1"/>
      </rPr>
      <t>1 point</t>
    </r>
    <r>
      <rPr>
        <sz val="12"/>
        <color rgb="FF002060"/>
        <rFont val="Times New Roman"/>
        <family val="1"/>
      </rPr>
      <t>)  Calculate ultimate claims using the paid development method and the tail factor of 1.072.</t>
    </r>
  </si>
  <si>
    <t>Paid Claims Excluding Large Claim</t>
  </si>
  <si>
    <t>Age-to-Ultimate Development Factors</t>
  </si>
  <si>
    <t>You are given the following additional information for estimating ULAE:</t>
  </si>
  <si>
    <t xml:space="preserve">·       Selected ultimate claims for each accident year are based on the results from the reported development method shown above </t>
  </si>
  <si>
    <t xml:space="preserve">(and not the paid development method). </t>
  </si>
  <si>
    <t>·       Actual reported claims as of December 31, 2020 are:</t>
  </si>
  <si>
    <t>·       The selected ratio of calendar year paid unallocated loss adjustment expenses (ULAE) to paid claims is:</t>
  </si>
  <si>
    <r>
      <t>(</t>
    </r>
    <r>
      <rPr>
        <i/>
        <sz val="12"/>
        <color rgb="FF002060"/>
        <rFont val="Times New Roman"/>
        <family val="1"/>
      </rPr>
      <t>1 point</t>
    </r>
    <r>
      <rPr>
        <sz val="12"/>
        <color rgb="FF002060"/>
        <rFont val="Times New Roman"/>
        <family val="1"/>
      </rPr>
      <t>)  Calculate the unpaid ULAE as of December 31, 2020 using the classical paid-to-paid method and a multiplier of 50%.</t>
    </r>
  </si>
  <si>
    <t>Case o/s:</t>
  </si>
  <si>
    <t>IBNR:</t>
  </si>
  <si>
    <t>Unpaid ULAE =</t>
  </si>
  <si>
    <t>(ULAE ratio x IBNR) + (ULAE ratio x multiplier x case estimates)</t>
  </si>
  <si>
    <r>
      <t>(</t>
    </r>
    <r>
      <rPr>
        <i/>
        <sz val="12"/>
        <color rgb="FF002060"/>
        <rFont val="Times New Roman"/>
        <family val="1"/>
      </rPr>
      <t>1 point</t>
    </r>
    <r>
      <rPr>
        <sz val="12"/>
        <color rgb="FF002060"/>
        <rFont val="Times New Roman"/>
        <family val="1"/>
      </rPr>
      <t>)  Describe the Kittel refinement to the classical paid-to-paid method and the weakness it is designed to address.</t>
    </r>
  </si>
  <si>
    <t>Kittel method derives ULAE ratio by comparing paid ULAE to average of paid and reported claims (rather than paid to paid ratio used in Classical method).</t>
  </si>
  <si>
    <t>Kittel's change addresses some of the distortion that can arise with increasing (changing) exposures because reported claims react quicker to exposure changes.</t>
  </si>
  <si>
    <r>
      <t>(</t>
    </r>
    <r>
      <rPr>
        <i/>
        <sz val="12"/>
        <color rgb="FF002060"/>
        <rFont val="Times New Roman"/>
        <family val="1"/>
      </rPr>
      <t>0.5 points</t>
    </r>
    <r>
      <rPr>
        <sz val="12"/>
        <color rgb="FF002060"/>
        <rFont val="Times New Roman"/>
        <family val="1"/>
      </rPr>
      <t>)  Describe the Mango and Allen smoothing adjustment.</t>
    </r>
  </si>
  <si>
    <t>The Mango and Allen Smoothing Adjustment uses expected claim in place of actual claims.</t>
  </si>
  <si>
    <t>You are conducting a ratemaking analysis and are given the following information:</t>
  </si>
  <si>
    <t>Direct Written Premium</t>
  </si>
  <si>
    <t>Total Commission Expenses and Premium Taxes</t>
  </si>
  <si>
    <t>General Expenses</t>
  </si>
  <si>
    <t>·      </t>
  </si>
  <si>
    <t xml:space="preserve"> of general expenses are fixed expenses.</t>
  </si>
  <si>
    <t>·       Unallocated loss adjustment expenses have been</t>
  </si>
  <si>
    <t xml:space="preserve"> of claims for each of the past three years and are expected to increase to </t>
  </si>
  <si>
    <t xml:space="preserve"> for the next five years due to a system update that will cost </t>
  </si>
  <si>
    <t xml:space="preserve"> to implement.</t>
  </si>
  <si>
    <t>·       The earned exposures in the future rating period are projected to be:</t>
  </si>
  <si>
    <r>
      <t>(</t>
    </r>
    <r>
      <rPr>
        <i/>
        <sz val="12"/>
        <color rgb="FF002060"/>
        <rFont val="Times New Roman"/>
        <family val="1"/>
      </rPr>
      <t>1.5 points</t>
    </r>
    <r>
      <rPr>
        <sz val="12"/>
        <color rgb="FF002060"/>
        <rFont val="Times New Roman"/>
        <family val="1"/>
      </rPr>
      <t>)  Calculate the total variable expense ratio for each calendar year.</t>
    </r>
  </si>
  <si>
    <t>Commission and Premium Tax Expense Ratio</t>
  </si>
  <si>
    <t>Variable</t>
  </si>
  <si>
    <t>As a % of Premiums</t>
  </si>
  <si>
    <t>Total Variable Expense Ratio</t>
  </si>
  <si>
    <r>
      <t>(</t>
    </r>
    <r>
      <rPr>
        <i/>
        <sz val="12"/>
        <color rgb="FF002060"/>
        <rFont val="Times New Roman"/>
        <family val="1"/>
      </rPr>
      <t>1 point</t>
    </r>
    <r>
      <rPr>
        <sz val="12"/>
        <color rgb="FF002060"/>
        <rFont val="Times New Roman"/>
        <family val="1"/>
      </rPr>
      <t>)  Recommend the total variable expense ratio to use in ratemaking.  Justify your recommendation.</t>
    </r>
  </si>
  <si>
    <t>Variable General Expense Ratio</t>
  </si>
  <si>
    <t>Recommend:</t>
  </si>
  <si>
    <t xml:space="preserve">Variable general expense ratio is decreasing, so recommend the latest year to reflect the decrease
</t>
  </si>
  <si>
    <t>Commission and premium tax expense ratio is steady so recommend the average of all 3 years</t>
  </si>
  <si>
    <r>
      <t>(</t>
    </r>
    <r>
      <rPr>
        <i/>
        <sz val="12"/>
        <color rgb="FF002060"/>
        <rFont val="Times New Roman"/>
        <family val="1"/>
      </rPr>
      <t>1.5 points</t>
    </r>
    <r>
      <rPr>
        <sz val="12"/>
        <color rgb="FF002060"/>
        <rFont val="Times New Roman"/>
        <family val="1"/>
      </rPr>
      <t>)  Recommend the fixed expense per exposure to use in ratemaking.  Justify your recommendation.</t>
    </r>
  </si>
  <si>
    <t>Fixed General Expense (000)</t>
  </si>
  <si>
    <t>Fixed General Expense Per Exposure</t>
  </si>
  <si>
    <t xml:space="preserve">Provision for new system = </t>
  </si>
  <si>
    <t xml:space="preserve"> (amortize over 5 years)</t>
  </si>
  <si>
    <t>Total:</t>
  </si>
  <si>
    <t>F2021 Question 1</t>
  </si>
  <si>
    <t>F2021 Question 2</t>
  </si>
  <si>
    <t>F2021 Question 4</t>
  </si>
  <si>
    <t>F2021 Question 5</t>
  </si>
  <si>
    <t>F2021 Question 11</t>
  </si>
  <si>
    <t>F2021 Question 15</t>
  </si>
  <si>
    <t>F2021 Question 16</t>
  </si>
  <si>
    <t>F2021 Question 18</t>
  </si>
  <si>
    <t>F2021 Question 20</t>
  </si>
  <si>
    <t>You are given the following information for a single line of business:</t>
  </si>
  <si>
    <t>Unearned Premiums at End of Year</t>
  </si>
  <si>
    <r>
      <t>(</t>
    </r>
    <r>
      <rPr>
        <i/>
        <sz val="12"/>
        <color rgb="FF002060"/>
        <rFont val="Times New Roman"/>
        <family val="1"/>
      </rPr>
      <t>0.5 points</t>
    </r>
    <r>
      <rPr>
        <sz val="12"/>
        <color rgb="FF002060"/>
        <rFont val="Times New Roman"/>
        <family val="1"/>
      </rPr>
      <t>)  Calculate the calendar year 2018 written premiums.</t>
    </r>
  </si>
  <si>
    <t>Written Premium</t>
  </si>
  <si>
    <t>You are given the following historical rate changes for this line of business:</t>
  </si>
  <si>
    <t>Effective Date of Rate Change</t>
  </si>
  <si>
    <t>Overall Rate Change %</t>
  </si>
  <si>
    <t xml:space="preserve">• There have been no additional rate changes after February 1, 2020.
</t>
  </si>
  <si>
    <t>• All policies are written for 12-month terms.</t>
  </si>
  <si>
    <t xml:space="preserve">• Premiums are written evenly throughout the year.
</t>
  </si>
  <si>
    <t>• Premiums are earned evenly throughout the policy term.</t>
  </si>
  <si>
    <r>
      <t>(</t>
    </r>
    <r>
      <rPr>
        <i/>
        <sz val="12"/>
        <color rgb="FF002060"/>
        <rFont val="Times New Roman"/>
        <family val="1"/>
      </rPr>
      <t>2 points</t>
    </r>
    <r>
      <rPr>
        <sz val="12"/>
        <color rgb="FF002060"/>
        <rFont val="Times New Roman"/>
        <family val="1"/>
      </rPr>
      <t xml:space="preserve">)  Calculate the 2017, 2018, and 2019 on-level earned premiums, applicable for ratemaking, </t>
    </r>
    <r>
      <rPr>
        <sz val="12"/>
        <color rgb="FF002060"/>
        <rFont val="TimesNewRomanPSMT"/>
      </rPr>
      <t>using the parallelogram method</t>
    </r>
    <r>
      <rPr>
        <sz val="12"/>
        <color rgb="FF002060"/>
        <rFont val="Times New Roman"/>
        <family val="1"/>
      </rPr>
      <t>.</t>
    </r>
  </si>
  <si>
    <t>On-Level Factors:</t>
  </si>
  <si>
    <t>On-Level Factor</t>
  </si>
  <si>
    <t>Following an audit of the data for this line of business, it was discovered that the following two policies were not included in the earned premiums given above:</t>
  </si>
  <si>
    <r>
      <rPr>
        <sz val="12"/>
        <color rgb="FF002060"/>
        <rFont val="Times New Roman"/>
        <family val="1"/>
      </rPr>
      <t>•</t>
    </r>
    <r>
      <rPr>
        <sz val="14.4"/>
        <color rgb="FF002060"/>
        <rFont val="Times New Roman"/>
        <family val="1"/>
      </rPr>
      <t xml:space="preserve"> </t>
    </r>
    <r>
      <rPr>
        <sz val="12"/>
        <color rgb="FF002060"/>
        <rFont val="Times New Roman"/>
        <family val="1"/>
      </rPr>
      <t xml:space="preserve">Policy 1 was written on </t>
    </r>
  </si>
  <si>
    <t xml:space="preserve">for an annual premium of </t>
  </si>
  <si>
    <t xml:space="preserve">• Policy 2 was written on </t>
  </si>
  <si>
    <t xml:space="preserve">	• Policies 1 and 2 were subject to the overall rate changes from the table above with no additional rating factors.
</t>
  </si>
  <si>
    <r>
      <t>(</t>
    </r>
    <r>
      <rPr>
        <i/>
        <sz val="12"/>
        <color rgb="FF002060"/>
        <rFont val="Times New Roman"/>
        <family val="1"/>
      </rPr>
      <t>1.5 points</t>
    </r>
    <r>
      <rPr>
        <sz val="12"/>
        <color rgb="FF002060"/>
        <rFont val="Times New Roman"/>
        <family val="1"/>
      </rPr>
      <t>)  Calculate the 2018 earned premium adjusted to current rate levels for ratemaking purposes for these two policies using the extension of exposures approach.</t>
    </r>
  </si>
  <si>
    <t>Future Rate Changes</t>
  </si>
  <si>
    <t>Policy</t>
  </si>
  <si>
    <t>Months earned in 2018</t>
  </si>
  <si>
    <t>% Earned in 2018</t>
  </si>
  <si>
    <t>2018 Earned Premium</t>
  </si>
  <si>
    <t>2018 On-Level Earned Premium</t>
  </si>
  <si>
    <t>n/a</t>
  </si>
  <si>
    <r>
      <t>(</t>
    </r>
    <r>
      <rPr>
        <i/>
        <sz val="12"/>
        <color rgb="FF002060"/>
        <rFont val="Times New Roman"/>
        <family val="1"/>
      </rPr>
      <t>1.5 points</t>
    </r>
    <r>
      <rPr>
        <sz val="12"/>
        <color rgb="FF002060"/>
        <rFont val="Times New Roman"/>
        <family val="1"/>
      </rPr>
      <t xml:space="preserve">)  Explain why the answer in part (c) results in a different answer from multiplying the 2018 earned premiums for these two policies by the 2018 </t>
    </r>
    <r>
      <rPr>
        <sz val="12"/>
        <color rgb="FF002060"/>
        <rFont val="TimesNewRomanPSMT"/>
      </rPr>
      <t>on-level factor calculated in part (b).</t>
    </r>
  </si>
  <si>
    <t>The parallelogram approach is an approximation method that assumes polices are written evenly throughout the year.</t>
  </si>
  <si>
    <t>These 2 polices do not represent policies that are written evenly (i.e., they are individual policies and not representative of the average).</t>
  </si>
  <si>
    <t>The extension of exposures approach is more accurate for individual policies.</t>
  </si>
  <si>
    <t>Your co-worker recommends combining the on-level earned premiums from part (b) and part (c) for the total on-level earned premiums to use for ratemaking.</t>
  </si>
  <si>
    <r>
      <t>(</t>
    </r>
    <r>
      <rPr>
        <i/>
        <sz val="12"/>
        <color rgb="FF002060"/>
        <rFont val="Times New Roman"/>
        <family val="1"/>
      </rPr>
      <t>0.5 points</t>
    </r>
    <r>
      <rPr>
        <sz val="12"/>
        <color rgb="FF002060"/>
        <rFont val="Times New Roman"/>
        <family val="1"/>
      </rPr>
      <t>)  Critique this recommendation</t>
    </r>
    <r>
      <rPr>
        <sz val="12"/>
        <color rgb="FF002060"/>
        <rFont val="TimesNewRomanPSMT"/>
      </rPr>
      <t>.</t>
    </r>
  </si>
  <si>
    <t>Recommend consistency, so adding the earned premiums from the 2 policies to the total earned premiums and then multiplying by the factor is recommended.</t>
  </si>
  <si>
    <t xml:space="preserve">You are given the following claim information evaluated as of December 31, 2021. </t>
  </si>
  <si>
    <t>You are also informed that the following six claim transactions were not captured in the triangles due to a system error.</t>
  </si>
  <si>
    <t>Trans</t>
  </si>
  <si>
    <t xml:space="preserve">Transaction </t>
  </si>
  <si>
    <t>Occurrence Date</t>
  </si>
  <si>
    <t>Case Estimate (000)</t>
  </si>
  <si>
    <t>Indemnity Payment (000)</t>
  </si>
  <si>
    <t>ALAE Payment (000)</t>
  </si>
  <si>
    <t>#</t>
  </si>
  <si>
    <t>Description</t>
  </si>
  <si>
    <t>Open &amp; close new claim file</t>
  </si>
  <si>
    <t>Close reported claim file</t>
  </si>
  <si>
    <t>Change in case estimate</t>
  </si>
  <si>
    <r>
      <t>(</t>
    </r>
    <r>
      <rPr>
        <i/>
        <sz val="12"/>
        <color rgb="FF002060"/>
        <rFont val="Times New Roman"/>
        <family val="1"/>
      </rPr>
      <t>4 points</t>
    </r>
    <r>
      <rPr>
        <sz val="12"/>
        <color rgb="FF002060"/>
        <rFont val="Times New Roman"/>
        <family val="1"/>
      </rPr>
      <t>)  Update both development triangles shown above to include the claim transactions not captured due to the system error.</t>
    </r>
  </si>
  <si>
    <t>Incremental Reported Claims - Missing (000)</t>
  </si>
  <si>
    <t>Incremental Reported Counts - Missing</t>
  </si>
  <si>
    <t>Cumulative Reported Claims - Missing (000)</t>
  </si>
  <si>
    <t>Cumulative Reported Counts - Missing</t>
  </si>
  <si>
    <r>
      <t>(</t>
    </r>
    <r>
      <rPr>
        <i/>
        <sz val="12"/>
        <color rgb="FF002060"/>
        <rFont val="Times New Roman"/>
        <family val="1"/>
      </rPr>
      <t>0.5 points</t>
    </r>
    <r>
      <rPr>
        <sz val="12"/>
        <color rgb="FF002060"/>
        <rFont val="Times New Roman"/>
        <family val="1"/>
      </rPr>
      <t>)  Determine calendar year 2021 reported claims.</t>
    </r>
  </si>
  <si>
    <t xml:space="preserve">CY2021 reported claims (000) = </t>
  </si>
  <si>
    <t xml:space="preserve">Accident year 2021 paid claims and ALAE evaluated as of December 31, 2021, were </t>
  </si>
  <si>
    <r>
      <t>(</t>
    </r>
    <r>
      <rPr>
        <i/>
        <sz val="12"/>
        <color rgb="FF002060"/>
        <rFont val="Times New Roman"/>
        <family val="1"/>
      </rPr>
      <t>0.5 points</t>
    </r>
    <r>
      <rPr>
        <sz val="12"/>
        <color rgb="FF002060"/>
        <rFont val="Times New Roman"/>
        <family val="1"/>
      </rPr>
      <t>)  Determine case reserves as of December 31, 2021, for accident year 2021 only.</t>
    </r>
  </si>
  <si>
    <t xml:space="preserve">AY 2021 case reserves (000) = </t>
  </si>
  <si>
    <t>You are subsequently given a variety of corrected claim and count triangles and have been asked to conduct investigative tests.</t>
  </si>
  <si>
    <r>
      <t>(</t>
    </r>
    <r>
      <rPr>
        <i/>
        <sz val="12"/>
        <color rgb="FF002060"/>
        <rFont val="Times New Roman"/>
        <family val="1"/>
      </rPr>
      <t>1 point</t>
    </r>
    <r>
      <rPr>
        <sz val="12"/>
        <color rgb="FF002060"/>
        <rFont val="Times New Roman"/>
        <family val="1"/>
      </rPr>
      <t>)  Describe the investigative tests you would recommend using for the following independent situations:</t>
    </r>
  </si>
  <si>
    <t>The claim department implemented a new definition of claims to distinguish between reported incidents that are valid claims and incidents not covered under the insurance policy.</t>
  </si>
  <si>
    <t>The claim department implemented a new initiative to increase their use of partial settlements.</t>
  </si>
  <si>
    <t>Ratios of closed no pay counts to closed counts</t>
  </si>
  <si>
    <t>Any of the following is acceptable:</t>
  </si>
  <si>
    <t xml:space="preserve">  - Ratios of paid claims to reported claims</t>
  </si>
  <si>
    <t xml:space="preserve">  - Average paid claims (paid claims divided by closed counts)</t>
  </si>
  <si>
    <t xml:space="preserve">  - Average paid claims on closed with payment counts (paid claims divided by counts closed with payment)</t>
  </si>
  <si>
    <t xml:space="preserve">During investigative testing, you observe an increase in average reported claims, with changes greater than the rate of trend going down each column (from accident year to accident year).  However, the reported counts are stable. </t>
  </si>
  <si>
    <r>
      <t>(</t>
    </r>
    <r>
      <rPr>
        <i/>
        <sz val="12"/>
        <color rgb="FF002060"/>
        <rFont val="Times New Roman"/>
        <family val="1"/>
      </rPr>
      <t>1 point</t>
    </r>
    <r>
      <rPr>
        <sz val="12"/>
        <color rgb="FF002060"/>
        <rFont val="Times New Roman"/>
        <family val="1"/>
      </rPr>
      <t>)  Provide two examples of company operational changes that could cause an increase in average reported claims without affecting reported counts.</t>
    </r>
  </si>
  <si>
    <r>
      <t>·</t>
    </r>
    <r>
      <rPr>
        <sz val="7"/>
        <color theme="1"/>
        <rFont val="Times New Roman"/>
        <family val="1"/>
      </rPr>
      <t xml:space="preserve">       </t>
    </r>
    <r>
      <rPr>
        <sz val="12"/>
        <color theme="1"/>
        <rFont val="Times New Roman"/>
        <family val="1"/>
      </rPr>
      <t>Case reserve strengthening</t>
    </r>
  </si>
  <si>
    <r>
      <t>·</t>
    </r>
    <r>
      <rPr>
        <sz val="7"/>
        <color theme="1"/>
        <rFont val="Times New Roman"/>
        <family val="1"/>
      </rPr>
      <t xml:space="preserve">       </t>
    </r>
    <r>
      <rPr>
        <sz val="12"/>
        <color theme="1"/>
        <rFont val="Times New Roman"/>
        <family val="1"/>
      </rPr>
      <t>Increase in policy limits</t>
    </r>
  </si>
  <si>
    <r>
      <t>·</t>
    </r>
    <r>
      <rPr>
        <sz val="7"/>
        <color theme="1"/>
        <rFont val="Times New Roman"/>
        <family val="1"/>
      </rPr>
      <t xml:space="preserve">       </t>
    </r>
    <r>
      <rPr>
        <sz val="12"/>
        <color theme="1"/>
        <rFont val="Times New Roman"/>
        <family val="1"/>
      </rPr>
      <t>Expanded coverage</t>
    </r>
  </si>
  <si>
    <r>
      <t>·</t>
    </r>
    <r>
      <rPr>
        <sz val="7"/>
        <color theme="1"/>
        <rFont val="Times New Roman"/>
        <family val="1"/>
      </rPr>
      <t xml:space="preserve">       </t>
    </r>
    <r>
      <rPr>
        <sz val="12"/>
        <color theme="1"/>
        <rFont val="Times New Roman"/>
        <family val="1"/>
      </rPr>
      <t>Increase in defense costs, e.g., increased use of outside counsel</t>
    </r>
  </si>
  <si>
    <t>• The claims department has noted that starting in 2021, they increased case estimates and increased the rate of claims settlement.</t>
  </si>
  <si>
    <t>• The annual claim severity trend is</t>
  </si>
  <si>
    <t>There are several diagnostic tests that can be used to confirm that the case estimates have increased.</t>
  </si>
  <si>
    <r>
      <t>(</t>
    </r>
    <r>
      <rPr>
        <i/>
        <sz val="12"/>
        <color rgb="FF002060"/>
        <rFont val="Times New Roman"/>
        <family val="1"/>
      </rPr>
      <t>1.5 points</t>
    </r>
    <r>
      <rPr>
        <sz val="12"/>
        <color rgb="FF002060"/>
        <rFont val="Times New Roman"/>
        <family val="1"/>
      </rPr>
      <t>)  Verify that the case estimates have increased for this line of business using one diagnostic test.</t>
    </r>
  </si>
  <si>
    <t>Change in average case is preferred as the ratios of paid to reported claims could be either due to a change in average case or a change in claim settlement patterns.</t>
  </si>
  <si>
    <t>Average Case Estimates</t>
  </si>
  <si>
    <t>Change in Average Case Estimates</t>
  </si>
  <si>
    <t>There is a significant increase along the most recent diagonal which is evidence of an increase in case estimates.</t>
  </si>
  <si>
    <r>
      <t>(</t>
    </r>
    <r>
      <rPr>
        <i/>
        <sz val="12"/>
        <color rgb="FF002060"/>
        <rFont val="Times New Roman"/>
        <family val="1"/>
      </rPr>
      <t>1 point</t>
    </r>
    <r>
      <rPr>
        <sz val="12"/>
        <color rgb="FF002060"/>
        <rFont val="Times New Roman"/>
        <family val="1"/>
      </rPr>
      <t>)  Describe a different diagnostic test from the test performed in part (a) that may indicate that case estimates have increased for this line of business.</t>
    </r>
  </si>
  <si>
    <t>The ratios of paid claims to reported claims could also indicate a possible change in case estimates.</t>
  </si>
  <si>
    <t>Calculate the triangle of paid claims to reported claims.</t>
  </si>
  <si>
    <t>In a stable environment, the values in each column should be consistent.</t>
  </si>
  <si>
    <t>A decrease in the ratios along the most recent diagonal could suggest a possible change in case estimates, however, a change in claim settlement pattern could also affect these ratios.</t>
  </si>
  <si>
    <t>The disposal rates can be evaluated to determine if the rate of claims settlement has increased.</t>
  </si>
  <si>
    <r>
      <t>(</t>
    </r>
    <r>
      <rPr>
        <i/>
        <sz val="12"/>
        <color rgb="FF002060"/>
        <rFont val="Times New Roman"/>
        <family val="1"/>
      </rPr>
      <t>1.5 points</t>
    </r>
    <r>
      <rPr>
        <sz val="12"/>
        <color rgb="FF002060"/>
        <rFont val="Times New Roman"/>
        <family val="1"/>
      </rPr>
      <t>)  Evaluate the disposal rates for this line of business to confirm that the rate of claims settlement has increased.</t>
    </r>
  </si>
  <si>
    <t>Disposal rates = ratios of closed counts to ultimate counts.</t>
  </si>
  <si>
    <t>Disposal ratios</t>
  </si>
  <si>
    <t>The increase in the latest diagonal is evidence of the increase in claim settlement.</t>
  </si>
  <si>
    <r>
      <t>(</t>
    </r>
    <r>
      <rPr>
        <i/>
        <sz val="12"/>
        <color rgb="FF002060"/>
        <rFont val="Times New Roman"/>
        <family val="1"/>
      </rPr>
      <t>0.5 points</t>
    </r>
    <r>
      <rPr>
        <sz val="12"/>
        <color rgb="FF002060"/>
        <rFont val="Times New Roman"/>
        <family val="1"/>
      </rPr>
      <t>)  Recommend disposal rates for each maturity age.  Justify your recommendation.</t>
    </r>
  </si>
  <si>
    <t>Recommended disposal ratios: use the latest diagonal because that's where the rates increased.</t>
  </si>
  <si>
    <r>
      <t>(</t>
    </r>
    <r>
      <rPr>
        <i/>
        <sz val="12"/>
        <color rgb="FF002060"/>
        <rFont val="Times New Roman"/>
        <family val="1"/>
      </rPr>
      <t>2.5 points</t>
    </r>
    <r>
      <rPr>
        <sz val="12"/>
        <color rgb="FF002060"/>
        <rFont val="Times New Roman"/>
        <family val="1"/>
      </rPr>
      <t>)  Calculate the adjusted case estimate triangle for this line of business, adjusting for changes in both case estimates and settlement rates.  Justify any selections you make.</t>
    </r>
  </si>
  <si>
    <t>Adjusted Average Case Estimates</t>
  </si>
  <si>
    <t>Adjusted Closed Counts</t>
  </si>
  <si>
    <t>Adjusted Open Counts = Reported Counts - Adjusted Closed Counts</t>
  </si>
  <si>
    <t>Adjusted  Case Estimates</t>
  </si>
  <si>
    <t>You are given the following information for estimating unpaid ULAE as of December 31, 2021.</t>
  </si>
  <si>
    <t>Calendar</t>
  </si>
  <si>
    <t>Exposures</t>
  </si>
  <si>
    <t>ULAE</t>
  </si>
  <si>
    <t xml:space="preserve"> As of Dec. 31, 2021 </t>
  </si>
  <si>
    <t>Case Reserves</t>
  </si>
  <si>
    <t>IBNER Reserves</t>
  </si>
  <si>
    <t>IBNYR Reserves</t>
  </si>
  <si>
    <t>• Claims for this coverage are typically low-frequency and high-severity.</t>
  </si>
  <si>
    <t xml:space="preserve">• Calendar year 2019 includes an unusual large claim of </t>
  </si>
  <si>
    <t xml:space="preserve"> which has been settled.</t>
  </si>
  <si>
    <t>of claim department expenses relate to opening a claim file and</t>
  </si>
  <si>
    <t xml:space="preserve"> relate to maintaining and closing a claim file.</t>
  </si>
  <si>
    <r>
      <t>(</t>
    </r>
    <r>
      <rPr>
        <i/>
        <sz val="12"/>
        <color rgb="FF002060"/>
        <rFont val="Times New Roman"/>
        <family val="1"/>
      </rPr>
      <t>1.5 points</t>
    </r>
    <r>
      <rPr>
        <sz val="12"/>
        <color rgb="FF002060"/>
        <rFont val="Times New Roman"/>
        <family val="1"/>
      </rPr>
      <t>)  Estimate unpaid ULAE as of December 31, 2021, using the classical paid-to-paid method with a simple four-year average of historical experience, and a pure IBNR refinement.</t>
    </r>
  </si>
  <si>
    <t>Actual Paid Claims</t>
  </si>
  <si>
    <t>Ratio of Paid ULAE to Paid Claims</t>
  </si>
  <si>
    <t xml:space="preserve">Unpaid ULAE = </t>
  </si>
  <si>
    <r>
      <t>(</t>
    </r>
    <r>
      <rPr>
        <i/>
        <sz val="12"/>
        <color rgb="FF002060"/>
        <rFont val="Times New Roman"/>
        <family val="1"/>
      </rPr>
      <t>1.5 points</t>
    </r>
    <r>
      <rPr>
        <sz val="12"/>
        <color rgb="FF002060"/>
        <rFont val="Times New Roman"/>
        <family val="1"/>
      </rPr>
      <t>)  Estimate unpaid ULAE as of December 31, 2021 using the Kittel refinement with the Mango and Allen smoothing adjustment, a simple four-year average of historical experience, and a pure IBNR refinement.</t>
    </r>
  </si>
  <si>
    <t>Expected Paid Claims</t>
  </si>
  <si>
    <t>Expected Reported Claims</t>
  </si>
  <si>
    <t>ULAE Ratio</t>
  </si>
  <si>
    <r>
      <t>(</t>
    </r>
    <r>
      <rPr>
        <i/>
        <sz val="12"/>
        <color rgb="FF002060"/>
        <rFont val="Times New Roman"/>
        <family val="1"/>
      </rPr>
      <t>1 point</t>
    </r>
    <r>
      <rPr>
        <sz val="12"/>
        <color rgb="FF002060"/>
        <rFont val="Times New Roman"/>
        <family val="1"/>
      </rPr>
      <t xml:space="preserve">)  Critique the appropriateness of each result from (a) and (b). </t>
    </r>
  </si>
  <si>
    <t>Since exposures are growing, the paid-to-paid ratio in part (b) will overstate ULAE, because the paid ULAE in ratio numerator will react to exposure growth faster than paid claims in ratio denominator.</t>
  </si>
  <si>
    <t>The Kittel adjustment helps adjust for exposure growth and the Mango and Allen smoothing adjustment is useful for exposure growth.</t>
  </si>
  <si>
    <t>The Mango and Allen smoothing adjustment is good for volatile lines (or lines with large claims, or lines with low-frequency, high-severity.</t>
  </si>
  <si>
    <t>You are asked to project ultimate claims evaluated as of December 31, 2021, using the Cape Cod method.  You are given the following information:</t>
  </si>
  <si>
    <t>Earned Premiums
(000)</t>
  </si>
  <si>
    <t>Reported Claims as of Dec 31, 2021 (000)</t>
  </si>
  <si>
    <t>Reported     Cumulative Development Factors</t>
  </si>
  <si>
    <t>• All policies are annual, and they are written and earned evenly throughout the year.</t>
  </si>
  <si>
    <t>• The annual claim trend is</t>
  </si>
  <si>
    <t xml:space="preserve">• An unusual large claim of </t>
  </si>
  <si>
    <t xml:space="preserve"> is reported in AY 2019.  A similar sized claim is not expected to happen again.</t>
  </si>
  <si>
    <t>• Rate change history:</t>
  </si>
  <si>
    <t>• A rate change of</t>
  </si>
  <si>
    <t xml:space="preserve"> was effective</t>
  </si>
  <si>
    <r>
      <t>(</t>
    </r>
    <r>
      <rPr>
        <i/>
        <sz val="12"/>
        <color rgb="FF002060"/>
        <rFont val="Times New Roman"/>
        <family val="1"/>
      </rPr>
      <t>2 points</t>
    </r>
    <r>
      <rPr>
        <sz val="12"/>
        <color rgb="FF002060"/>
        <rFont val="Times New Roman"/>
        <family val="1"/>
      </rPr>
      <t>)  Calculate the adjusted expected claim ratio.</t>
    </r>
  </si>
  <si>
    <t>Ave Rate Level</t>
  </si>
  <si>
    <t>Premium On-Level Factor</t>
  </si>
  <si>
    <t>Expected % Developed</t>
  </si>
  <si>
    <t>Reported Claims as of Dec 31, 2021</t>
  </si>
  <si>
    <t>Claims Trend Factor</t>
  </si>
  <si>
    <t>Adjusted Claims at Dec 31, 2021</t>
  </si>
  <si>
    <t>AY2019 Reported Claims excludes the 3,000,000 unusual claim that is not expected again.</t>
  </si>
  <si>
    <t xml:space="preserve">Adjusted Expected Claim Ratio: </t>
  </si>
  <si>
    <r>
      <t>(</t>
    </r>
    <r>
      <rPr>
        <i/>
        <sz val="12"/>
        <color rgb="FF002060"/>
        <rFont val="Times New Roman"/>
        <family val="1"/>
      </rPr>
      <t>1.5 points</t>
    </r>
    <r>
      <rPr>
        <sz val="12"/>
        <color rgb="FF002060"/>
        <rFont val="Times New Roman"/>
        <family val="1"/>
      </rPr>
      <t>)  Calculate projected ultimate claims for all accident years.</t>
    </r>
  </si>
  <si>
    <t xml:space="preserve">Expected Claims </t>
  </si>
  <si>
    <r>
      <t>(</t>
    </r>
    <r>
      <rPr>
        <i/>
        <sz val="12"/>
        <color rgb="FF002060"/>
        <rFont val="Times New Roman"/>
        <family val="1"/>
      </rPr>
      <t>1.5 points</t>
    </r>
    <r>
      <rPr>
        <sz val="12"/>
        <color rgb="FF002060"/>
        <rFont val="Times New Roman"/>
        <family val="1"/>
      </rPr>
      <t>)  Calculate expected claims for accident year 2021 using the Generalized Cape Cod approach and a decay factor of</t>
    </r>
  </si>
  <si>
    <t>of</t>
  </si>
  <si>
    <t>Claim Ratios</t>
  </si>
  <si>
    <t>Decay Factors</t>
  </si>
  <si>
    <t xml:space="preserve">Expected claim ratio for AY2021 = </t>
  </si>
  <si>
    <t xml:space="preserve">Expected claims for AY2021 = </t>
  </si>
  <si>
    <t>You are calculating the 2021 earned premiums to use in ratemaking for an automobile line of business, and are given the following information:</t>
  </si>
  <si>
    <t>Vehicle Rate Group</t>
  </si>
  <si>
    <t>Rating Differentials</t>
  </si>
  <si>
    <t>Calendar Year Earned Exposures by Group</t>
  </si>
  <si>
    <t>Prior to July 1, 2021</t>
  </si>
  <si>
    <t>Effective July 1, 2021</t>
  </si>
  <si>
    <t>• The 2021 calendar year earned premiums at current rate levels are</t>
  </si>
  <si>
    <t>• The new rates will be effective October 1, 2022, for one year.</t>
  </si>
  <si>
    <t>• Two-thirds of the policies are written for annual terms and one-third of the policies are written for six-month terms.</t>
  </si>
  <si>
    <t>• All policies are written and earned evenly throughout the year.</t>
  </si>
  <si>
    <r>
      <t>(</t>
    </r>
    <r>
      <rPr>
        <i/>
        <sz val="12"/>
        <color rgb="FF002060"/>
        <rFont val="Times New Roman"/>
        <family val="1"/>
      </rPr>
      <t>1 point</t>
    </r>
    <r>
      <rPr>
        <sz val="12"/>
        <color rgb="FF002060"/>
        <rFont val="Times New Roman"/>
        <family val="1"/>
      </rPr>
      <t>)  Calculate the percentage increase in premiums that occurred from the rating differentials change on July 1, 2021.</t>
    </r>
  </si>
  <si>
    <t xml:space="preserve">Estimated % premium change from differential change </t>
  </si>
  <si>
    <r>
      <t>(</t>
    </r>
    <r>
      <rPr>
        <i/>
        <sz val="12"/>
        <color rgb="FF002060"/>
        <rFont val="Times New Roman"/>
        <family val="1"/>
      </rPr>
      <t>2 points</t>
    </r>
    <r>
      <rPr>
        <sz val="12"/>
        <color rgb="FF002060"/>
        <rFont val="Times New Roman"/>
        <family val="1"/>
      </rPr>
      <t>)  Recommend the annual premium trend rate to use for ratemaking for this line of business.  Justify your recommendation.</t>
    </r>
  </si>
  <si>
    <t>Weighted average differential</t>
  </si>
  <si>
    <t xml:space="preserve">  (using July 1, 2021 differentials)</t>
  </si>
  <si>
    <t>Year-to-year change</t>
  </si>
  <si>
    <t>Recommended annual trend:</t>
  </si>
  <si>
    <t>Justification: Annual change has stabilized at 0.3% over the last 3 years, so it is reasonable to assume that trend will continue into the future rating period.</t>
  </si>
  <si>
    <r>
      <t>(</t>
    </r>
    <r>
      <rPr>
        <i/>
        <sz val="12"/>
        <color rgb="FF002060"/>
        <rFont val="Times New Roman"/>
        <family val="1"/>
      </rPr>
      <t>2 points</t>
    </r>
    <r>
      <rPr>
        <sz val="12"/>
        <color rgb="FF002060"/>
        <rFont val="Times New Roman"/>
        <family val="1"/>
      </rPr>
      <t>)  Calculate the calendar year 2021 earned premiums to use for ratemaking.</t>
    </r>
  </si>
  <si>
    <t>for</t>
  </si>
  <si>
    <t>year(s)</t>
  </si>
  <si>
    <t>Percent of policies that are 12-month policies:</t>
  </si>
  <si>
    <t>Percent of policies that are 6-month policies:</t>
  </si>
  <si>
    <t>Average earned date in future rating period for 12-month policies:</t>
  </si>
  <si>
    <t>Trending period (months) for 12-month policies: July 1, 2021 to Oct. 1, 2023:</t>
  </si>
  <si>
    <t>Average earned date in future rating period for 6-month policies:</t>
  </si>
  <si>
    <t>Trending period (months) for 12-month policies: July 1, 2021 to Jul. 1, 2023:</t>
  </si>
  <si>
    <t>Trending period (months) weighted by policy term:</t>
  </si>
  <si>
    <t xml:space="preserve">Trend factor </t>
  </si>
  <si>
    <t xml:space="preserve">Trended premium for ratemaking </t>
  </si>
  <si>
    <t xml:space="preserve">You are performing a ratemaking analysis for a homeowners book of business.  As part of the analysis, you are including a loading for wildfire claims. </t>
  </si>
  <si>
    <t>Ultimate Wildfire Counts</t>
  </si>
  <si>
    <t>Ultimate Wildfire Claims</t>
  </si>
  <si>
    <t>• New rates are to be effective</t>
  </si>
  <si>
    <t>, for one year, with all policies written as 12-month policies.</t>
  </si>
  <si>
    <t>• The annual wildfire claim severity trend is</t>
  </si>
  <si>
    <t xml:space="preserve">• The credibility assigned to wildfire claims for this homeowners book of business is </t>
  </si>
  <si>
    <t>The complement of credibility is assigned to the industry figures.</t>
  </si>
  <si>
    <t xml:space="preserve">• A study of industry results with data as of year-end 2020 indicates a trended ultimate pure premium for wildfire claims of </t>
  </si>
  <si>
    <t xml:space="preserve">with an average accident date of  </t>
  </si>
  <si>
    <r>
      <t>(</t>
    </r>
    <r>
      <rPr>
        <i/>
        <sz val="12"/>
        <color rgb="FF002060"/>
        <rFont val="Times New Roman"/>
        <family val="1"/>
      </rPr>
      <t>2.5 points</t>
    </r>
    <r>
      <rPr>
        <sz val="12"/>
        <color rgb="FF002060"/>
        <rFont val="Times New Roman"/>
        <family val="1"/>
      </rPr>
      <t>)  Calculate the ultimate pure premium for wildfire claims to be used as a loading in the homeowners premiums.</t>
    </r>
  </si>
  <si>
    <t>Wildfire - Ultimate</t>
  </si>
  <si>
    <t>Trended Ultimate Wildfire</t>
  </si>
  <si>
    <t>Trending Period (years)</t>
  </si>
  <si>
    <t>Severity Trend @3%</t>
  </si>
  <si>
    <t xml:space="preserve">Pure Premium </t>
  </si>
  <si>
    <t>• The annual non-wildfire claim severity trend is</t>
  </si>
  <si>
    <t>• The annual premium trend is</t>
  </si>
  <si>
    <t>• Variable expenses are 20%</t>
  </si>
  <si>
    <t xml:space="preserve"> of premium.</t>
  </si>
  <si>
    <t>• Fixed expenses are</t>
  </si>
  <si>
    <t xml:space="preserve"> per policy.</t>
  </si>
  <si>
    <t>• Profit and contingencies are</t>
  </si>
  <si>
    <t>• The experience claim ratio for non-wildfire claims as of</t>
  </si>
  <si>
    <t>is</t>
  </si>
  <si>
    <t>• The calendar year 2021 on-level earned premiums are</t>
  </si>
  <si>
    <r>
      <t>(</t>
    </r>
    <r>
      <rPr>
        <i/>
        <sz val="12"/>
        <color rgb="FF002060"/>
        <rFont val="Times New Roman"/>
        <family val="1"/>
      </rPr>
      <t>1.5 points</t>
    </r>
    <r>
      <rPr>
        <sz val="12"/>
        <color rgb="FF002060"/>
        <rFont val="Times New Roman"/>
        <family val="1"/>
      </rPr>
      <t>)  Calculate the indicated total premium for the homeowners coverage, including a loading for wildfire claims.</t>
    </r>
  </si>
  <si>
    <t>Credibility</t>
  </si>
  <si>
    <t>Trended Ultimate Pure Premium</t>
  </si>
  <si>
    <t>Insurer internal experience from part (a)</t>
  </si>
  <si>
    <t>Industry experience</t>
  </si>
  <si>
    <t>Credibility weighted wildfire claims experience (at Sep. 1, 2023 cost level):</t>
  </si>
  <si>
    <t>Non-wildfire claims per policy (PP) as of July 1, 2021:</t>
  </si>
  <si>
    <t>Trended non-wildfire PP to future rating period:</t>
  </si>
  <si>
    <t>Indicated premium:</t>
  </si>
  <si>
    <t>You are conducting a ratemaking analysis for a personal automobile line of business.  You are given the following information:</t>
  </si>
  <si>
    <t>The following rate changes have occurred since 2017:</t>
  </si>
  <si>
    <r>
      <t>·</t>
    </r>
    <r>
      <rPr>
        <sz val="7"/>
        <color rgb="FF002060"/>
        <rFont val="Times New Roman"/>
        <family val="1"/>
      </rPr>
      <t xml:space="preserve">       </t>
    </r>
    <r>
      <rPr>
        <sz val="12"/>
        <color rgb="FF002060"/>
        <rFont val="Times New Roman"/>
        <family val="1"/>
      </rPr>
      <t xml:space="preserve">There was a regulatory change where all premiums in force on </t>
    </r>
  </si>
  <si>
    <t xml:space="preserve"> were reduced by </t>
  </si>
  <si>
    <r>
      <t>·</t>
    </r>
    <r>
      <rPr>
        <sz val="7"/>
        <color rgb="FF002060"/>
        <rFont val="Times New Roman"/>
        <family val="1"/>
      </rPr>
      <t xml:space="preserve">       </t>
    </r>
    <r>
      <rPr>
        <sz val="12"/>
        <color rgb="FF002060"/>
        <rFont val="Times New Roman"/>
        <family val="1"/>
      </rPr>
      <t>All policies are written for twelve-month policy terms.</t>
    </r>
  </si>
  <si>
    <r>
      <t>·</t>
    </r>
    <r>
      <rPr>
        <sz val="7"/>
        <color rgb="FF002060"/>
        <rFont val="Times New Roman"/>
        <family val="1"/>
      </rPr>
      <t xml:space="preserve">       </t>
    </r>
    <r>
      <rPr>
        <sz val="12"/>
        <color rgb="FF002060"/>
        <rFont val="Times New Roman"/>
        <family val="1"/>
      </rPr>
      <t>All policies are assumed to be written uniformly throughout a calendar year.</t>
    </r>
  </si>
  <si>
    <r>
      <t>·</t>
    </r>
    <r>
      <rPr>
        <sz val="7"/>
        <color rgb="FF002060"/>
        <rFont val="Times New Roman"/>
        <family val="1"/>
      </rPr>
      <t xml:space="preserve">       </t>
    </r>
    <r>
      <rPr>
        <sz val="12"/>
        <color rgb="FF002060"/>
        <rFont val="Times New Roman"/>
        <family val="1"/>
      </rPr>
      <t xml:space="preserve">New rates will be effective </t>
    </r>
  </si>
  <si>
    <r>
      <t>·</t>
    </r>
    <r>
      <rPr>
        <sz val="7"/>
        <color rgb="FF002060"/>
        <rFont val="Times New Roman"/>
        <family val="1"/>
      </rPr>
      <t xml:space="preserve">       </t>
    </r>
    <r>
      <rPr>
        <sz val="12"/>
        <color rgb="FF002060"/>
        <rFont val="Times New Roman"/>
        <family val="1"/>
      </rPr>
      <t xml:space="preserve">Calendar year 2019 earned premium is </t>
    </r>
  </si>
  <si>
    <r>
      <t>(</t>
    </r>
    <r>
      <rPr>
        <i/>
        <sz val="12"/>
        <color rgb="FF002060"/>
        <rFont val="Times New Roman"/>
        <family val="1"/>
      </rPr>
      <t>2 points</t>
    </r>
    <r>
      <rPr>
        <sz val="12"/>
        <color rgb="FF002060"/>
        <rFont val="Times New Roman"/>
        <family val="1"/>
      </rPr>
      <t>)  Calculate the 2019 earned premium adjusted to current rate levels for ratemaking purposes.</t>
    </r>
  </si>
  <si>
    <t>Applicable Changes</t>
  </si>
  <si>
    <t>Area</t>
  </si>
  <si>
    <t>Rate Level Index</t>
  </si>
  <si>
    <t>% in CY 2019</t>
  </si>
  <si>
    <t xml:space="preserve">Current rate level </t>
  </si>
  <si>
    <t>Weighted average rate level in CY 2019:</t>
  </si>
  <si>
    <t>On-level factor:</t>
  </si>
  <si>
    <t>CY 2019 EP @ CRL:</t>
  </si>
  <si>
    <t>-2%</t>
  </si>
  <si>
    <t>-10%</t>
  </si>
  <si>
    <t xml:space="preserve"> 7%</t>
  </si>
  <si>
    <r>
      <t>(</t>
    </r>
    <r>
      <rPr>
        <i/>
        <sz val="12"/>
        <color rgb="FF002060"/>
        <rFont val="Times New Roman"/>
        <family val="1"/>
      </rPr>
      <t>1 point</t>
    </r>
    <r>
      <rPr>
        <sz val="12"/>
        <color rgb="FF002060"/>
        <rFont val="Times New Roman"/>
        <family val="1"/>
      </rPr>
      <t>)  Explain why the answer to part (a) would be higher if all policies were six-month policies instead of twelve-month policies.</t>
    </r>
  </si>
  <si>
    <t xml:space="preserve">With all policies being 6-month policies, more of the area of 2019 would be at lower rates (lower % at rate level 1.05, higher % at rate level 0.9261).  </t>
  </si>
  <si>
    <t>Therefore, the average rate level in 2019 should be lower.</t>
  </si>
  <si>
    <t xml:space="preserve">The current rate level remains unchanged.  </t>
  </si>
  <si>
    <t>Therefore, the on-level factor would be higher than the value from part (a).</t>
  </si>
  <si>
    <t>The calculation may be helpful in solving this part, but it is not required for credit.</t>
  </si>
  <si>
    <t>The regulator is considering an increase to the state-mandated minimum policy limits effective January 1, 2023.  Premiums will change to reflect this policy limits change.</t>
  </si>
  <si>
    <r>
      <t>(</t>
    </r>
    <r>
      <rPr>
        <i/>
        <sz val="12"/>
        <color rgb="FF002060"/>
        <rFont val="Times New Roman"/>
        <family val="1"/>
      </rPr>
      <t>1 point</t>
    </r>
    <r>
      <rPr>
        <sz val="12"/>
        <color rgb="FF002060"/>
        <rFont val="Times New Roman"/>
        <family val="1"/>
      </rPr>
      <t>)  Explain what affect this change would have on the on-level calculation from part (a).</t>
    </r>
  </si>
  <si>
    <t xml:space="preserve">The average premium would increase to reflect such a change but would expect claims would increase as policyholders would receive more coverage.  </t>
  </si>
  <si>
    <t>Therefore, expect no change to the on-level calculation.</t>
  </si>
  <si>
    <r>
      <t>(</t>
    </r>
    <r>
      <rPr>
        <i/>
        <sz val="12"/>
        <color rgb="FF002060"/>
        <rFont val="Times New Roman"/>
        <family val="1"/>
      </rPr>
      <t>1 point</t>
    </r>
    <r>
      <rPr>
        <sz val="12"/>
        <color rgb="FF002060"/>
        <rFont val="Times New Roman"/>
        <family val="1"/>
      </rPr>
      <t>)  Calculate the historical annual trend in fixed expenses.</t>
    </r>
  </si>
  <si>
    <r>
      <t>(</t>
    </r>
    <r>
      <rPr>
        <i/>
        <sz val="12"/>
        <color rgb="FF002060"/>
        <rFont val="Times New Roman"/>
        <family val="1"/>
      </rPr>
      <t>0.5 points</t>
    </r>
    <r>
      <rPr>
        <sz val="12"/>
        <color rgb="FF002060"/>
        <rFont val="Times New Roman"/>
        <family val="1"/>
      </rPr>
      <t>)  Recommend the annual fixed expense trend.  Justify your recommendation.</t>
    </r>
  </si>
  <si>
    <t>Recommendation:</t>
  </si>
  <si>
    <t>Justification: There is a clear decreasing trend rate so give more weight to more recent years and select the average of the latest 3 years.</t>
  </si>
  <si>
    <r>
      <t>·</t>
    </r>
    <r>
      <rPr>
        <sz val="7"/>
        <color rgb="FF002060"/>
        <rFont val="Times New Roman"/>
        <family val="1"/>
      </rPr>
      <t xml:space="preserve">       </t>
    </r>
    <r>
      <rPr>
        <sz val="12"/>
        <color rgb="FF002060"/>
        <rFont val="Times New Roman"/>
        <family val="1"/>
      </rPr>
      <t>New rates will be effective</t>
    </r>
  </si>
  <si>
    <t xml:space="preserve"> for one year.</t>
  </si>
  <si>
    <r>
      <t>·</t>
    </r>
    <r>
      <rPr>
        <sz val="7"/>
        <color rgb="FF002060"/>
        <rFont val="Times New Roman"/>
        <family val="1"/>
      </rPr>
      <t xml:space="preserve">       </t>
    </r>
    <r>
      <rPr>
        <sz val="12"/>
        <color rgb="FF002060"/>
        <rFont val="Times New Roman"/>
        <family val="1"/>
      </rPr>
      <t>All policies are written as 12-month policies.</t>
    </r>
  </si>
  <si>
    <r>
      <t>·</t>
    </r>
    <r>
      <rPr>
        <sz val="7"/>
        <color rgb="FF002060"/>
        <rFont val="Times New Roman"/>
        <family val="1"/>
      </rPr>
      <t xml:space="preserve">       </t>
    </r>
    <r>
      <rPr>
        <sz val="12"/>
        <color rgb="FF002060"/>
        <rFont val="Times New Roman"/>
        <family val="1"/>
      </rPr>
      <t>The annual premium trend is</t>
    </r>
  </si>
  <si>
    <r>
      <t>(</t>
    </r>
    <r>
      <rPr>
        <i/>
        <sz val="12"/>
        <color rgb="FF002060"/>
        <rFont val="Times New Roman"/>
        <family val="1"/>
      </rPr>
      <t>2.5 points</t>
    </r>
    <r>
      <rPr>
        <sz val="12"/>
        <color rgb="FF002060"/>
        <rFont val="Times New Roman"/>
        <family val="1"/>
      </rPr>
      <t>)  Calculate the fixed expense ratio to be used in ratemaking, using a simple average from calendar years 2019, 2020 and 2021.</t>
    </r>
  </si>
  <si>
    <t xml:space="preserve"> (i.e., 12 months after effective date)</t>
  </si>
  <si>
    <t>Expense Trend Factors</t>
  </si>
  <si>
    <t>Trended On-Level Earned Premiums</t>
  </si>
  <si>
    <t>Fixed Expense per On-Level Earned Premiums</t>
  </si>
  <si>
    <r>
      <t>(</t>
    </r>
    <r>
      <rPr>
        <i/>
        <sz val="12"/>
        <color rgb="FF002060"/>
        <rFont val="Times New Roman"/>
        <family val="1"/>
      </rPr>
      <t>12 points</t>
    </r>
    <r>
      <rPr>
        <sz val="12"/>
        <color rgb="FF002060"/>
        <rFont val="Times New Roman"/>
        <family val="1"/>
      </rPr>
      <t>)</t>
    </r>
  </si>
  <si>
    <t xml:space="preserve">You are estimating ultimate claims for a long-tailed line of business, and are given the following information: </t>
  </si>
  <si>
    <t>Projected Ultimate Based on Reported Claims Development Method</t>
  </si>
  <si>
    <r>
      <t>·</t>
    </r>
    <r>
      <rPr>
        <sz val="7"/>
        <color rgb="FF002060"/>
        <rFont val="Times New Roman"/>
        <family val="1"/>
      </rPr>
      <t xml:space="preserve">       </t>
    </r>
    <r>
      <rPr>
        <sz val="12"/>
        <color rgb="FF002060"/>
        <rFont val="Times New Roman"/>
        <family val="1"/>
      </rPr>
      <t>The annual claim frequency trend is</t>
    </r>
  </si>
  <si>
    <r>
      <t>·</t>
    </r>
    <r>
      <rPr>
        <sz val="7"/>
        <color rgb="FF002060"/>
        <rFont val="Times New Roman"/>
        <family val="1"/>
      </rPr>
      <t xml:space="preserve">       </t>
    </r>
    <r>
      <rPr>
        <sz val="12"/>
        <color rgb="FF002060"/>
        <rFont val="Times New Roman"/>
        <family val="1"/>
      </rPr>
      <t>The annual claim severity trend is</t>
    </r>
  </si>
  <si>
    <r>
      <t>(</t>
    </r>
    <r>
      <rPr>
        <i/>
        <sz val="12"/>
        <color rgb="FF002060"/>
        <rFont val="Times New Roman"/>
        <family val="1"/>
      </rPr>
      <t>3 points</t>
    </r>
    <r>
      <rPr>
        <sz val="12"/>
        <color rgb="FF002060"/>
        <rFont val="Times New Roman"/>
        <family val="1"/>
      </rPr>
      <t>)  Calculate ultimate claims using the development-based frequency-severity method.</t>
    </r>
  </si>
  <si>
    <t>Reported Frequency</t>
  </si>
  <si>
    <t>Frequency Trend @ 1%</t>
  </si>
  <si>
    <t>Calculated Ultimate Counts</t>
  </si>
  <si>
    <t>Average (all years)</t>
  </si>
  <si>
    <t>Selected Frequency:</t>
  </si>
  <si>
    <t xml:space="preserve"> Rationale: no outliers and no significant trend, so simple average is reasonable.</t>
  </si>
  <si>
    <t>Severity Trend @ 6.5%</t>
  </si>
  <si>
    <t>Calculated Ultimate Severity</t>
  </si>
  <si>
    <t>Average (latest 5 years)</t>
  </si>
  <si>
    <t>Selected Severity:</t>
  </si>
  <si>
    <t xml:space="preserve">  Rationale: there has been an increase in the more recent years, so use average of latest 5 years.</t>
  </si>
  <si>
    <t>Diagnostic testing revealed that this line of business has had strengthening of case estimates in calendar year 2021.  You are provided with the following additional information:</t>
  </si>
  <si>
    <r>
      <t>(</t>
    </r>
    <r>
      <rPr>
        <i/>
        <sz val="12"/>
        <color rgb="FF002060"/>
        <rFont val="Times New Roman"/>
        <family val="1"/>
      </rPr>
      <t>2 points</t>
    </r>
    <r>
      <rPr>
        <sz val="12"/>
        <color rgb="FF002060"/>
        <rFont val="Times New Roman"/>
        <family val="1"/>
      </rPr>
      <t>)  Construct the reported claims triangle adjusted for the change in case adequacy.</t>
    </r>
  </si>
  <si>
    <t>You are provided with the following average ultimate reported severities, adjusted for the change in case adequacy:</t>
  </si>
  <si>
    <t>Ultimate Reported Severities</t>
  </si>
  <si>
    <r>
      <t>(</t>
    </r>
    <r>
      <rPr>
        <i/>
        <sz val="12"/>
        <color rgb="FF002060"/>
        <rFont val="Times New Roman"/>
        <family val="1"/>
      </rPr>
      <t>1.5 points</t>
    </r>
    <r>
      <rPr>
        <sz val="12"/>
        <color rgb="FF002060"/>
        <rFont val="Times New Roman"/>
        <family val="1"/>
      </rPr>
      <t>)  Recommend the revised annual claim severity trend.  Justify your recommendation.</t>
    </r>
  </si>
  <si>
    <t>Year-to-Year Change</t>
  </si>
  <si>
    <t>Average excluding high&amp;low:</t>
  </si>
  <si>
    <t>Average excluding last year:</t>
  </si>
  <si>
    <t>Recommended:</t>
  </si>
  <si>
    <t>Justification: select average excluding high&amp;low to eliminate the variability.</t>
  </si>
  <si>
    <r>
      <t>(</t>
    </r>
    <r>
      <rPr>
        <i/>
        <sz val="12"/>
        <color rgb="FF002060"/>
        <rFont val="Times New Roman"/>
        <family val="1"/>
      </rPr>
      <t>1 point</t>
    </r>
    <r>
      <rPr>
        <sz val="12"/>
        <color rgb="FF002060"/>
        <rFont val="Times New Roman"/>
        <family val="1"/>
      </rPr>
      <t>)  Explain why you might expect the answer to part (c) to be lower than the original annual severity trend of 6.5%.</t>
    </r>
  </si>
  <si>
    <t xml:space="preserve">Due to the increase in the average case in the most recent diagonal, this will tend to overstate the annual severity trend. </t>
  </si>
  <si>
    <t>By adjusting the historical case estimates for the change, this will increase those values, which will tend to decrease the indicated annual reported severity trend.</t>
  </si>
  <si>
    <r>
      <t>(</t>
    </r>
    <r>
      <rPr>
        <i/>
        <sz val="12"/>
        <color rgb="FF002060"/>
        <rFont val="Times New Roman"/>
        <family val="1"/>
      </rPr>
      <t>0.5 points</t>
    </r>
    <r>
      <rPr>
        <sz val="12"/>
        <color rgb="FF002060"/>
        <rFont val="Times New Roman"/>
        <family val="1"/>
      </rPr>
      <t>)  Calculate ultimate claims using the ultimate counts provided and ultimate reported severities adjusted for the change in case adequacy.</t>
    </r>
  </si>
  <si>
    <r>
      <t>(</t>
    </r>
    <r>
      <rPr>
        <i/>
        <sz val="12"/>
        <color rgb="FF002060"/>
        <rFont val="Times New Roman"/>
        <family val="1"/>
      </rPr>
      <t>2 points</t>
    </r>
    <r>
      <rPr>
        <sz val="12"/>
        <color rgb="FF002060"/>
        <rFont val="Times New Roman"/>
        <family val="1"/>
      </rPr>
      <t>)  Calculate expected claims for all accident years using the expected method and your recommended annual claim severity trend from part (c).  Justify any selections.</t>
    </r>
  </si>
  <si>
    <t>Annual claim trend = (1 + 0.01)(1 + 0.0577) - 1 =</t>
  </si>
  <si>
    <t>Claim Trend @6.83%</t>
  </si>
  <si>
    <t>Trended Pure Premiums Based on Reported</t>
  </si>
  <si>
    <t>Average all years (excl. 2021)</t>
  </si>
  <si>
    <t>Average (excluding 2020)</t>
  </si>
  <si>
    <t>Selected 2021 level pure premium</t>
  </si>
  <si>
    <t>Justification: 2020 appears to be an outlier, so use average of all years excluding 2020.</t>
  </si>
  <si>
    <r>
      <t>(</t>
    </r>
    <r>
      <rPr>
        <i/>
        <sz val="12"/>
        <color rgb="FF002060"/>
        <rFont val="Times New Roman"/>
        <family val="1"/>
      </rPr>
      <t>1 point</t>
    </r>
    <r>
      <rPr>
        <sz val="12"/>
        <color rgb="FF002060"/>
        <rFont val="Times New Roman"/>
        <family val="1"/>
      </rPr>
      <t xml:space="preserve">)  Calculate ultimate claims for all accident years using the Bornhuetter Ferguson method. </t>
    </r>
  </si>
  <si>
    <t>Age-to-Ult Factor</t>
  </si>
  <si>
    <t>BF Estimate Ultimate Claims</t>
  </si>
  <si>
    <t>You projected ultimate claims using several methods above.</t>
  </si>
  <si>
    <r>
      <t>(</t>
    </r>
    <r>
      <rPr>
        <i/>
        <sz val="12"/>
        <color rgb="FF002060"/>
        <rFont val="Times New Roman"/>
        <family val="1"/>
      </rPr>
      <t>1 point</t>
    </r>
    <r>
      <rPr>
        <sz val="12"/>
        <color rgb="FF002060"/>
        <rFont val="Times New Roman"/>
        <family val="1"/>
      </rPr>
      <t>)  Recommend the selected ultimate claims for accident year 2021 for this line of business.  Justify your recommendation.</t>
    </r>
  </si>
  <si>
    <t>Recommend using average of part (e), part (f) and part (g) estimates:</t>
  </si>
  <si>
    <t>Development method (9,678,673) and part (a) estimate (9,678,863) do not adjust for the change in case outstanding, so both are inappropriate.</t>
  </si>
  <si>
    <t>Part (e), (f) and (g) estimates all adjust for the change in case outstanding so are all reasonable methods.</t>
  </si>
  <si>
    <t>Recommend the average of all 3 since they are all close in value.</t>
  </si>
  <si>
    <t>You are given the following information for two policies with exposures that are earned evenly throughout the policy period:</t>
  </si>
  <si>
    <r>
      <t>·</t>
    </r>
    <r>
      <rPr>
        <sz val="7"/>
        <color rgb="FF002060"/>
        <rFont val="Times New Roman"/>
        <family val="1"/>
      </rPr>
      <t xml:space="preserve">       </t>
    </r>
    <r>
      <rPr>
        <sz val="12"/>
        <color rgb="FF002060"/>
        <rFont val="Times New Roman"/>
        <family val="1"/>
      </rPr>
      <t>Policy number 101 is a semi-annual policy written on</t>
    </r>
  </si>
  <si>
    <r>
      <t>·</t>
    </r>
    <r>
      <rPr>
        <sz val="7"/>
        <color rgb="FF002060"/>
        <rFont val="Times New Roman"/>
        <family val="1"/>
      </rPr>
      <t xml:space="preserve">       </t>
    </r>
    <r>
      <rPr>
        <sz val="12"/>
        <color rgb="FF002060"/>
        <rFont val="Times New Roman"/>
        <family val="1"/>
      </rPr>
      <t>Policy number 102 is a two-year policy written on</t>
    </r>
  </si>
  <si>
    <r>
      <t>(</t>
    </r>
    <r>
      <rPr>
        <i/>
        <sz val="12"/>
        <color rgb="FF002060"/>
        <rFont val="Times New Roman"/>
        <family val="1"/>
      </rPr>
      <t>1 point</t>
    </r>
    <r>
      <rPr>
        <sz val="12"/>
        <color rgb="FF002060"/>
        <rFont val="Times New Roman"/>
        <family val="1"/>
      </rPr>
      <t>)  Describe the option(s) for recognizing written exposures on each policy.</t>
    </r>
  </si>
  <si>
    <t>Policy number 101 should record written exposure at the initial effective date</t>
  </si>
  <si>
    <t>Policy number 102 can record written exposure based on:</t>
  </si>
  <si>
    <t>(i) at the initial effective date</t>
  </si>
  <si>
    <t>(ii) annual basis only, thus, the total written exposure is divided into equivalent annual values and recorded on the anniversary of the effective date</t>
  </si>
  <si>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earned</t>
    </r>
    <r>
      <rPr>
        <sz val="12"/>
        <color rgb="FF002060"/>
        <rFont val="Times New Roman"/>
        <family val="1"/>
      </rPr>
      <t xml:space="preserve"> on December 31, 2021 for policy number 101.</t>
    </r>
  </si>
  <si>
    <t xml:space="preserve">2 months earned by end of year, therefore % earned = 2/6 = </t>
  </si>
  <si>
    <t>2 months earned by end of 2021</t>
  </si>
  <si>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unearned</t>
    </r>
    <r>
      <rPr>
        <sz val="12"/>
        <color rgb="FF002060"/>
        <rFont val="Times New Roman"/>
        <family val="1"/>
      </rPr>
      <t xml:space="preserve"> on December 31, 2021 for policy number 102.</t>
    </r>
  </si>
  <si>
    <t>Date written = July 15, 2021, therefore 5.5 months earned by Dec 31, 2021</t>
  </si>
  <si>
    <t>Therefore, 24-5.5 = 18.5 months unearned as of Dec. 31, 2021. % unearned = 18.5/24 =</t>
  </si>
  <si>
    <t>July 15, 2021 to Dec 31, 2021 = 5.5 months</t>
  </si>
  <si>
    <t>For some lines of general insurance, written exposures are not earned evenly throughout the policy term.</t>
  </si>
  <si>
    <r>
      <t>(</t>
    </r>
    <r>
      <rPr>
        <i/>
        <sz val="12"/>
        <color rgb="FF002060"/>
        <rFont val="Times New Roman"/>
        <family val="1"/>
      </rPr>
      <t>1.5 points</t>
    </r>
    <r>
      <rPr>
        <sz val="12"/>
        <color rgb="FF002060"/>
        <rFont val="Times New Roman"/>
        <family val="1"/>
      </rPr>
      <t>)  Explain why a warranty policy is not likely to have exposures earned evenly throughout the policy term.</t>
    </r>
  </si>
  <si>
    <t>A warranty policy is typically a multi-year policy.</t>
  </si>
  <si>
    <t>In warranty coverage, the exposure to claims is often significantly greater in the later years of the policy term than in the early years.</t>
  </si>
  <si>
    <t>As a result, a pro rata earning of the premium is not appropriate given that the financial reporting objective is to earn revenue (i.e., premium) in accordance with the delivery of service (i.e., protection for the policyholder from loss).</t>
  </si>
  <si>
    <r>
      <t>(</t>
    </r>
    <r>
      <rPr>
        <i/>
        <sz val="12"/>
        <color rgb="FF002060"/>
        <rFont val="Times New Roman"/>
        <family val="1"/>
      </rPr>
      <t>1.5 points</t>
    </r>
    <r>
      <rPr>
        <sz val="12"/>
        <color rgb="FF002060"/>
        <rFont val="Times New Roman"/>
        <family val="1"/>
      </rPr>
      <t>)  Describe three types of coverages or policies, other than a warranty policy, where it may not be appropriate to assume premiums are earned evenly throughout the policy term.</t>
    </r>
  </si>
  <si>
    <t>Any three of the following are acceptable:</t>
  </si>
  <si>
    <t>(i) property catastrophe coverage for hurricanes or hail coverage are examples of GI where exposure to claims is concentrated over specific months</t>
  </si>
  <si>
    <t>(ii) aggregate stop loss coverage has much greater exposure near the end of the policy term rather than during the initial months of coverage</t>
  </si>
  <si>
    <t>(iii) policies covering seasonal risks like snowmobile coverage have loss concentrated in the winter months</t>
  </si>
  <si>
    <t>(iv) ocean marine insurance may have cessation of shipping operations for three months</t>
  </si>
  <si>
    <t>(v) new home warranty policies and policies for product warranties that provide protection for mechanical breakdown or manufacturer defects are typically longer than one year and the exposure to claims is often significantly greater in the later years</t>
  </si>
  <si>
    <t>(vi) financial and performance guarantee</t>
  </si>
  <si>
    <t>(vii) retrospectively-rated policies have final premiums determined after the policy expiration, which should be written and earned when it enters the insurer's system</t>
  </si>
  <si>
    <t>(viii) reinstatement premium may be included within the original premium or may require additional premiums to be paid and can have a distorting effect on earned premium</t>
  </si>
  <si>
    <t>You are estimating unpaid unallocated loss adjustment expenses (ULAE) as of</t>
  </si>
  <si>
    <t>December 31, 2021 using the Wendy Johnson count-based method, and are given the following weights for three different claim types:</t>
  </si>
  <si>
    <t>Newly Reported Counts</t>
  </si>
  <si>
    <t>Open Counts</t>
  </si>
  <si>
    <t>Selected claim count weights are typically based on special studies.</t>
  </si>
  <si>
    <r>
      <t>(</t>
    </r>
    <r>
      <rPr>
        <i/>
        <sz val="12"/>
        <color rgb="FF002060"/>
        <rFont val="Times New Roman"/>
        <family val="1"/>
      </rPr>
      <t>0.5 points</t>
    </r>
    <r>
      <rPr>
        <sz val="12"/>
        <color rgb="FF002060"/>
        <rFont val="Times New Roman"/>
        <family val="1"/>
      </rPr>
      <t>)  Describe one such special study.</t>
    </r>
  </si>
  <si>
    <t xml:space="preserve">The Wendy Johnson method relies on selected weights required for maintaining, opening and closing a claim. </t>
  </si>
  <si>
    <t>In practice the weights would typically come from special studies (e.g., workload studies, time studies) from an insurer’s claims department.</t>
  </si>
  <si>
    <t>Incremental Reported Counts</t>
  </si>
  <si>
    <t>Incremental Closed Counts</t>
  </si>
  <si>
    <r>
      <t>·</t>
    </r>
    <r>
      <rPr>
        <sz val="7"/>
        <color rgb="FF002060"/>
        <rFont val="Times New Roman"/>
        <family val="1"/>
      </rPr>
      <t xml:space="preserve">       </t>
    </r>
    <r>
      <rPr>
        <sz val="12"/>
        <color rgb="FF002060"/>
        <rFont val="Times New Roman"/>
        <family val="1"/>
      </rPr>
      <t>The annual claim trend is 2%.</t>
    </r>
  </si>
  <si>
    <r>
      <t>(</t>
    </r>
    <r>
      <rPr>
        <i/>
        <sz val="12"/>
        <color rgb="FF002060"/>
        <rFont val="Times New Roman"/>
        <family val="1"/>
      </rPr>
      <t>3 points</t>
    </r>
    <r>
      <rPr>
        <sz val="12"/>
        <color rgb="FF002060"/>
        <rFont val="Times New Roman"/>
        <family val="1"/>
      </rPr>
      <t>)  Recommend an average ULAE per weighted count.  Justify your recommendation.</t>
    </r>
  </si>
  <si>
    <t>Newly reported, open, and closed counts can be determined directly or by rearranging the triangles by year end instead of by development.</t>
  </si>
  <si>
    <t>Directly determining calendar year (CY) counts:</t>
  </si>
  <si>
    <t>CY 2018 newly reported counts:</t>
  </si>
  <si>
    <t>CY 2018 open counts</t>
  </si>
  <si>
    <t>CY 2018 closed counts</t>
  </si>
  <si>
    <t>Rearranging data triangles:</t>
  </si>
  <si>
    <t>Reported Counts by Year End</t>
  </si>
  <si>
    <t>incremental</t>
  </si>
  <si>
    <t>cumulative</t>
  </si>
  <si>
    <t>Open Counts:</t>
  </si>
  <si>
    <t>Avg ULAE</t>
  </si>
  <si>
    <t>Trend to</t>
  </si>
  <si>
    <t>Newly</t>
  </si>
  <si>
    <t>Weighted</t>
  </si>
  <si>
    <t>Per Weighted</t>
  </si>
  <si>
    <t>2022 at</t>
  </si>
  <si>
    <t>Trended to</t>
  </si>
  <si>
    <t>Open</t>
  </si>
  <si>
    <t>Closed</t>
  </si>
  <si>
    <t>Count</t>
  </si>
  <si>
    <t>in Years</t>
  </si>
  <si>
    <t>Selected Weights</t>
  </si>
  <si>
    <t>Recommended average ULAE per weighted count</t>
  </si>
  <si>
    <t>Rationale: 2018 appears to be an outlier, so use average of 2019 to 2021</t>
  </si>
  <si>
    <t>You are given the following projected reported and closed claim counts as of December 31, 2021:</t>
  </si>
  <si>
    <r>
      <t>(</t>
    </r>
    <r>
      <rPr>
        <i/>
        <sz val="12"/>
        <color rgb="FF002060"/>
        <rFont val="Times New Roman"/>
        <family val="1"/>
      </rPr>
      <t>1.5 points</t>
    </r>
    <r>
      <rPr>
        <sz val="12"/>
        <color rgb="FF002060"/>
        <rFont val="Times New Roman"/>
        <family val="1"/>
      </rPr>
      <t>)  Calculate estimated unpaid ULAE as of December 31, 2021.</t>
    </r>
  </si>
  <si>
    <t>Trend from</t>
  </si>
  <si>
    <t>Estimated</t>
  </si>
  <si>
    <t>You are performing a ratemaking analysis of a homeowners book of business for State Q.  As part of the analysis, you are reviewing loadings for catastrophes and large claims.</t>
  </si>
  <si>
    <r>
      <t>(</t>
    </r>
    <r>
      <rPr>
        <i/>
        <sz val="12"/>
        <color rgb="FF002060"/>
        <rFont val="Times New Roman"/>
        <family val="1"/>
      </rPr>
      <t>0.5 points</t>
    </r>
    <r>
      <rPr>
        <sz val="12"/>
        <color rgb="FF002060"/>
        <rFont val="Times New Roman"/>
        <family val="1"/>
      </rPr>
      <t>)  Describe one way that large claims are differentiated from catastrophe claims when insurers are estimating loadings for ratemaking purposes.</t>
    </r>
  </si>
  <si>
    <t>Any one of the following are acceptable:</t>
  </si>
  <si>
    <t xml:space="preserve"> - Catastrophes typically result in GI claims for multiple insurers providing coverage in an affected area. Whereas large losses are limited to a few claims for an individual insurer.  </t>
  </si>
  <si>
    <t xml:space="preserve"> - Catastrophes are associated with an event which is infrequent and results in unusually large aggregate losses.</t>
  </si>
  <si>
    <t xml:space="preserve"> - Catastrophes typically result in a significant number of GI claims for multiple insurers providing coverage in the area affected by the event. Large claims do not typically affect the entire GI industry, or even all GI companies operating in a specific area.</t>
  </si>
  <si>
    <t>You are given the following State Q ultimate pure premium for non-hurricane weather excluding hail (referred to as weather claims below) per 100 earned house years (EHY):</t>
  </si>
  <si>
    <t xml:space="preserve">Pure Premium per 100 EHY </t>
  </si>
  <si>
    <r>
      <t>·</t>
    </r>
    <r>
      <rPr>
        <sz val="7"/>
        <color rgb="FF002060"/>
        <rFont val="Times New Roman"/>
        <family val="1"/>
      </rPr>
      <t xml:space="preserve">       </t>
    </r>
    <r>
      <rPr>
        <sz val="12"/>
        <color rgb="FF002060"/>
        <rFont val="Times New Roman"/>
        <family val="1"/>
      </rPr>
      <t xml:space="preserve">The new rates are to be effective </t>
    </r>
  </si>
  <si>
    <t xml:space="preserve"> for one year. </t>
  </si>
  <si>
    <r>
      <t>·</t>
    </r>
    <r>
      <rPr>
        <sz val="7"/>
        <color rgb="FF002060"/>
        <rFont val="Times New Roman"/>
        <family val="1"/>
      </rPr>
      <t xml:space="preserve">       </t>
    </r>
    <r>
      <rPr>
        <sz val="12"/>
        <color rgb="FF002060"/>
        <rFont val="Times New Roman"/>
        <family val="1"/>
      </rPr>
      <t>All policies are written for 12-month policy terms.</t>
    </r>
  </si>
  <si>
    <r>
      <t>(</t>
    </r>
    <r>
      <rPr>
        <i/>
        <sz val="12"/>
        <color rgb="FF002060"/>
        <rFont val="Times New Roman"/>
        <family val="1"/>
      </rPr>
      <t>1 point</t>
    </r>
    <r>
      <rPr>
        <sz val="12"/>
        <color rgb="FF002060"/>
        <rFont val="Times New Roman"/>
        <family val="1"/>
      </rPr>
      <t>)  Recommend the annual pure premium trend for weather claims.  Justify your recommendation.</t>
    </r>
  </si>
  <si>
    <t>Average (all years excl. high &amp; low)</t>
  </si>
  <si>
    <t>Recommendation</t>
  </si>
  <si>
    <t>Justification: Include more years due to significant volatility. Excluding high &amp; low eliminates outliers.</t>
  </si>
  <si>
    <r>
      <t>(</t>
    </r>
    <r>
      <rPr>
        <i/>
        <sz val="12"/>
        <color rgb="FF002060"/>
        <rFont val="Times New Roman"/>
        <family val="1"/>
      </rPr>
      <t>1.5 points</t>
    </r>
    <r>
      <rPr>
        <sz val="12"/>
        <color rgb="FF002060"/>
        <rFont val="Times New Roman"/>
        <family val="1"/>
      </rPr>
      <t>)  Recommend the trended ultimate pure premium for weather claims per 100 EHY to use in ratemaking.  Justify your recommendation.</t>
    </r>
  </si>
  <si>
    <t>Trend period (for AY2021):</t>
  </si>
  <si>
    <t>Pure Premium Trend Factor</t>
  </si>
  <si>
    <t>Trended Ultimate Pure Premium for Non-Hurricane Weather excluding Hail per 100 EHY</t>
  </si>
  <si>
    <t>Average (latest 3 years)</t>
  </si>
  <si>
    <t>Justification: Decreasing values in  latest years so more weight to more recent data. Therefore, recommend average of latest 3 years.</t>
  </si>
  <si>
    <t xml:space="preserve">State Q Property excluding Weather Claims </t>
  </si>
  <si>
    <t>Earned House Years</t>
  </si>
  <si>
    <t>Trended Earned Premiums at Current Rate Level</t>
  </si>
  <si>
    <t>Accident Year Weights</t>
  </si>
  <si>
    <r>
      <t>·</t>
    </r>
    <r>
      <rPr>
        <sz val="7"/>
        <color rgb="FF002060"/>
        <rFont val="Times New Roman"/>
        <family val="1"/>
      </rPr>
      <t xml:space="preserve">       </t>
    </r>
    <r>
      <rPr>
        <sz val="12"/>
        <color rgb="FF002060"/>
        <rFont val="Times New Roman"/>
        <family val="1"/>
      </rPr>
      <t xml:space="preserve">The full credibility standard is </t>
    </r>
  </si>
  <si>
    <t xml:space="preserve"> EHY.</t>
  </si>
  <si>
    <r>
      <t>·</t>
    </r>
    <r>
      <rPr>
        <sz val="7"/>
        <color rgb="FF002060"/>
        <rFont val="Times New Roman"/>
        <family val="1"/>
      </rPr>
      <t xml:space="preserve">       </t>
    </r>
    <r>
      <rPr>
        <sz val="12"/>
        <color rgb="FF002060"/>
        <rFont val="Times New Roman"/>
        <family val="1"/>
      </rPr>
      <t>The square root rule is used for partial credibility.</t>
    </r>
  </si>
  <si>
    <r>
      <t>·</t>
    </r>
    <r>
      <rPr>
        <sz val="7"/>
        <color rgb="FF002060"/>
        <rFont val="Times New Roman"/>
        <family val="1"/>
      </rPr>
      <t xml:space="preserve">       </t>
    </r>
    <r>
      <rPr>
        <sz val="12"/>
        <color rgb="FF002060"/>
        <rFont val="Times New Roman"/>
        <family val="1"/>
      </rPr>
      <t xml:space="preserve">The trended adjusted country-wide ultimate claim ratio (including ULAE) is </t>
    </r>
  </si>
  <si>
    <r>
      <t>·</t>
    </r>
    <r>
      <rPr>
        <sz val="7"/>
        <color rgb="FF002060"/>
        <rFont val="Times New Roman"/>
        <family val="1"/>
      </rPr>
      <t xml:space="preserve">       </t>
    </r>
    <r>
      <rPr>
        <sz val="12"/>
        <color rgb="FF002060"/>
        <rFont val="Times New Roman"/>
        <family val="1"/>
      </rPr>
      <t xml:space="preserve">The ULAE to claim ratio is </t>
    </r>
  </si>
  <si>
    <r>
      <t>·</t>
    </r>
    <r>
      <rPr>
        <sz val="7"/>
        <color rgb="FF002060"/>
        <rFont val="Times New Roman"/>
        <family val="1"/>
      </rPr>
      <t xml:space="preserve">       </t>
    </r>
    <r>
      <rPr>
        <sz val="12"/>
        <color rgb="FF002060"/>
        <rFont val="Times New Roman"/>
        <family val="1"/>
      </rPr>
      <t>The selected fixed expenses are</t>
    </r>
  </si>
  <si>
    <t xml:space="preserve"> of premiums.</t>
  </si>
  <si>
    <r>
      <t>·</t>
    </r>
    <r>
      <rPr>
        <sz val="7"/>
        <color rgb="FF002060"/>
        <rFont val="Times New Roman"/>
        <family val="1"/>
      </rPr>
      <t xml:space="preserve">       </t>
    </r>
    <r>
      <rPr>
        <sz val="12"/>
        <color rgb="FF002060"/>
        <rFont val="Times New Roman"/>
        <family val="1"/>
      </rPr>
      <t>The selected variable expenses are</t>
    </r>
  </si>
  <si>
    <r>
      <t>·</t>
    </r>
    <r>
      <rPr>
        <sz val="7"/>
        <color rgb="FF002060"/>
        <rFont val="Times New Roman"/>
        <family val="1"/>
      </rPr>
      <t xml:space="preserve">       </t>
    </r>
    <r>
      <rPr>
        <sz val="12"/>
        <color rgb="FF002060"/>
        <rFont val="Times New Roman"/>
        <family val="1"/>
      </rPr>
      <t xml:space="preserve">The selected profit and contingencies are </t>
    </r>
  </si>
  <si>
    <r>
      <t>(</t>
    </r>
    <r>
      <rPr>
        <i/>
        <sz val="12"/>
        <color rgb="FF002060"/>
        <rFont val="Times New Roman"/>
        <family val="1"/>
      </rPr>
      <t>3 points</t>
    </r>
    <r>
      <rPr>
        <sz val="12"/>
        <color rgb="FF002060"/>
        <rFont val="Times New Roman"/>
        <family val="1"/>
      </rPr>
      <t>)  Calculate the indicated rate level change, including a loading for weather claims.</t>
    </r>
  </si>
  <si>
    <t>Selected non-hurricane weather excluding hail pure premium per 100 EHY:</t>
  </si>
  <si>
    <t>CY2021 earned house years</t>
  </si>
  <si>
    <t>CY2021trended earned premiums at current rate level</t>
  </si>
  <si>
    <t>Loading for non-hurricane weather expressed as a claim ratio</t>
  </si>
  <si>
    <t>ULAE to claim ratio</t>
  </si>
  <si>
    <t>Total claim ratio including ULAE</t>
  </si>
  <si>
    <t>Countrywide trended, adjusted ultimate claim, including ULAE, ratio</t>
  </si>
  <si>
    <t>Credibility-weighted experience claim, including ULAE, ratio</t>
  </si>
  <si>
    <t>Selected fixed expenses to premiums ratio</t>
  </si>
  <si>
    <t>Selected variable expenses to premiums ratio</t>
  </si>
  <si>
    <t>Selected profit and contingencies to premiums ratio</t>
  </si>
  <si>
    <t xml:space="preserve">Indicated rate level change </t>
  </si>
  <si>
    <t>You are analyzing ultimate claims for a long-tailed line of business, and are given the following information:</t>
  </si>
  <si>
    <t>Cumulative Paid Claims</t>
  </si>
  <si>
    <t>Paid Claims Age-to-Age Development Factors</t>
  </si>
  <si>
    <t>96-Ult.</t>
  </si>
  <si>
    <t>The selected age-to-age development factors were recommended by your colleague as the simple average of all years.</t>
  </si>
  <si>
    <r>
      <t>(</t>
    </r>
    <r>
      <rPr>
        <i/>
        <sz val="12"/>
        <color rgb="FF002060"/>
        <rFont val="Times New Roman"/>
        <family val="1"/>
      </rPr>
      <t>0.5 points</t>
    </r>
    <r>
      <rPr>
        <sz val="12"/>
        <color rgb="FF002060"/>
        <rFont val="Times New Roman"/>
        <family val="1"/>
      </rPr>
      <t>)  Estimate ultimate claims using paid claims and your colleague’s selected age-to-age factors.</t>
    </r>
  </si>
  <si>
    <t>Age-to-Age Factors</t>
  </si>
  <si>
    <t>Age-to-Ult Factors</t>
  </si>
  <si>
    <r>
      <t>(</t>
    </r>
    <r>
      <rPr>
        <i/>
        <sz val="12"/>
        <color rgb="FF002060"/>
        <rFont val="Times New Roman"/>
        <family val="1"/>
      </rPr>
      <t>0.5 points</t>
    </r>
    <r>
      <rPr>
        <sz val="12"/>
        <color rgb="FF002060"/>
        <rFont val="Times New Roman"/>
        <family val="1"/>
      </rPr>
      <t>)  State two concerns with your colleague’s selected age-to-age factors.</t>
    </r>
  </si>
  <si>
    <t>Other answers are possible.</t>
  </si>
  <si>
    <t>There is concern with using straight average.</t>
  </si>
  <si>
    <t>There was no tail factor selected.</t>
  </si>
  <si>
    <r>
      <t>(</t>
    </r>
    <r>
      <rPr>
        <i/>
        <sz val="12"/>
        <color rgb="FF002060"/>
        <rFont val="Times New Roman"/>
        <family val="1"/>
      </rPr>
      <t>1 point</t>
    </r>
    <r>
      <rPr>
        <sz val="12"/>
        <color rgb="FF002060"/>
        <rFont val="Times New Roman"/>
        <family val="1"/>
      </rPr>
      <t xml:space="preserve">)  Explain your rationale for each of the concerns identified in part (b). </t>
    </r>
  </si>
  <si>
    <t>Concern with using straight average:</t>
  </si>
  <si>
    <t>This is clearly a growing line of business, so more weight should be given to more recent years.</t>
  </si>
  <si>
    <t>No tail factor:</t>
  </si>
  <si>
    <t>There should be a tail factor as there is still development up to 96 months.</t>
  </si>
  <si>
    <r>
      <t>(</t>
    </r>
    <r>
      <rPr>
        <i/>
        <sz val="12"/>
        <color rgb="FF002060"/>
        <rFont val="Times New Roman"/>
        <family val="1"/>
      </rPr>
      <t>1 point</t>
    </r>
    <r>
      <rPr>
        <sz val="12"/>
        <color rgb="FF002060"/>
        <rFont val="Times New Roman"/>
        <family val="1"/>
      </rPr>
      <t>)  Recommend alternative selected age-to-age factors for the following. Justify your recommendations.</t>
    </r>
  </si>
  <si>
    <r>
      <t>(i)</t>
    </r>
    <r>
      <rPr>
        <sz val="7"/>
        <color rgb="FF002060"/>
        <rFont val="Times New Roman"/>
        <family val="1"/>
      </rPr>
      <t xml:space="preserve">              </t>
    </r>
    <r>
      <rPr>
        <sz val="12"/>
        <color rgb="FF002060"/>
        <rFont val="Times New Roman"/>
        <family val="1"/>
      </rPr>
      <t>12-24</t>
    </r>
  </si>
  <si>
    <r>
      <t>(ii)</t>
    </r>
    <r>
      <rPr>
        <sz val="7"/>
        <color rgb="FF002060"/>
        <rFont val="Times New Roman"/>
        <family val="1"/>
      </rPr>
      <t xml:space="preserve">            </t>
    </r>
    <r>
      <rPr>
        <sz val="12"/>
        <color rgb="FF002060"/>
        <rFont val="Times New Roman"/>
        <family val="1"/>
      </rPr>
      <t>36-48</t>
    </r>
  </si>
  <si>
    <t>12-24:</t>
  </si>
  <si>
    <t>Latest 3 years will give more weight to the decreasing trend</t>
  </si>
  <si>
    <t>24-36:</t>
  </si>
  <si>
    <t>Remove AY 2016 as it appears to be an anomaly</t>
  </si>
  <si>
    <t>You are given the following additional information, where the selected age-to-age development factors were also recommended by your colleague as the simple average of all years.</t>
  </si>
  <si>
    <t>Reported Claims Age-to-Age Development Factors</t>
  </si>
  <si>
    <r>
      <t>(</t>
    </r>
    <r>
      <rPr>
        <i/>
        <sz val="12"/>
        <color rgb="FF002060"/>
        <rFont val="Times New Roman"/>
        <family val="1"/>
      </rPr>
      <t>0.5 points</t>
    </r>
    <r>
      <rPr>
        <sz val="12"/>
        <color rgb="FF002060"/>
        <rFont val="Times New Roman"/>
        <family val="1"/>
      </rPr>
      <t>)  Estimate ultimate claims using reported claims and your colleague’s selected age-to-age factors.</t>
    </r>
  </si>
  <si>
    <r>
      <t>(</t>
    </r>
    <r>
      <rPr>
        <i/>
        <sz val="12"/>
        <color rgb="FF002060"/>
        <rFont val="Times New Roman"/>
        <family val="1"/>
      </rPr>
      <t>1 point</t>
    </r>
    <r>
      <rPr>
        <sz val="12"/>
        <color rgb="FF002060"/>
        <rFont val="Times New Roman"/>
        <family val="1"/>
      </rPr>
      <t>)  Provide two reasons why the ultimate claims from part (e) are higher than the ultimate claims from part (a).</t>
    </r>
  </si>
  <si>
    <t>There is no tail factor for paid claims and there is a tail factor for reported.</t>
  </si>
  <si>
    <t>The latest diagonal of age-to-age factors for reported claims is much higher and this will tend to make the reported claims higher.</t>
  </si>
  <si>
    <t>Your colleague has noted that the latest diagonal of the reported age-to-age development factors triangle has increased significantly and has concluded that there has been an increase in the rate of claim settlement.</t>
  </si>
  <si>
    <r>
      <t>(</t>
    </r>
    <r>
      <rPr>
        <i/>
        <sz val="12"/>
        <color rgb="FF002060"/>
        <rFont val="Times New Roman"/>
        <family val="1"/>
      </rPr>
      <t>1.5 points</t>
    </r>
    <r>
      <rPr>
        <sz val="12"/>
        <color rgb="FF002060"/>
        <rFont val="Times New Roman"/>
        <family val="1"/>
      </rPr>
      <t>)  Evaluate your colleague’s conclusion.</t>
    </r>
  </si>
  <si>
    <t>An increase in claim settlement could possibly increase the latest diagonal of the reported triangle.</t>
  </si>
  <si>
    <t>This increase would also show up in the paid age-to-age triangle.</t>
  </si>
  <si>
    <t>Since the pattern is not in the paid triangle, it is therefore likely that the cause of the increase in the reported triangle was not due to an increase in claim settlement pattern.</t>
  </si>
  <si>
    <t>You are analyzing premium trend to use in a ratemaking analysis based on the following quarterly exposure and premium data:</t>
  </si>
  <si>
    <t>Experience Period Calendar Quarter Ending</t>
  </si>
  <si>
    <t>Actual Written Premiums</t>
  </si>
  <si>
    <t>2018-1</t>
  </si>
  <si>
    <t>2018-2</t>
  </si>
  <si>
    <t>2018-3</t>
  </si>
  <si>
    <t>2018-4</t>
  </si>
  <si>
    <t>2019-1</t>
  </si>
  <si>
    <t>2019-2</t>
  </si>
  <si>
    <t>2019-3</t>
  </si>
  <si>
    <t>2019-4</t>
  </si>
  <si>
    <t>2020-1</t>
  </si>
  <si>
    <t>2020-2</t>
  </si>
  <si>
    <t>2020-3</t>
  </si>
  <si>
    <t>2020-4</t>
  </si>
  <si>
    <t>2021-1</t>
  </si>
  <si>
    <t>2021-2</t>
  </si>
  <si>
    <t>2021-3</t>
  </si>
  <si>
    <t>2021-4</t>
  </si>
  <si>
    <t>2022-1</t>
  </si>
  <si>
    <t>2022-2</t>
  </si>
  <si>
    <r>
      <t>(</t>
    </r>
    <r>
      <rPr>
        <i/>
        <sz val="12"/>
        <color rgb="FF002060"/>
        <rFont val="Times New Roman"/>
        <family val="1"/>
      </rPr>
      <t>2 points</t>
    </r>
    <r>
      <rPr>
        <sz val="12"/>
        <color rgb="FF002060"/>
        <rFont val="Times New Roman"/>
        <family val="1"/>
      </rPr>
      <t>)  Calculate the quarterly change in average written premiums using:</t>
    </r>
  </si>
  <si>
    <r>
      <t>(i)</t>
    </r>
    <r>
      <rPr>
        <sz val="7"/>
        <color rgb="FF002060"/>
        <rFont val="Times New Roman"/>
        <family val="1"/>
      </rPr>
      <t xml:space="preserve">              </t>
    </r>
    <r>
      <rPr>
        <sz val="12"/>
        <color rgb="FF002060"/>
        <rFont val="Times New Roman"/>
        <family val="1"/>
      </rPr>
      <t>Change in quarter-to-quarter averages</t>
    </r>
  </si>
  <si>
    <r>
      <t>(ii)</t>
    </r>
    <r>
      <rPr>
        <sz val="7"/>
        <color rgb="FF002060"/>
        <rFont val="Times New Roman"/>
        <family val="1"/>
      </rPr>
      <t xml:space="preserve">            </t>
    </r>
    <r>
      <rPr>
        <sz val="12"/>
        <color rgb="FF002060"/>
        <rFont val="Times New Roman"/>
        <family val="1"/>
      </rPr>
      <t>Change in rolling 4-quarter volume-weighted averages</t>
    </r>
  </si>
  <si>
    <t>Average On-Level Written Premiums</t>
  </si>
  <si>
    <t>Quarterly Change in Average Written Premiums</t>
  </si>
  <si>
    <t>Quarter Average</t>
  </si>
  <si>
    <t>Rolling 4-Quarter Volume-Weighted Average</t>
  </si>
  <si>
    <r>
      <t>(</t>
    </r>
    <r>
      <rPr>
        <i/>
        <sz val="12"/>
        <color rgb="FF002060"/>
        <rFont val="Times New Roman"/>
        <family val="1"/>
      </rPr>
      <t>1 point</t>
    </r>
    <r>
      <rPr>
        <sz val="12"/>
        <color rgb="FF002060"/>
        <rFont val="Times New Roman"/>
        <family val="1"/>
      </rPr>
      <t>)  Recommend the annual premium trend.  Justify your recommendation.</t>
    </r>
  </si>
  <si>
    <t>Average all quarters</t>
  </si>
  <si>
    <t>Average all quarters excl. high &amp; low</t>
  </si>
  <si>
    <t>Average latest 6 quarters</t>
  </si>
  <si>
    <t>Recommended quarterly:</t>
  </si>
  <si>
    <t>Annual:</t>
  </si>
  <si>
    <t>Use the rolling values as it smooths out the variability. Recommend average excluding high &amp; low.</t>
  </si>
  <si>
    <r>
      <t>·</t>
    </r>
    <r>
      <rPr>
        <sz val="7"/>
        <color rgb="FF002060"/>
        <rFont val="Times New Roman"/>
        <family val="1"/>
      </rPr>
      <t xml:space="preserve">       </t>
    </r>
    <r>
      <rPr>
        <sz val="12"/>
        <color rgb="FF002060"/>
        <rFont val="Times New Roman"/>
        <family val="1"/>
      </rPr>
      <t xml:space="preserve">First quarter 2022 on-level earned premiums are </t>
    </r>
  </si>
  <si>
    <t>for one year.</t>
  </si>
  <si>
    <r>
      <t>·</t>
    </r>
    <r>
      <rPr>
        <sz val="7"/>
        <color rgb="FF002060"/>
        <rFont val="Times New Roman"/>
        <family val="1"/>
      </rPr>
      <t xml:space="preserve">       </t>
    </r>
    <r>
      <rPr>
        <sz val="12"/>
        <color rgb="FF002060"/>
        <rFont val="Times New Roman"/>
        <family val="1"/>
      </rPr>
      <t>All policies are written for annual terms and are written and earned evenly throughout the year.</t>
    </r>
  </si>
  <si>
    <r>
      <t>(</t>
    </r>
    <r>
      <rPr>
        <i/>
        <sz val="12"/>
        <color rgb="FF002060"/>
        <rFont val="Times New Roman"/>
        <family val="1"/>
      </rPr>
      <t>1 point</t>
    </r>
    <r>
      <rPr>
        <sz val="12"/>
        <color rgb="FF002060"/>
        <rFont val="Times New Roman"/>
        <family val="1"/>
      </rPr>
      <t>)  Calculate the first quarter 2022 on-level earned premiums trended to the future rating period.</t>
    </r>
  </si>
  <si>
    <t>Average earned date in 2022-1:</t>
  </si>
  <si>
    <t>Average earned date in future rating period:</t>
  </si>
  <si>
    <t>Trend period (years):</t>
  </si>
  <si>
    <t>Trended on-level earned premiums:</t>
  </si>
  <si>
    <r>
      <t>(7</t>
    </r>
    <r>
      <rPr>
        <i/>
        <sz val="12"/>
        <color rgb="FF002060"/>
        <rFont val="Times New Roman"/>
        <family val="1"/>
      </rPr>
      <t xml:space="preserve"> points</t>
    </r>
    <r>
      <rPr>
        <sz val="12"/>
        <color rgb="FF002060"/>
        <rFont val="Times New Roman"/>
        <family val="1"/>
      </rPr>
      <t>)</t>
    </r>
  </si>
  <si>
    <r>
      <t>(</t>
    </r>
    <r>
      <rPr>
        <i/>
        <sz val="12"/>
        <color rgb="FF002060"/>
        <rFont val="Times New Roman"/>
        <family val="1"/>
      </rPr>
      <t>0.5 points</t>
    </r>
    <r>
      <rPr>
        <sz val="12"/>
        <color rgb="FF002060"/>
        <rFont val="Times New Roman"/>
        <family val="1"/>
      </rPr>
      <t>)  Provide two reasons an actuary may want to estimate ultimate ALAE separate from ultimate indemnity.</t>
    </r>
  </si>
  <si>
    <t>The relationship between ALAE and claims is changing over time</t>
  </si>
  <si>
    <t>A change in ALAE handling (e.g., change in legal billing)</t>
  </si>
  <si>
    <t>A change in payment/reporting pattern for indemnity</t>
  </si>
  <si>
    <t>Trends for indemnity and ALAE are different</t>
  </si>
  <si>
    <t>ALAE is material and credible</t>
  </si>
  <si>
    <t>The company wants to understand ALAE cost drivers separate from indemnity</t>
  </si>
  <si>
    <t>You are asked to project ultimate ALAE evaluated as of December 31, 2021 using the Cape Cod method.  You are given the following information:</t>
  </si>
  <si>
    <t>Reported ALAE as of Dec. 31, 2021</t>
  </si>
  <si>
    <t>Reported ALAE Cumulative Development Factors</t>
  </si>
  <si>
    <r>
      <t> </t>
    </r>
    <r>
      <rPr>
        <b/>
        <sz val="12"/>
        <color rgb="FF002060"/>
        <rFont val="Times New Roman"/>
        <family val="1"/>
      </rPr>
      <t>Total</t>
    </r>
  </si>
  <si>
    <r>
      <t>·</t>
    </r>
    <r>
      <rPr>
        <sz val="7"/>
        <color rgb="FF002060"/>
        <rFont val="Times New Roman"/>
        <family val="1"/>
      </rPr>
      <t xml:space="preserve">       </t>
    </r>
    <r>
      <rPr>
        <sz val="12"/>
        <color rgb="FF002060"/>
        <rFont val="Times New Roman"/>
        <family val="1"/>
      </rPr>
      <t xml:space="preserve">The annual frequency trend is </t>
    </r>
  </si>
  <si>
    <r>
      <t>·</t>
    </r>
    <r>
      <rPr>
        <sz val="7"/>
        <color rgb="FF002060"/>
        <rFont val="Times New Roman"/>
        <family val="1"/>
      </rPr>
      <t xml:space="preserve">       </t>
    </r>
    <r>
      <rPr>
        <sz val="12"/>
        <color rgb="FF002060"/>
        <rFont val="Times New Roman"/>
        <family val="1"/>
      </rPr>
      <t xml:space="preserve">The annual severity trend is </t>
    </r>
  </si>
  <si>
    <r>
      <t>·</t>
    </r>
    <r>
      <rPr>
        <sz val="7"/>
        <color rgb="FF002060"/>
        <rFont val="Times New Roman"/>
        <family val="1"/>
      </rPr>
      <t xml:space="preserve">       </t>
    </r>
    <r>
      <rPr>
        <sz val="12"/>
        <color rgb="FF002060"/>
        <rFont val="Times New Roman"/>
        <family val="1"/>
      </rPr>
      <t>Tort reform resulted in an estimated claim decrease of</t>
    </r>
  </si>
  <si>
    <t xml:space="preserve"> for all claims occurring on or after July 1, 2019.</t>
  </si>
  <si>
    <r>
      <t>(</t>
    </r>
    <r>
      <rPr>
        <i/>
        <sz val="12"/>
        <color rgb="FF002060"/>
        <rFont val="Times New Roman"/>
        <family val="1"/>
      </rPr>
      <t>2.5 points</t>
    </r>
    <r>
      <rPr>
        <sz val="12"/>
        <color rgb="FF002060"/>
        <rFont val="Times New Roman"/>
        <family val="1"/>
      </rPr>
      <t>)  Calculate the adjusted expected pure premium for ALAE (i.e., ALAE cost per exposure) by accident year and in total using the Cape Cod method.</t>
    </r>
  </si>
  <si>
    <t>Annual pure premium trend:</t>
  </si>
  <si>
    <t>Adjustment Factors</t>
  </si>
  <si>
    <t>Used-Up Earned Exposures</t>
  </si>
  <si>
    <t>Pure Premium Trend</t>
  </si>
  <si>
    <t>Adjusted Reported ALAE as of 12/31/21</t>
  </si>
  <si>
    <t>Adjusted Expected Pure Premium</t>
  </si>
  <si>
    <r>
      <t>(</t>
    </r>
    <r>
      <rPr>
        <i/>
        <sz val="12"/>
        <color rgb="FF002060"/>
        <rFont val="Times New Roman"/>
        <family val="1"/>
      </rPr>
      <t>0.5 points</t>
    </r>
    <r>
      <rPr>
        <sz val="12"/>
        <color rgb="FF002060"/>
        <rFont val="Times New Roman"/>
        <family val="1"/>
      </rPr>
      <t>)  Comment on whether or not the results from part (b) are consistent with the key assumption of the Cape Cod method.</t>
    </r>
  </si>
  <si>
    <t>The adjusted expected pure premium shows significant variation by accident year.</t>
  </si>
  <si>
    <t>This is not consistent with the underlying assumption of the Cape Cod method, which assumes relatively constant pure premium for all years in the experience period.</t>
  </si>
  <si>
    <r>
      <t>(</t>
    </r>
    <r>
      <rPr>
        <i/>
        <sz val="12"/>
        <color rgb="FF002060"/>
        <rFont val="Times New Roman"/>
        <family val="1"/>
      </rPr>
      <t>1.5 points</t>
    </r>
    <r>
      <rPr>
        <sz val="12"/>
        <color rgb="FF002060"/>
        <rFont val="Times New Roman"/>
        <family val="1"/>
      </rPr>
      <t>)  Calculate the projected ultimate ALAE by accident year using the Cape Cod method.</t>
    </r>
  </si>
  <si>
    <t>Expected ALAE</t>
  </si>
  <si>
    <t>Expected Unreported %</t>
  </si>
  <si>
    <t>Projected Ultimate ALAE</t>
  </si>
  <si>
    <r>
      <t>(</t>
    </r>
    <r>
      <rPr>
        <i/>
        <sz val="12"/>
        <color rgb="FF002060"/>
        <rFont val="Times New Roman"/>
        <family val="1"/>
      </rPr>
      <t>1</t>
    </r>
    <r>
      <rPr>
        <sz val="12"/>
        <color rgb="FF002060"/>
        <rFont val="Times New Roman"/>
        <family val="1"/>
      </rPr>
      <t xml:space="preserve"> </t>
    </r>
    <r>
      <rPr>
        <i/>
        <sz val="12"/>
        <color rgb="FF002060"/>
        <rFont val="Times New Roman"/>
        <family val="1"/>
      </rPr>
      <t>point</t>
    </r>
    <r>
      <rPr>
        <sz val="12"/>
        <color rgb="FF002060"/>
        <rFont val="Times New Roman"/>
        <family val="1"/>
      </rPr>
      <t>)  Compare actual ALAE as of December 31, 2021 to expected ALAE from the Cape Cod method.</t>
    </r>
  </si>
  <si>
    <t>Reported ALAE as of 12/31/21</t>
  </si>
  <si>
    <t>Test Actual vs. Expected</t>
  </si>
  <si>
    <t>Actual vs. Expected as a % of Actual</t>
  </si>
  <si>
    <r>
      <t>(</t>
    </r>
    <r>
      <rPr>
        <i/>
        <sz val="12"/>
        <color rgb="FF002060"/>
        <rFont val="Times New Roman"/>
        <family val="1"/>
      </rPr>
      <t>0.5 points</t>
    </r>
    <r>
      <rPr>
        <sz val="12"/>
        <color rgb="FF002060"/>
        <rFont val="Times New Roman"/>
        <family val="1"/>
      </rPr>
      <t>)  Assess the actual versus expected results from part (e).</t>
    </r>
  </si>
  <si>
    <t>The actual vs. expected appears reasonable overall, however, variation by accident year is significant.</t>
  </si>
  <si>
    <t>Need to investigate/research/analyze further (or, need to perform additional diagnostics).</t>
  </si>
  <si>
    <r>
      <t>(</t>
    </r>
    <r>
      <rPr>
        <i/>
        <sz val="12"/>
        <color rgb="FF002060"/>
        <rFont val="Times New Roman"/>
        <family val="1"/>
      </rPr>
      <t>0.5 points</t>
    </r>
    <r>
      <rPr>
        <sz val="12"/>
        <color rgb="FF002060"/>
        <rFont val="Times New Roman"/>
        <family val="1"/>
      </rPr>
      <t>)  Describe a scenario where an actuary would likely choose to apply the Generalized Cape Cod method over the Cape Cod method.</t>
    </r>
  </si>
  <si>
    <t>Any one of the following is acceptable:</t>
  </si>
  <si>
    <r>
      <t>·</t>
    </r>
    <r>
      <rPr>
        <sz val="7"/>
        <color theme="1"/>
        <rFont val="Times New Roman"/>
        <family val="1"/>
      </rPr>
      <t xml:space="preserve">       </t>
    </r>
    <r>
      <rPr>
        <sz val="12"/>
        <color theme="1"/>
        <rFont val="Times New Roman"/>
        <family val="1"/>
      </rPr>
      <t>Want to vary the expected claims (or pure premium) by year.  The Cape Cod method assumes constant expected claims (or pure premium) for all years in experience period.</t>
    </r>
  </si>
  <si>
    <r>
      <t>·</t>
    </r>
    <r>
      <rPr>
        <sz val="7"/>
        <color theme="1"/>
        <rFont val="Times New Roman"/>
        <family val="1"/>
      </rPr>
      <t xml:space="preserve">       </t>
    </r>
    <r>
      <rPr>
        <sz val="12"/>
        <color theme="1"/>
        <rFont val="Times New Roman"/>
        <family val="1"/>
      </rPr>
      <t>Want to blend development method (experience-based) and Cape Cod method into one method.  A decay of 1.0 is the Cape Cod method.  A decay of 0 is the development method.</t>
    </r>
  </si>
  <si>
    <t>You are given the following claims-made data for Nurses Professional Liability coverage from the claims department.</t>
  </si>
  <si>
    <t>Nurses - Professional Liability</t>
  </si>
  <si>
    <t>Incremental Paid Claims (000) During Calendar Year</t>
  </si>
  <si>
    <t> Report Year</t>
  </si>
  <si>
    <t>Case Estimates (000) at Evaluation Date</t>
  </si>
  <si>
    <t>Dec. 31, 2015</t>
  </si>
  <si>
    <t>Dec. 31, 2016</t>
  </si>
  <si>
    <t>Dec. 31, 2017</t>
  </si>
  <si>
    <t>Dec. 31, 2018</t>
  </si>
  <si>
    <t>Dec. 31, 2020</t>
  </si>
  <si>
    <t>Dec. 31, 2021</t>
  </si>
  <si>
    <r>
      <t>(</t>
    </r>
    <r>
      <rPr>
        <i/>
        <sz val="12"/>
        <color rgb="FF002060"/>
        <rFont val="Times New Roman"/>
        <family val="1"/>
      </rPr>
      <t>1 point</t>
    </r>
    <r>
      <rPr>
        <sz val="12"/>
        <color rgb="FF002060"/>
        <rFont val="Times New Roman"/>
        <family val="1"/>
      </rPr>
      <t>)  Construct a cumulative reported claim development triangle by report year.</t>
    </r>
  </si>
  <si>
    <t xml:space="preserve"> Reported Claims (000) = Cumulative Paid Claims + Case Estimates</t>
  </si>
  <si>
    <t>Left justify the  reported claims triangle by evaluation age:</t>
  </si>
  <si>
    <r>
      <t>(</t>
    </r>
    <r>
      <rPr>
        <i/>
        <sz val="12"/>
        <color rgb="FF002060"/>
        <rFont val="Times New Roman"/>
        <family val="1"/>
      </rPr>
      <t>0.5 points</t>
    </r>
    <r>
      <rPr>
        <sz val="12"/>
        <color rgb="FF002060"/>
        <rFont val="Times New Roman"/>
        <family val="1"/>
      </rPr>
      <t>)  Calculate the calendar year 2020 reported claims for the coverage above.</t>
    </r>
  </si>
  <si>
    <t>CY 2020 Reported Claims = CY 2020 (Paid Claims + Change in Case Reserves)</t>
  </si>
  <si>
    <t>=</t>
  </si>
  <si>
    <t>+</t>
  </si>
  <si>
    <t xml:space="preserve">You are subsequently informed that the following six claim transactions were not captured in the previous dataset.  </t>
  </si>
  <si>
    <t>Trans. #</t>
  </si>
  <si>
    <t>Transaction Description</t>
  </si>
  <si>
    <t>Report Date</t>
  </si>
  <si>
    <t>Change in Case Estimate (000)</t>
  </si>
  <si>
    <t>subrogation recovery</t>
  </si>
  <si>
    <t>payment on reported claim file</t>
  </si>
  <si>
    <t>open and close new claim file</t>
  </si>
  <si>
    <t>payment &amp; change in case estimate</t>
  </si>
  <si>
    <t>open new claim file</t>
  </si>
  <si>
    <t>payment on reported claim file with no change in case estimate</t>
  </si>
  <si>
    <r>
      <t>(</t>
    </r>
    <r>
      <rPr>
        <i/>
        <sz val="12"/>
        <color rgb="FF002060"/>
        <rFont val="Times New Roman"/>
        <family val="1"/>
      </rPr>
      <t>3 points</t>
    </r>
    <r>
      <rPr>
        <sz val="12"/>
        <color rgb="FF002060"/>
        <rFont val="Times New Roman"/>
        <family val="1"/>
      </rPr>
      <t>)  Update the reported claim development triangle from part (a) to include the missing claim transactions.</t>
    </r>
  </si>
  <si>
    <t>Triangle of missing information:</t>
  </si>
  <si>
    <t>transaction 4</t>
  </si>
  <si>
    <t>transaction 2 does not change reported triangle</t>
  </si>
  <si>
    <t>transaction 1</t>
  </si>
  <si>
    <t>transaction 3</t>
  </si>
  <si>
    <t>transaction 6</t>
  </si>
  <si>
    <t>transaction 5</t>
  </si>
  <si>
    <t>Corrected reported claims triangle:</t>
  </si>
  <si>
    <t>You are given the following carried IBNR reserves for the Nurses coverage above:</t>
  </si>
  <si>
    <t>IBNR Reserves (000)</t>
  </si>
  <si>
    <r>
      <t>(</t>
    </r>
    <r>
      <rPr>
        <i/>
        <sz val="12"/>
        <color rgb="FF002060"/>
        <rFont val="Times New Roman"/>
        <family val="1"/>
      </rPr>
      <t>0.5 points</t>
    </r>
    <r>
      <rPr>
        <sz val="12"/>
        <color rgb="FF002060"/>
        <rFont val="Times New Roman"/>
        <family val="1"/>
      </rPr>
      <t>)  Calculate the calendar year 2021 incurred claims.</t>
    </r>
  </si>
  <si>
    <t>CY 2021 Incurred Claims = CY 2021 (Reported Claims + Change in IBNR)</t>
  </si>
  <si>
    <t>HIJ Insurance writes both 6-month and 12-month policies for a line of business.  You are given the following:</t>
  </si>
  <si>
    <r>
      <t>·</t>
    </r>
    <r>
      <rPr>
        <sz val="7"/>
        <color rgb="FF002060"/>
        <rFont val="Times New Roman"/>
        <family val="1"/>
      </rPr>
      <t xml:space="preserve">       </t>
    </r>
    <r>
      <rPr>
        <sz val="12"/>
        <color rgb="FF002060"/>
        <rFont val="Times New Roman"/>
        <family val="1"/>
      </rPr>
      <t>On January 1, 2020, the following policies were in-force:</t>
    </r>
  </si>
  <si>
    <t xml:space="preserve">6-month policies with an average premium of </t>
  </si>
  <si>
    <t xml:space="preserve">12-month policies with an average premium of </t>
  </si>
  <si>
    <r>
      <t>·</t>
    </r>
    <r>
      <rPr>
        <sz val="7"/>
        <color rgb="FF002060"/>
        <rFont val="Times New Roman"/>
        <family val="1"/>
      </rPr>
      <t xml:space="preserve">       </t>
    </r>
    <r>
      <rPr>
        <sz val="12"/>
        <color rgb="FF002060"/>
        <rFont val="Times New Roman"/>
        <family val="1"/>
      </rPr>
      <t>There were no new policies written in 2020, but all in-force policies were renewed upon expiry.</t>
    </r>
  </si>
  <si>
    <r>
      <t>·</t>
    </r>
    <r>
      <rPr>
        <sz val="7"/>
        <color rgb="FF002060"/>
        <rFont val="Times New Roman"/>
        <family val="1"/>
      </rPr>
      <t xml:space="preserve">       </t>
    </r>
    <r>
      <rPr>
        <sz val="12"/>
        <color rgb="FF002060"/>
        <rFont val="Times New Roman"/>
        <family val="1"/>
      </rPr>
      <t xml:space="preserve">All premiums were increased by </t>
    </r>
  </si>
  <si>
    <t>for policies renewed on or after January 1, 2020.</t>
  </si>
  <si>
    <r>
      <t>·</t>
    </r>
    <r>
      <rPr>
        <sz val="7"/>
        <color rgb="FF002060"/>
        <rFont val="Times New Roman"/>
        <family val="1"/>
      </rPr>
      <t xml:space="preserve">       </t>
    </r>
    <r>
      <rPr>
        <sz val="12"/>
        <color rgb="FF002060"/>
        <rFont val="Times New Roman"/>
        <family val="1"/>
      </rPr>
      <t xml:space="preserve">Due to COVID-19, there was a </t>
    </r>
  </si>
  <si>
    <t xml:space="preserve">rate reduction effective for all new, renewal, and in-force </t>
  </si>
  <si>
    <t>policies on April 1, 2020.</t>
  </si>
  <si>
    <t>for policies written or renewed on or after July 1, 2021.</t>
  </si>
  <si>
    <r>
      <t>·</t>
    </r>
    <r>
      <rPr>
        <sz val="7"/>
        <color rgb="FF002060"/>
        <rFont val="Times New Roman"/>
        <family val="1"/>
      </rPr>
      <t xml:space="preserve">       </t>
    </r>
    <r>
      <rPr>
        <sz val="12"/>
        <color rgb="FF002060"/>
        <rFont val="Times New Roman"/>
        <family val="1"/>
      </rPr>
      <t>There have been no additional rate changes since July 1, 2021.</t>
    </r>
  </si>
  <si>
    <r>
      <t>·</t>
    </r>
    <r>
      <rPr>
        <sz val="7"/>
        <color rgb="FF002060"/>
        <rFont val="Times New Roman"/>
        <family val="1"/>
      </rPr>
      <t xml:space="preserve">       </t>
    </r>
    <r>
      <rPr>
        <sz val="12"/>
        <color rgb="FF002060"/>
        <rFont val="Times New Roman"/>
        <family val="1"/>
      </rPr>
      <t>It is assumed that the key assumptions of the parallelogram method are valid.</t>
    </r>
  </si>
  <si>
    <r>
      <t>(</t>
    </r>
    <r>
      <rPr>
        <i/>
        <sz val="12"/>
        <color rgb="FF002060"/>
        <rFont val="Times New Roman"/>
        <family val="1"/>
      </rPr>
      <t>1 point</t>
    </r>
    <r>
      <rPr>
        <sz val="12"/>
        <color rgb="FF002060"/>
        <rFont val="Times New Roman"/>
        <family val="1"/>
      </rPr>
      <t>)  State the two key assumptions of the parallelogram method.</t>
    </r>
  </si>
  <si>
    <t>Policies are written evenly over the experience period</t>
  </si>
  <si>
    <t>Exposures are earned evenly over the policy term</t>
  </si>
  <si>
    <r>
      <t>(</t>
    </r>
    <r>
      <rPr>
        <i/>
        <sz val="12"/>
        <color rgb="FF002060"/>
        <rFont val="Times New Roman"/>
        <family val="1"/>
      </rPr>
      <t>3.5 points</t>
    </r>
    <r>
      <rPr>
        <sz val="12"/>
        <color rgb="FF002060"/>
        <rFont val="Times New Roman"/>
        <family val="1"/>
      </rPr>
      <t>)  Calculate the calendar year 2020 on-level premium to be used for a ratemaking analysis.</t>
    </r>
  </si>
  <si>
    <t>6-month policies:</t>
  </si>
  <si>
    <t xml:space="preserve"> - in force premium on Jan 1, 2020:</t>
  </si>
  <si>
    <t xml:space="preserve"> - annualized premium:</t>
  </si>
  <si>
    <t xml:space="preserve">   B</t>
  </si>
  <si>
    <t xml:space="preserve">    5%</t>
  </si>
  <si>
    <t xml:space="preserve">    8%</t>
  </si>
  <si>
    <t>Section</t>
  </si>
  <si>
    <t>Percent Premium Earned in CY2020 at Rate Level</t>
  </si>
  <si>
    <t>Average rate level:</t>
  </si>
  <si>
    <t>On-level earned premium:</t>
  </si>
  <si>
    <t>12-month policies:</t>
  </si>
  <si>
    <t>Total CY2020 EP at current rate level for ratemaking:</t>
  </si>
  <si>
    <r>
      <t>(</t>
    </r>
    <r>
      <rPr>
        <i/>
        <sz val="12"/>
        <color rgb="FF002060"/>
        <rFont val="Times New Roman"/>
        <family val="1"/>
      </rPr>
      <t>0.5 points</t>
    </r>
    <r>
      <rPr>
        <sz val="12"/>
        <color rgb="FF002060"/>
        <rFont val="Times New Roman"/>
        <family val="1"/>
      </rPr>
      <t>)  Provide two examples of general insurance policies where exposures are not usually earned evenly throughout the policy term.</t>
    </r>
  </si>
  <si>
    <t xml:space="preserve"> - Policies covering seasonal risks</t>
  </si>
  <si>
    <t xml:space="preserve"> - Warranty</t>
  </si>
  <si>
    <t xml:space="preserve"> - Financial guarantee</t>
  </si>
  <si>
    <t xml:space="preserve"> - Property catastrophe and aggregate stop-loss reinsurance</t>
  </si>
  <si>
    <t xml:space="preserve"> - Retrospectively-rated policies</t>
  </si>
  <si>
    <t xml:space="preserve"> - Policies with reinstatement premium</t>
  </si>
  <si>
    <t>You are constructing claims data files for a ratemaking analysis.</t>
  </si>
  <si>
    <t>You are given the following claims data aggregated by accident year:</t>
  </si>
  <si>
    <t>It was subsequently discovered that a claim file was miscoded in the system as follows:</t>
  </si>
  <si>
    <t>Original</t>
  </si>
  <si>
    <t>Corrected</t>
  </si>
  <si>
    <t>Date</t>
  </si>
  <si>
    <t>Amount</t>
  </si>
  <si>
    <t>Accident Date</t>
  </si>
  <si>
    <t>Claim reported to company, case estimate established</t>
  </si>
  <si>
    <t>Claim Payment</t>
  </si>
  <si>
    <r>
      <t>(</t>
    </r>
    <r>
      <rPr>
        <i/>
        <sz val="12"/>
        <color rgb="FF002060"/>
        <rFont val="Times New Roman"/>
        <family val="1"/>
      </rPr>
      <t>2.5 points</t>
    </r>
    <r>
      <rPr>
        <sz val="12"/>
        <color rgb="FF002060"/>
        <rFont val="Times New Roman"/>
        <family val="1"/>
      </rPr>
      <t>)  Construct new data triangles with corrections for this claim file.</t>
    </r>
  </si>
  <si>
    <t>What was in the data:</t>
  </si>
  <si>
    <t>Cumulative paid claims</t>
  </si>
  <si>
    <t>Case estimate</t>
  </si>
  <si>
    <t>What should have been in the data:</t>
  </si>
  <si>
    <t>Revised Reported Claims</t>
  </si>
  <si>
    <t>Revised Reported Counts</t>
  </si>
  <si>
    <t>There is no change to paid claims and no change to closed counts.</t>
  </si>
  <si>
    <t>The calendar year 2022 changes for accident years 2016 and prior were:</t>
  </si>
  <si>
    <t>in paid claims</t>
  </si>
  <si>
    <t>in case estimates</t>
  </si>
  <si>
    <r>
      <t>(</t>
    </r>
    <r>
      <rPr>
        <i/>
        <sz val="12"/>
        <color rgb="FF002060"/>
        <rFont val="Times New Roman"/>
        <family val="1"/>
      </rPr>
      <t>1 point</t>
    </r>
    <r>
      <rPr>
        <sz val="12"/>
        <color rgb="FF002060"/>
        <rFont val="Times New Roman"/>
        <family val="1"/>
      </rPr>
      <t>)  Calculate calendar year 2022 reported claims, based on corrected data.</t>
    </r>
  </si>
  <si>
    <t>Change in reported for accident years 2016 and prior:</t>
  </si>
  <si>
    <t>Sum of latest diagonal:</t>
  </si>
  <si>
    <t>Sum of previous diagonal:</t>
  </si>
  <si>
    <t>CY 2022 reported claims:</t>
  </si>
  <si>
    <t>You are estimating ultimate claims as of December 31, 2022 for reserving purposes.</t>
  </si>
  <si>
    <t>You are given the following:</t>
  </si>
  <si>
    <t>Projected Ultimate Claims from Reported Development Method</t>
  </si>
  <si>
    <r>
      <t>(</t>
    </r>
    <r>
      <rPr>
        <i/>
        <sz val="12"/>
        <color rgb="FF002060"/>
        <rFont val="Times New Roman"/>
        <family val="1"/>
      </rPr>
      <t>2 points</t>
    </r>
    <r>
      <rPr>
        <sz val="12"/>
        <color rgb="FF002060"/>
        <rFont val="Times New Roman"/>
        <family val="1"/>
      </rPr>
      <t>)  Calculate projected ultimate claims for all accident years using the paid development method.</t>
    </r>
  </si>
  <si>
    <t>Paid Claims Age-to-age factors</t>
  </si>
  <si>
    <t>Simple 3</t>
  </si>
  <si>
    <t>Algebraic Method for Paid Claims Tail Factor:</t>
  </si>
  <si>
    <t>Simple All</t>
  </si>
  <si>
    <t>Vol Wtd 3</t>
  </si>
  <si>
    <t>Implied</t>
  </si>
  <si>
    <t>Vol Wtd 5</t>
  </si>
  <si>
    <t>to 84 months</t>
  </si>
  <si>
    <t>Tail Factor</t>
  </si>
  <si>
    <t>Vol Wtd All</t>
  </si>
  <si>
    <t>Selected:</t>
  </si>
  <si>
    <t>Age-to-Ult</t>
  </si>
  <si>
    <t>Recommend volume-weighted average of all years to address the variability.</t>
  </si>
  <si>
    <t>You are conducting an analysis of expenses for ratemaking purposes and are given the following:</t>
  </si>
  <si>
    <t>2023 Budget</t>
  </si>
  <si>
    <r>
      <t>·</t>
    </r>
    <r>
      <rPr>
        <sz val="7"/>
        <color rgb="FF002060"/>
        <rFont val="Times New Roman"/>
        <family val="1"/>
      </rPr>
      <t>       </t>
    </r>
    <r>
      <rPr>
        <sz val="12"/>
        <color rgb="FF002060"/>
        <rFont val="Times New Roman"/>
        <family val="1"/>
      </rPr>
      <t xml:space="preserve">Fixed expenses are </t>
    </r>
  </si>
  <si>
    <t xml:space="preserve"> of general expenses.</t>
  </si>
  <si>
    <r>
      <t>·</t>
    </r>
    <r>
      <rPr>
        <sz val="7"/>
        <color rgb="FF002060"/>
        <rFont val="Times New Roman"/>
        <family val="1"/>
      </rPr>
      <t xml:space="preserve">       </t>
    </r>
    <r>
      <rPr>
        <sz val="12"/>
        <color rgb="FF002060"/>
        <rFont val="Times New Roman"/>
        <family val="1"/>
      </rPr>
      <t>An unbudgeted system update will cost</t>
    </r>
  </si>
  <si>
    <t xml:space="preserve"> to implement in 2023, and the cost will be spread over four years.</t>
  </si>
  <si>
    <r>
      <t>(</t>
    </r>
    <r>
      <rPr>
        <i/>
        <sz val="12"/>
        <color rgb="FF002060"/>
        <rFont val="Times New Roman"/>
        <family val="1"/>
      </rPr>
      <t>2.5 points</t>
    </r>
    <r>
      <rPr>
        <sz val="12"/>
        <color rgb="FF002060"/>
        <rFont val="Times New Roman"/>
        <family val="1"/>
      </rPr>
      <t>)  Recommend the total variable expense ratio to use in ratemaking.  Justify your recommendation.</t>
    </r>
  </si>
  <si>
    <t>As a % of Earned Premiums</t>
  </si>
  <si>
    <t>Justification: There is a significant increase expected from budget, so give more consideration to the budget.</t>
  </si>
  <si>
    <t>Provision for new system:</t>
  </si>
  <si>
    <t xml:space="preserve"> (amortize over 4 years)</t>
  </si>
  <si>
    <t>You are trending earned premiums for ratemaking purposes and are given the following:</t>
  </si>
  <si>
    <t>Earned Exposures by Policy Limits</t>
  </si>
  <si>
    <t>Current Increased Limits Factors</t>
  </si>
  <si>
    <r>
      <t>(</t>
    </r>
    <r>
      <rPr>
        <i/>
        <sz val="12"/>
        <color rgb="FF002060"/>
        <rFont val="Times New Roman"/>
        <family val="1"/>
      </rPr>
      <t>2 points</t>
    </r>
    <r>
      <rPr>
        <sz val="12"/>
        <color rgb="FF002060"/>
        <rFont val="Times New Roman"/>
        <family val="1"/>
      </rPr>
      <t>)  Recommend the annual premium trend due to the shift in policy limits to use for ratemaking.  Justify your recommendation.</t>
    </r>
  </si>
  <si>
    <t>Annual Trend</t>
  </si>
  <si>
    <t>Experience</t>
  </si>
  <si>
    <t>Due to Shift</t>
  </si>
  <si>
    <t>ILF</t>
  </si>
  <si>
    <t>in ILF</t>
  </si>
  <si>
    <t>Average excluding high &amp; low:</t>
  </si>
  <si>
    <t>Recommended trend:</t>
  </si>
  <si>
    <t>Justification: average excluding high and low removes the outliers, especially 2022.</t>
  </si>
  <si>
    <t>Commnentary on Question:</t>
  </si>
  <si>
    <r>
      <t xml:space="preserve">The year-to-year change in </t>
    </r>
    <r>
      <rPr>
        <b/>
        <i/>
        <sz val="12"/>
        <rFont val="Times New Roman"/>
        <family val="1"/>
      </rPr>
      <t>average</t>
    </r>
    <r>
      <rPr>
        <i/>
        <sz val="12"/>
        <rFont val="Times New Roman"/>
        <family val="1"/>
      </rPr>
      <t xml:space="preserve"> increased limit factor (ILF) needs to be analyzed for the trend due to shift in policy limits.</t>
    </r>
  </si>
  <si>
    <t>It is incorrect to use the year-to-year change in exposures weighted by ILF factors.</t>
  </si>
  <si>
    <t>in Weighted</t>
  </si>
  <si>
    <r>
      <t>·</t>
    </r>
    <r>
      <rPr>
        <sz val="7"/>
        <color rgb="FF002060"/>
        <rFont val="Times New Roman"/>
        <family val="1"/>
      </rPr>
      <t xml:space="preserve">       </t>
    </r>
    <r>
      <rPr>
        <sz val="12"/>
        <color rgb="FF002060"/>
        <rFont val="Times New Roman"/>
        <family val="1"/>
      </rPr>
      <t>New rates are to be effective September 1, 2023 for one year.</t>
    </r>
  </si>
  <si>
    <r>
      <t>·</t>
    </r>
    <r>
      <rPr>
        <sz val="7"/>
        <color rgb="FF002060"/>
        <rFont val="Times New Roman"/>
        <family val="1"/>
      </rPr>
      <t xml:space="preserve">       </t>
    </r>
    <r>
      <rPr>
        <sz val="12"/>
        <color rgb="FF002060"/>
        <rFont val="Times New Roman"/>
        <family val="1"/>
      </rPr>
      <t>Premiums are written evenly throughout the year.</t>
    </r>
  </si>
  <si>
    <r>
      <t>·</t>
    </r>
    <r>
      <rPr>
        <sz val="7"/>
        <color rgb="FF002060"/>
        <rFont val="Times New Roman"/>
        <family val="1"/>
      </rPr>
      <t xml:space="preserve">       </t>
    </r>
    <r>
      <rPr>
        <sz val="12"/>
        <color rgb="FF002060"/>
        <rFont val="Times New Roman"/>
        <family val="1"/>
      </rPr>
      <t>Premiums are earned evenly throughout the policy term.</t>
    </r>
  </si>
  <si>
    <r>
      <t>·</t>
    </r>
    <r>
      <rPr>
        <sz val="7"/>
        <color rgb="FF002060"/>
        <rFont val="Times New Roman"/>
        <family val="1"/>
      </rPr>
      <t xml:space="preserve">       </t>
    </r>
    <r>
      <rPr>
        <sz val="12"/>
        <color rgb="FF002060"/>
        <rFont val="Times New Roman"/>
        <family val="1"/>
      </rPr>
      <t>Prior to January 1, 2020, all policies were written for 12-month terms.</t>
    </r>
  </si>
  <si>
    <r>
      <t>·</t>
    </r>
    <r>
      <rPr>
        <sz val="7"/>
        <color rgb="FF002060"/>
        <rFont val="Times New Roman"/>
        <family val="1"/>
      </rPr>
      <t xml:space="preserve">       </t>
    </r>
    <r>
      <rPr>
        <sz val="12"/>
        <color rgb="FF002060"/>
        <rFont val="Times New Roman"/>
        <family val="1"/>
      </rPr>
      <t xml:space="preserve">Since January 1, 2020, </t>
    </r>
  </si>
  <si>
    <t xml:space="preserve">of all policies have been written for 12-month terms and </t>
  </si>
  <si>
    <t xml:space="preserve"> of all policies have been written for 6-month terms.</t>
  </si>
  <si>
    <r>
      <t>·</t>
    </r>
    <r>
      <rPr>
        <sz val="7"/>
        <color rgb="FF002060"/>
        <rFont val="Times New Roman"/>
        <family val="1"/>
      </rPr>
      <t xml:space="preserve">       </t>
    </r>
    <r>
      <rPr>
        <sz val="12"/>
        <color rgb="FF002060"/>
        <rFont val="Times New Roman"/>
        <family val="1"/>
      </rPr>
      <t>The annual trend due to a shift in deductibles is</t>
    </r>
  </si>
  <si>
    <r>
      <t>·</t>
    </r>
    <r>
      <rPr>
        <sz val="7"/>
        <color rgb="FF002060"/>
        <rFont val="Times New Roman"/>
        <family val="1"/>
      </rPr>
      <t xml:space="preserve">       </t>
    </r>
    <r>
      <rPr>
        <sz val="12"/>
        <color rgb="FF002060"/>
        <rFont val="Times New Roman"/>
        <family val="1"/>
      </rPr>
      <t xml:space="preserve">The annual claim frequency trend is </t>
    </r>
  </si>
  <si>
    <r>
      <t>·</t>
    </r>
    <r>
      <rPr>
        <sz val="7"/>
        <color rgb="FF002060"/>
        <rFont val="Times New Roman"/>
        <family val="1"/>
      </rPr>
      <t xml:space="preserve">       </t>
    </r>
    <r>
      <rPr>
        <sz val="12"/>
        <color rgb="FF002060"/>
        <rFont val="Times New Roman"/>
        <family val="1"/>
      </rPr>
      <t xml:space="preserve">The ratio of ULAE to claims is </t>
    </r>
  </si>
  <si>
    <r>
      <t>·</t>
    </r>
    <r>
      <rPr>
        <sz val="7"/>
        <color rgb="FF002060"/>
        <rFont val="Times New Roman"/>
        <family val="1"/>
      </rPr>
      <t xml:space="preserve">       </t>
    </r>
    <r>
      <rPr>
        <sz val="12"/>
        <color rgb="FF002060"/>
        <rFont val="Times New Roman"/>
        <family val="1"/>
      </rPr>
      <t>The ratio of fixed expenses to premiums at current rates is</t>
    </r>
  </si>
  <si>
    <r>
      <t>·</t>
    </r>
    <r>
      <rPr>
        <sz val="7"/>
        <color rgb="FF002060"/>
        <rFont val="Times New Roman"/>
        <family val="1"/>
      </rPr>
      <t xml:space="preserve">       </t>
    </r>
    <r>
      <rPr>
        <sz val="12"/>
        <color rgb="FF002060"/>
        <rFont val="Times New Roman"/>
        <family val="1"/>
      </rPr>
      <t>The ratio of variable expenses to premiums is</t>
    </r>
  </si>
  <si>
    <r>
      <t>·</t>
    </r>
    <r>
      <rPr>
        <sz val="7"/>
        <color rgb="FF002060"/>
        <rFont val="Times New Roman"/>
        <family val="1"/>
      </rPr>
      <t xml:space="preserve">       </t>
    </r>
    <r>
      <rPr>
        <sz val="12"/>
        <color rgb="FF002060"/>
        <rFont val="Times New Roman"/>
        <family val="1"/>
      </rPr>
      <t>The ratio of profit and contingencies to premiums is</t>
    </r>
  </si>
  <si>
    <t>Premium On-Level Factors</t>
  </si>
  <si>
    <r>
      <t>(</t>
    </r>
    <r>
      <rPr>
        <i/>
        <sz val="12"/>
        <color rgb="FF002060"/>
        <rFont val="Times New Roman"/>
        <family val="1"/>
      </rPr>
      <t>4 points</t>
    </r>
    <r>
      <rPr>
        <sz val="12"/>
        <color rgb="FF002060"/>
        <rFont val="Times New Roman"/>
        <family val="1"/>
      </rPr>
      <t>)  Calculate the indicated rate level change for this line of business using a claims ratio approach.  Justify any selection(s).</t>
    </r>
  </si>
  <si>
    <t>Average earned premium dates in 2022:</t>
  </si>
  <si>
    <t>Average earned premium dates in future rating period:</t>
  </si>
  <si>
    <t># of months trending period:</t>
  </si>
  <si>
    <t xml:space="preserve">   for 12-month policies</t>
  </si>
  <si>
    <t xml:space="preserve">   for 6-month policies</t>
  </si>
  <si>
    <t>Annual premium trend:</t>
  </si>
  <si>
    <t>Premium Trend Factors</t>
  </si>
  <si>
    <t>Earned Premiums Trended at Current Rates</t>
  </si>
  <si>
    <t>Claim Trend Factors</t>
  </si>
  <si>
    <t>Average latest 3 years:</t>
  </si>
  <si>
    <t>Justification for selected claim ratio: Increasing in most recent years, so give more weight to more recent 3 years.</t>
  </si>
  <si>
    <r>
      <t>(</t>
    </r>
    <r>
      <rPr>
        <i/>
        <sz val="12"/>
        <color rgb="FF002060"/>
        <rFont val="Times New Roman"/>
        <family val="1"/>
      </rPr>
      <t>0.5 points</t>
    </r>
    <r>
      <rPr>
        <sz val="12"/>
        <color rgb="FF002060"/>
        <rFont val="Times New Roman"/>
        <family val="1"/>
      </rPr>
      <t>)  Describe one reason why an indicated rate change using a pure premium approach may not result in the same result as part (b).</t>
    </r>
  </si>
  <si>
    <t>The premium on-level factors are an approximation used to restate historical earned premiums as if they were at the current rate level for the forecast period.</t>
  </si>
  <si>
    <t xml:space="preserve">Your colleague calculated the indicated rate change for this line of business to be </t>
  </si>
  <si>
    <t xml:space="preserve">The company’s management decided to increase rates by </t>
  </si>
  <si>
    <r>
      <t>(</t>
    </r>
    <r>
      <rPr>
        <i/>
        <sz val="12"/>
        <color rgb="FF002060"/>
        <rFont val="Times New Roman"/>
        <family val="1"/>
      </rPr>
      <t>1 point</t>
    </r>
    <r>
      <rPr>
        <sz val="12"/>
        <color rgb="FF002060"/>
        <rFont val="Times New Roman"/>
        <family val="1"/>
      </rPr>
      <t>)  Calculate the profit and contingencies to premium ratio implied by a 3% rate increase using your colleague’s indicated rate change.</t>
    </r>
  </si>
  <si>
    <t>Claim ratio implied by the 6% rate indication:</t>
  </si>
  <si>
    <t>Profit margin implied by a 3% rate change:</t>
  </si>
  <si>
    <r>
      <t>(</t>
    </r>
    <r>
      <rPr>
        <i/>
        <sz val="12"/>
        <color rgb="FF002060"/>
        <rFont val="Times New Roman"/>
        <family val="1"/>
      </rPr>
      <t>0.5 points</t>
    </r>
    <r>
      <rPr>
        <sz val="12"/>
        <color rgb="FF002060"/>
        <rFont val="Times New Roman"/>
        <family val="1"/>
      </rPr>
      <t>)  State two actions the company can take that could help achieve the target profit, given the 3% rate increase.</t>
    </r>
  </si>
  <si>
    <t xml:space="preserve"> - decrease expenses</t>
  </si>
  <si>
    <t xml:space="preserve"> - decrease claims (e.g., changing mix of business, better risk selection)</t>
  </si>
  <si>
    <t>You are estimating ultimate claims as of December 31, 2022 using the Cape Cod method.</t>
  </si>
  <si>
    <r>
      <t>(</t>
    </r>
    <r>
      <rPr>
        <i/>
        <sz val="12"/>
        <color rgb="FF002060"/>
        <rFont val="Times New Roman"/>
        <family val="1"/>
      </rPr>
      <t>0.5 points</t>
    </r>
    <r>
      <rPr>
        <sz val="12"/>
        <color rgb="FF002060"/>
        <rFont val="Times New Roman"/>
        <family val="1"/>
      </rPr>
      <t>)  Describe why the Cape Cod method may not be appropriate for coverages such as property or automobile collision.</t>
    </r>
  </si>
  <si>
    <t>The development factor may be less than 1, which will result in used-up exposures that are greater than the original exposures.</t>
  </si>
  <si>
    <t>You are given the following for a liability line of business:</t>
  </si>
  <si>
    <t>Paid Cumulative Development Factors</t>
  </si>
  <si>
    <r>
      <t>·</t>
    </r>
    <r>
      <rPr>
        <sz val="7"/>
        <color rgb="FF002060"/>
        <rFont val="Times New Roman"/>
        <family val="1"/>
      </rPr>
      <t xml:space="preserve">       </t>
    </r>
    <r>
      <rPr>
        <sz val="12"/>
        <color rgb="FF002060"/>
        <rFont val="Times New Roman"/>
        <family val="1"/>
      </rPr>
      <t xml:space="preserve">The annual claim trend is </t>
    </r>
  </si>
  <si>
    <r>
      <t>·</t>
    </r>
    <r>
      <rPr>
        <sz val="7"/>
        <color rgb="FF002060"/>
        <rFont val="Times New Roman"/>
        <family val="1"/>
      </rPr>
      <t xml:space="preserve">       </t>
    </r>
    <r>
      <rPr>
        <sz val="12"/>
        <color rgb="FF002060"/>
        <rFont val="Times New Roman"/>
        <family val="1"/>
      </rPr>
      <t xml:space="preserve">Tort reform reduced claim costs by </t>
    </r>
  </si>
  <si>
    <r>
      <t xml:space="preserve"> </t>
    </r>
    <r>
      <rPr>
        <sz val="12"/>
        <color rgb="FF002060"/>
        <rFont val="Times New Roman"/>
        <family val="1"/>
      </rPr>
      <t>for all accidents occurring on or after</t>
    </r>
  </si>
  <si>
    <r>
      <t>(</t>
    </r>
    <r>
      <rPr>
        <i/>
        <sz val="12"/>
        <color rgb="FF002060"/>
        <rFont val="Times New Roman"/>
        <family val="1"/>
      </rPr>
      <t>3.5 points</t>
    </r>
    <r>
      <rPr>
        <sz val="12"/>
        <color rgb="FF002060"/>
        <rFont val="Times New Roman"/>
        <family val="1"/>
      </rPr>
      <t>)  Calculate projected ultimate claims using the Cape Cod method applied to paid claims.</t>
    </r>
  </si>
  <si>
    <t>Used-Up On-Level Earned Premiums</t>
  </si>
  <si>
    <t>Tort Reform Factors</t>
  </si>
  <si>
    <r>
      <t xml:space="preserve">Projected ultimate claims using the Cape Cod method applied to </t>
    </r>
    <r>
      <rPr>
        <b/>
        <i/>
        <sz val="12"/>
        <color rgb="FF002060"/>
        <rFont val="Times New Roman"/>
        <family val="1"/>
      </rPr>
      <t>reported</t>
    </r>
    <r>
      <rPr>
        <sz val="12"/>
        <color rgb="FF002060"/>
        <rFont val="Times New Roman"/>
        <family val="1"/>
      </rPr>
      <t xml:space="preserve"> claims are significantly less than those calculated in part (b).</t>
    </r>
  </si>
  <si>
    <r>
      <t>(</t>
    </r>
    <r>
      <rPr>
        <i/>
        <sz val="12"/>
        <color rgb="FF002060"/>
        <rFont val="Times New Roman"/>
        <family val="1"/>
      </rPr>
      <t>1 point</t>
    </r>
    <r>
      <rPr>
        <sz val="12"/>
        <color rgb="FF002060"/>
        <rFont val="Times New Roman"/>
        <family val="1"/>
      </rPr>
      <t>)  Describe two situations that could result in such a difference in Cape Cod projections.</t>
    </r>
  </si>
  <si>
    <t xml:space="preserve"> - Decrease in the adequacy of case reserves in the latest diagonal</t>
  </si>
  <si>
    <t xml:space="preserve"> - Change in the settlement rates resulting in higher paid claims than in past</t>
  </si>
  <si>
    <t xml:space="preserve"> - Unusual payment of large claims where the case is low</t>
  </si>
  <si>
    <t xml:space="preserve"> - Change in environment (internal or external) that is reflected in case estimates but not yet seen in paid claims that lag the reporting of claims</t>
  </si>
  <si>
    <t>You are estimating an earthquake catastrophe loading to use in a ratemaking analysis that was determined from a catastrophe model.  You are given the following:</t>
  </si>
  <si>
    <t>Modeled expected earthquake claims</t>
  </si>
  <si>
    <t>Date of modeled expected claims cost level</t>
  </si>
  <si>
    <t>Date of in-force exposures reflected in catastrophe model</t>
  </si>
  <si>
    <t>Calendar year 2022 trended earned premium at current rate level</t>
  </si>
  <si>
    <t>Annual exposure trend</t>
  </si>
  <si>
    <t>Annual claim severity trend</t>
  </si>
  <si>
    <t>Effective date of new rates</t>
  </si>
  <si>
    <t>All policies are written for 12-month terms and new rates will be in effect for one year.</t>
  </si>
  <si>
    <r>
      <t>(</t>
    </r>
    <r>
      <rPr>
        <i/>
        <sz val="12"/>
        <color rgb="FF002060"/>
        <rFont val="Times New Roman"/>
        <family val="1"/>
      </rPr>
      <t>1 point</t>
    </r>
    <r>
      <rPr>
        <sz val="12"/>
        <color rgb="FF002060"/>
        <rFont val="Times New Roman"/>
        <family val="1"/>
      </rPr>
      <t>)  Explain why two trend adjustments must be made to the modeled expected earthquake claims to calculate the catastrophe loading for ratemaking.</t>
    </r>
  </si>
  <si>
    <t>Past adjustment: modeled catastrophe claims must be trended from February 1, 2022 to July 1, 2022 for exposure trend to reflect in-force exposures as of July 1, 2022</t>
  </si>
  <si>
    <t>Future adjustment: modeled catastrophe claims must be trended from July 1, 2022 to mid-point of future rating period for severity trend to reflect the cost level in the future rating period</t>
  </si>
  <si>
    <r>
      <t>(</t>
    </r>
    <r>
      <rPr>
        <i/>
        <sz val="12"/>
        <color rgb="FF002060"/>
        <rFont val="Times New Roman"/>
        <family val="1"/>
      </rPr>
      <t>2 points</t>
    </r>
    <r>
      <rPr>
        <sz val="12"/>
        <color rgb="FF002060"/>
        <rFont val="Times New Roman"/>
        <family val="1"/>
      </rPr>
      <t>)  Calculate the catastrophe loading to be used for ratemaking, as a claim ratio.</t>
    </r>
  </si>
  <si>
    <t>Midpoint of future rating period:</t>
  </si>
  <si>
    <t>Exposure trend period (months): February 1, 2022 to July 1, 2022</t>
  </si>
  <si>
    <t>Severity trend period (months): July 1, 2022 to October 1, 2024</t>
  </si>
  <si>
    <t xml:space="preserve">Severity trend </t>
  </si>
  <si>
    <t>Trended modeled catastrophe claims</t>
  </si>
  <si>
    <t>Catastrophe loading, as a claim ratio</t>
  </si>
  <si>
    <r>
      <t>(</t>
    </r>
    <r>
      <rPr>
        <i/>
        <sz val="12"/>
        <color rgb="FF002060"/>
        <rFont val="Times New Roman"/>
        <family val="1"/>
      </rPr>
      <t>0.5 points</t>
    </r>
    <r>
      <rPr>
        <sz val="12"/>
        <color rgb="FF002060"/>
        <rFont val="Times New Roman"/>
        <family val="1"/>
      </rPr>
      <t>)  Describe an additional step or approach that would increase your confidence in the estimate of expected earthquake claims.</t>
    </r>
  </si>
  <si>
    <t>Running alternative catastrophe models would increase confidence in the estimate of expected earthquake claims.</t>
  </si>
  <si>
    <t>Claims following a catastrophe are often subject to demand surge.</t>
  </si>
  <si>
    <r>
      <t>(</t>
    </r>
    <r>
      <rPr>
        <i/>
        <sz val="12"/>
        <color rgb="FF002060"/>
        <rFont val="Times New Roman"/>
        <family val="1"/>
      </rPr>
      <t>0.5 points</t>
    </r>
    <r>
      <rPr>
        <sz val="12"/>
        <color rgb="FF002060"/>
        <rFont val="Times New Roman"/>
        <family val="1"/>
      </rPr>
      <t>)  Describe how you would consider the effect of a demand surge in the calculation of the catastrophe loading for ratemaking.</t>
    </r>
  </si>
  <si>
    <t>Demand surge can result in a trend rate that is higher post-catastrophe than pre-catastrophe.</t>
  </si>
  <si>
    <t>Therefore, could recognize a demand surge by selecting a higher post event claim severity trend rate.</t>
  </si>
  <si>
    <t>You are estimating unpaid ULAE as of December 31, 2022 for a line of business that has experienced significant inflation over the past five years.  You are given the following:</t>
  </si>
  <si>
    <t>Estimated Ultimate Claims</t>
  </si>
  <si>
    <t>Maturity Age in months</t>
  </si>
  <si>
    <t>Reported Age-to-Ultimate Development Factors</t>
  </si>
  <si>
    <t>?</t>
  </si>
  <si>
    <r>
      <t>(</t>
    </r>
    <r>
      <rPr>
        <i/>
        <sz val="12"/>
        <color rgb="FF002060"/>
        <rFont val="Times New Roman"/>
        <family val="1"/>
      </rPr>
      <t>1 point</t>
    </r>
    <r>
      <rPr>
        <sz val="12"/>
        <color rgb="FF002060"/>
        <rFont val="Times New Roman"/>
        <family val="1"/>
      </rPr>
      <t>)  Explain why the classical paid-to-paid method may not be appropriate for estimating unpaid ULAE in this case.</t>
    </r>
  </si>
  <si>
    <t xml:space="preserve">The significant inflation in this case will cause a relatively higher increase in the calendar paid ULAE than the calendar paid claims, since inflation can more quickly affect the underlying costs of ULAE, </t>
  </si>
  <si>
    <t>including the salaries of claims adjusters, rent, and utilities.  This will overstate the paid ULAE to paid claims ratio, thus overestimating the unpaid ULAE.</t>
  </si>
  <si>
    <r>
      <t>(</t>
    </r>
    <r>
      <rPr>
        <i/>
        <sz val="12"/>
        <color rgb="FF002060"/>
        <rFont val="Times New Roman"/>
        <family val="1"/>
      </rPr>
      <t>2.5 points</t>
    </r>
    <r>
      <rPr>
        <sz val="12"/>
        <color rgb="FF002060"/>
        <rFont val="Times New Roman"/>
        <family val="1"/>
      </rPr>
      <t xml:space="preserve">)  Calculate the ULAE ratio for each year using the Mango and Allen smoothing adjustment based on paid </t>
    </r>
    <r>
      <rPr>
        <u/>
        <sz val="12"/>
        <color rgb="FF002060"/>
        <rFont val="Times New Roman"/>
        <family val="1"/>
      </rPr>
      <t>and</t>
    </r>
    <r>
      <rPr>
        <sz val="12"/>
        <color rgb="FF002060"/>
        <rFont val="Times New Roman"/>
        <family val="1"/>
      </rPr>
      <t xml:space="preserve"> reported claim data.</t>
    </r>
  </si>
  <si>
    <t>It is recommended to solve this part of the question by displaying the details of the how the expected reported claims for CY 2021 &amp; 2022 are determined to ensure that no report years are excluded.</t>
  </si>
  <si>
    <t>First need to calculate the CY2021 &amp; CY2022 expected reported claims:</t>
  </si>
  <si>
    <t>Maturity Age in months</t>
    <phoneticPr fontId="3" type="noConversion"/>
  </si>
  <si>
    <t>Reported CDF</t>
    <phoneticPr fontId="3" type="noConversion"/>
  </si>
  <si>
    <t xml:space="preserve"> % Cumulative Reported</t>
  </si>
  <si>
    <t xml:space="preserve"> % Incremental Reported</t>
  </si>
  <si>
    <t>Expected reported in Calendar Years</t>
    <phoneticPr fontId="3" type="noConversion"/>
  </si>
  <si>
    <t>Report Year</t>
    <phoneticPr fontId="3" type="noConversion"/>
  </si>
  <si>
    <t>Selected Ultimate Claims</t>
    <phoneticPr fontId="3" type="noConversion"/>
  </si>
  <si>
    <t>Ratio of Paid ULAE to</t>
  </si>
  <si>
    <t>Average of Paid</t>
  </si>
  <si>
    <t>and Reported Claims</t>
  </si>
  <si>
    <r>
      <t>(</t>
    </r>
    <r>
      <rPr>
        <i/>
        <sz val="12"/>
        <color rgb="FF002060"/>
        <rFont val="Times New Roman"/>
        <family val="1"/>
      </rPr>
      <t>0.5 points</t>
    </r>
    <r>
      <rPr>
        <sz val="12"/>
        <color rgb="FF002060"/>
        <rFont val="Times New Roman"/>
        <family val="1"/>
      </rPr>
      <t>)  Recommend a ULAE ratio to use for this line of business.  Justify your recommendation.</t>
    </r>
  </si>
  <si>
    <t>Justification: using the average of the latest 3 years to reflect the increasing trend and remove the 2019 low outlier value.</t>
  </si>
  <si>
    <t>You are provided with the following additional information:</t>
  </si>
  <si>
    <r>
      <t>·</t>
    </r>
    <r>
      <rPr>
        <sz val="7"/>
        <color rgb="FF002060"/>
        <rFont val="Times New Roman"/>
        <family val="1"/>
      </rPr>
      <t xml:space="preserve">       </t>
    </r>
  </si>
  <si>
    <t xml:space="preserve"> of ULAE is associated with opening a claim file and </t>
  </si>
  <si>
    <t xml:space="preserve"> relates to maintaining and closing a claim file</t>
  </si>
  <si>
    <r>
      <t>·</t>
    </r>
    <r>
      <rPr>
        <sz val="7"/>
        <color rgb="FF002060"/>
        <rFont val="Times New Roman"/>
        <family val="1"/>
      </rPr>
      <t xml:space="preserve">       </t>
    </r>
    <r>
      <rPr>
        <sz val="12"/>
        <color rgb="FF002060"/>
        <rFont val="Times New Roman"/>
        <family val="1"/>
      </rPr>
      <t>IBNR is</t>
    </r>
  </si>
  <si>
    <r>
      <t>·</t>
    </r>
    <r>
      <rPr>
        <sz val="7"/>
        <color rgb="FF002060"/>
        <rFont val="Times New Roman"/>
        <family val="1"/>
      </rPr>
      <t xml:space="preserve">       </t>
    </r>
    <r>
      <rPr>
        <sz val="12"/>
        <color rgb="FF002060"/>
        <rFont val="Times New Roman"/>
        <family val="1"/>
      </rPr>
      <t>Case estimate is</t>
    </r>
  </si>
  <si>
    <r>
      <t>(</t>
    </r>
    <r>
      <rPr>
        <i/>
        <sz val="12"/>
        <color rgb="FF002060"/>
        <rFont val="Times New Roman"/>
        <family val="1"/>
      </rPr>
      <t>1 point</t>
    </r>
    <r>
      <rPr>
        <sz val="12"/>
        <color rgb="FF002060"/>
        <rFont val="Times New Roman"/>
        <family val="1"/>
      </rPr>
      <t>)  Calculate unpaid ULAE as of December 31, 2022 using the recommended ratio from part (c).</t>
    </r>
  </si>
  <si>
    <t>You are estimating ultimate claims for a line of business as of December 31, 2022 and are given the following:</t>
  </si>
  <si>
    <r>
      <t>·</t>
    </r>
    <r>
      <rPr>
        <sz val="7"/>
        <color rgb="FF002060"/>
        <rFont val="Times New Roman"/>
        <family val="1"/>
      </rPr>
      <t xml:space="preserve">       </t>
    </r>
    <r>
      <rPr>
        <sz val="12"/>
        <color rgb="FF002060"/>
        <rFont val="Times New Roman"/>
        <family val="1"/>
      </rPr>
      <t>Ultimate counts were based on the development method.</t>
    </r>
  </si>
  <si>
    <t>The claims department manager has advised you that there is currently a delay in claims processing.</t>
  </si>
  <si>
    <r>
      <t>(</t>
    </r>
    <r>
      <rPr>
        <i/>
        <sz val="12"/>
        <color rgb="FF002060"/>
        <rFont val="Times New Roman"/>
        <family val="1"/>
      </rPr>
      <t>0.5 points</t>
    </r>
    <r>
      <rPr>
        <sz val="12"/>
        <color rgb="FF002060"/>
        <rFont val="Times New Roman"/>
        <family val="1"/>
      </rPr>
      <t>)  Identify two possible reasons for a delay in claims processing.</t>
    </r>
  </si>
  <si>
    <t xml:space="preserve">  - a recent change in the claims processing system</t>
  </si>
  <si>
    <t xml:space="preserve">  - an increase in volume that creates a backlog of processing</t>
  </si>
  <si>
    <t xml:space="preserve">  - a change in claims personnel</t>
  </si>
  <si>
    <r>
      <t>(</t>
    </r>
    <r>
      <rPr>
        <i/>
        <sz val="12"/>
        <color rgb="FF002060"/>
        <rFont val="Times New Roman"/>
        <family val="1"/>
      </rPr>
      <t>1 point</t>
    </r>
    <r>
      <rPr>
        <sz val="12"/>
        <color rgb="FF002060"/>
        <rFont val="Times New Roman"/>
        <family val="1"/>
      </rPr>
      <t>)  Calculate the disposal ratio triangle for this line of business.</t>
    </r>
  </si>
  <si>
    <t>Disposal Ratios (closed counts / ultimate counts)</t>
  </si>
  <si>
    <r>
      <t>(</t>
    </r>
    <r>
      <rPr>
        <i/>
        <sz val="12"/>
        <color rgb="FF002060"/>
        <rFont val="Times New Roman"/>
        <family val="1"/>
      </rPr>
      <t>0.5 points</t>
    </r>
    <r>
      <rPr>
        <sz val="12"/>
        <color rgb="FF002060"/>
        <rFont val="Times New Roman"/>
        <family val="1"/>
      </rPr>
      <t>)  Interpret the results from part (b).</t>
    </r>
  </si>
  <si>
    <t>Change in disposal ratios</t>
  </si>
  <si>
    <t>The ratios down the column should show noticeable decrease if there is a slowing in settlement patterns.</t>
  </si>
  <si>
    <t>There appears to be a noticeable decrease in the most recent diagonal.</t>
  </si>
  <si>
    <t>You have decided to use a Berquist-Sherman approach to adjust for changing settlement rates.  The average paid claim varies only by accident year trend.  You are given the following:</t>
  </si>
  <si>
    <t>Average Paid Claim for Calendar Year 2022</t>
  </si>
  <si>
    <r>
      <t>(</t>
    </r>
    <r>
      <rPr>
        <i/>
        <sz val="12"/>
        <color rgb="FF002060"/>
        <rFont val="Times New Roman"/>
        <family val="1"/>
      </rPr>
      <t>2 points</t>
    </r>
    <r>
      <rPr>
        <sz val="12"/>
        <color rgb="FF002060"/>
        <rFont val="Times New Roman"/>
        <family val="1"/>
      </rPr>
      <t>)  Calculate the adjusted paid claims triangle.</t>
    </r>
  </si>
  <si>
    <t>Selected disposal ratios:</t>
  </si>
  <si>
    <t>Average Claim Cost</t>
  </si>
  <si>
    <t>Adjusted Paid Claims = Adjusted Closed Counts × Average Claim Cost</t>
  </si>
  <si>
    <t>You are estimating ultimate claims for a medium-tailed line of business evaluated as of December 31, 2022. Your reserving software produces the following preliminary estimates based on a simple application of the development method:</t>
  </si>
  <si>
    <t>The annual claim severity trend for this line of business is</t>
  </si>
  <si>
    <t>As part of your claims analysis, you are conducting various investigative tests for evaluating potential changes in case reserve adequacy and/or claim settlement patterns.</t>
  </si>
  <si>
    <r>
      <t>(</t>
    </r>
    <r>
      <rPr>
        <i/>
        <sz val="12"/>
        <color rgb="FF002060"/>
        <rFont val="Times New Roman"/>
        <family val="1"/>
      </rPr>
      <t>2.5 points</t>
    </r>
    <r>
      <rPr>
        <sz val="12"/>
        <color rgb="FF002060"/>
        <rFont val="Times New Roman"/>
        <family val="1"/>
      </rPr>
      <t>)  Analyze this data for evidence of a change in case reserve adequacy, using two different investigative tests.  Justify your conclusion.</t>
    </r>
  </si>
  <si>
    <t>Change in average case estimates:</t>
  </si>
  <si>
    <t>Average Case Estimates = Case Estimates / Open Counts</t>
  </si>
  <si>
    <t>Change in average reported claims:</t>
  </si>
  <si>
    <t>Change in average reported:</t>
  </si>
  <si>
    <t>Based on the significant increase in the most recent diagonal of both triangles, there is an indication of a strengthening of case estimates.</t>
  </si>
  <si>
    <t>Your colleague reviewed the triangle of reported claim ratios for this line of business.  The most recent diagonal showed a significant increase and your colleague concluded that this is clear evidence of an increase in case outstanding adequacy.</t>
  </si>
  <si>
    <r>
      <t>(</t>
    </r>
    <r>
      <rPr>
        <i/>
        <sz val="12"/>
        <color rgb="FF002060"/>
        <rFont val="Times New Roman"/>
        <family val="1"/>
      </rPr>
      <t>0.5 points</t>
    </r>
    <r>
      <rPr>
        <sz val="12"/>
        <color rgb="FF002060"/>
        <rFont val="Times New Roman"/>
        <family val="1"/>
      </rPr>
      <t>)  Critique your colleague’s conclusion.</t>
    </r>
  </si>
  <si>
    <t>The case strengthening could cause the most recent diagonal to increase, but a deterioration in claims experience could also cause the increase.</t>
  </si>
  <si>
    <t>The ratios of paid to reported claims is one investigative test used to determine if there is evidence of a change in claim settlement patterns.</t>
  </si>
  <si>
    <r>
      <t>(</t>
    </r>
    <r>
      <rPr>
        <i/>
        <sz val="12"/>
        <color rgb="FF002060"/>
        <rFont val="Times New Roman"/>
        <family val="1"/>
      </rPr>
      <t>0.5 points</t>
    </r>
    <r>
      <rPr>
        <sz val="12"/>
        <color rgb="FF002060"/>
        <rFont val="Times New Roman"/>
        <family val="1"/>
      </rPr>
      <t>)  Describe why an increase in the most recent diagonal of the ratios of paid to reported claims triangle may not give a clear indication of such a change.</t>
    </r>
  </si>
  <si>
    <t>A decrease in the overall adequacy of case estimates, which would decrease the reported claims, could also be driving the increase in the ratios of paid to reported claims.</t>
  </si>
  <si>
    <r>
      <t>(</t>
    </r>
    <r>
      <rPr>
        <i/>
        <sz val="12"/>
        <color rgb="FF002060"/>
        <rFont val="Times New Roman"/>
        <family val="1"/>
      </rPr>
      <t>1.5 points</t>
    </r>
    <r>
      <rPr>
        <sz val="12"/>
        <color rgb="FF002060"/>
        <rFont val="Times New Roman"/>
        <family val="1"/>
      </rPr>
      <t>)  Analyze this data for evidence of a change in claim settlement patterns, using an investigative test other than the test described in part (c).  Justify your conclusion.</t>
    </r>
  </si>
  <si>
    <t>Change in ratios of closed to reported counts:</t>
  </si>
  <si>
    <t>Closed to Reported Counts</t>
  </si>
  <si>
    <t>Based on the significant increase in the most recent diagonal there is an indication of an increase in claim settlement patterns.</t>
  </si>
  <si>
    <t>If there have been wide-ranging changes, either internally at the insurer or in the external environment, such that historical relationships and development patterns are not a reliable guide to the future</t>
  </si>
  <si>
    <t>Following entry into a new geographical area for which limited or no historical data exists</t>
  </si>
  <si>
    <t>Following the introduction of new GI products when limited or no historical experience is available</t>
  </si>
  <si>
    <t>For immature periods (i.e., most recent accident years)</t>
  </si>
  <si>
    <r>
      <t>(</t>
    </r>
    <r>
      <rPr>
        <i/>
        <sz val="12"/>
        <color rgb="FF002060"/>
        <rFont val="Times New Roman"/>
        <family val="1"/>
      </rPr>
      <t>1 point</t>
    </r>
    <r>
      <rPr>
        <sz val="12"/>
        <color rgb="FF002060"/>
        <rFont val="Times New Roman"/>
        <family val="1"/>
      </rPr>
      <t>)  Describe two scenarios when projections from the frequency-severity method are preferred.</t>
    </r>
  </si>
  <si>
    <t>There are times when projections from the frequency-severity method are preferred over the development method when used as inputs to the expected method.</t>
  </si>
  <si>
    <t>Justification: Latest 3 years gives more consideration to the increasing more recent experience.</t>
  </si>
  <si>
    <t xml:space="preserve">  - excl. hi-lo</t>
  </si>
  <si>
    <t xml:space="preserve">  - latest 3 years</t>
  </si>
  <si>
    <t xml:space="preserve">  - all years</t>
  </si>
  <si>
    <t>Justification: Average excluding high and low values excludes the outlier value in 2021.</t>
  </si>
  <si>
    <r>
      <t>(</t>
    </r>
    <r>
      <rPr>
        <i/>
        <sz val="12"/>
        <color rgb="FF002060"/>
        <rFont val="Times New Roman"/>
        <family val="1"/>
      </rPr>
      <t>3.5 points</t>
    </r>
    <r>
      <rPr>
        <sz val="12"/>
        <color rgb="FF002060"/>
        <rFont val="Times New Roman"/>
        <family val="1"/>
      </rPr>
      <t>)  Estimate ultimate claims for all accident years using the development-based frequency-severity method.</t>
    </r>
  </si>
  <si>
    <t>Justification: The year-to-year changes are quite erratic, with an overall decrease over the period. The average of all years provides a reasonable measure of the overall trend.</t>
  </si>
  <si>
    <t>Selected frequency trend:</t>
  </si>
  <si>
    <t>Ultimate Counts Based on Development Method</t>
  </si>
  <si>
    <r>
      <t>(</t>
    </r>
    <r>
      <rPr>
        <i/>
        <sz val="12"/>
        <color rgb="FF002060"/>
        <rFont val="Times New Roman"/>
        <family val="1"/>
      </rPr>
      <t>1.5 points</t>
    </r>
    <r>
      <rPr>
        <sz val="12"/>
        <color rgb="FF002060"/>
        <rFont val="Times New Roman"/>
        <family val="1"/>
      </rPr>
      <t>)  Recommend an annual claim frequency trend to use for the development-based frequency-severity method.  Justify your recommendation.</t>
    </r>
  </si>
  <si>
    <r>
      <t>·</t>
    </r>
    <r>
      <rPr>
        <sz val="7"/>
        <color rgb="FF002060"/>
        <rFont val="Times New Roman"/>
        <family val="1"/>
      </rPr>
      <t xml:space="preserve">       </t>
    </r>
    <r>
      <rPr>
        <sz val="12"/>
        <color rgb="FF002060"/>
        <rFont val="Times New Roman"/>
        <family val="1"/>
      </rPr>
      <t xml:space="preserve">The earned exposures are not inflation sensitive. </t>
    </r>
  </si>
  <si>
    <r>
      <t>·</t>
    </r>
    <r>
      <rPr>
        <sz val="7"/>
        <color rgb="FF002060"/>
        <rFont val="Times New Roman"/>
        <family val="1"/>
      </rPr>
      <t xml:space="preserve">       </t>
    </r>
    <r>
      <rPr>
        <sz val="12"/>
        <color rgb="FF002060"/>
        <rFont val="Times New Roman"/>
        <family val="1"/>
      </rPr>
      <t xml:space="preserve">The annual claim severity trend is </t>
    </r>
  </si>
  <si>
    <t>Ultimate Severity Based on Development Method</t>
  </si>
  <si>
    <t>You are estimating ultimate claims as of December 31, 2022 using the development-based frequency-severity method.  You are given the following:</t>
  </si>
  <si>
    <t>S2022 Question 1</t>
  </si>
  <si>
    <t>S2022 Question 2</t>
  </si>
  <si>
    <t>S2022 Question 8</t>
  </si>
  <si>
    <t>S2022 Question 12</t>
  </si>
  <si>
    <t>S2022 Question 15</t>
  </si>
  <si>
    <t>S2022 Question 16</t>
  </si>
  <si>
    <t>S2022 Question 17</t>
  </si>
  <si>
    <t>F2022 Question 2</t>
  </si>
  <si>
    <t>F2022 Question 5</t>
  </si>
  <si>
    <t>F2022 Question 6</t>
  </si>
  <si>
    <t>F2022 Question 11</t>
  </si>
  <si>
    <t>F2022 Question 12</t>
  </si>
  <si>
    <t>F2022 Question 14</t>
  </si>
  <si>
    <t>F2022 Question 15</t>
  </si>
  <si>
    <t>F2022 Question 16</t>
  </si>
  <si>
    <t>F2022 Question 17</t>
  </si>
  <si>
    <t>F2022 Question 18</t>
  </si>
  <si>
    <t>S2023 Question 1</t>
  </si>
  <si>
    <t>S2023 Question 2</t>
  </si>
  <si>
    <t>S2023 Question 3</t>
  </si>
  <si>
    <t>S2023 Question 4</t>
  </si>
  <si>
    <t>S2023 Question 5</t>
  </si>
  <si>
    <t>S2023 Question 6</t>
  </si>
  <si>
    <t>S2023 Question 8</t>
  </si>
  <si>
    <t>S2023 Question 9</t>
  </si>
  <si>
    <t>S2023 Question 11</t>
  </si>
  <si>
    <t>S2023 Question 13</t>
  </si>
  <si>
    <t>S2023 Question 14</t>
  </si>
  <si>
    <t>An insurer began writing policies in 2019.  You are given the following:</t>
  </si>
  <si>
    <t>It was subsequently discovered that the following claims and their transactions were not captured in the triangles.</t>
  </si>
  <si>
    <t>Occurrence</t>
  </si>
  <si>
    <t>ID</t>
  </si>
  <si>
    <t>Trans #</t>
  </si>
  <si>
    <t>Payment (000)</t>
  </si>
  <si>
    <t>Payment &amp; change in case estimate</t>
  </si>
  <si>
    <t>Payment</t>
  </si>
  <si>
    <r>
      <t>(</t>
    </r>
    <r>
      <rPr>
        <i/>
        <sz val="12"/>
        <color rgb="FF002060"/>
        <rFont val="Times New Roman"/>
        <family val="1"/>
      </rPr>
      <t>3 points</t>
    </r>
    <r>
      <rPr>
        <sz val="12"/>
        <color rgb="FF002060"/>
        <rFont val="Times New Roman"/>
        <family val="1"/>
      </rPr>
      <t>)  Update both triangles to include the missing transactions.</t>
    </r>
  </si>
  <si>
    <r>
      <t>(</t>
    </r>
    <r>
      <rPr>
        <i/>
        <sz val="12"/>
        <color rgb="FF002060"/>
        <rFont val="Times New Roman"/>
        <family val="1"/>
      </rPr>
      <t>1 point</t>
    </r>
    <r>
      <rPr>
        <sz val="12"/>
        <color rgb="FF002060"/>
        <rFont val="Times New Roman"/>
        <family val="1"/>
      </rPr>
      <t>)  Identify an anomaly in the triangle of ratios of paid claims to reported claims based on the corrected triangles from part (a).</t>
    </r>
  </si>
  <si>
    <t>For calendar year 2022 (i.e., the latest diagonal), the ratios have increased significantly.</t>
  </si>
  <si>
    <r>
      <t>(</t>
    </r>
    <r>
      <rPr>
        <i/>
        <sz val="12"/>
        <color rgb="FF002060"/>
        <rFont val="Times New Roman"/>
        <family val="1"/>
      </rPr>
      <t>1 point</t>
    </r>
    <r>
      <rPr>
        <sz val="12"/>
        <color rgb="FF002060"/>
        <rFont val="Times New Roman"/>
        <family val="1"/>
      </rPr>
      <t>)  Describe two operational changes that could have caused the anomaly you identified in part (b).</t>
    </r>
  </si>
  <si>
    <t>The insurer implemented new processes to speed-up the settlement of claims.</t>
  </si>
  <si>
    <t>A change to the approval process that decreased case estimates.</t>
  </si>
  <si>
    <t>You are given the following carried IBNR reserves:</t>
  </si>
  <si>
    <r>
      <t>(</t>
    </r>
    <r>
      <rPr>
        <i/>
        <sz val="12"/>
        <color rgb="FF002060"/>
        <rFont val="Times New Roman"/>
        <family val="1"/>
      </rPr>
      <t>1 point</t>
    </r>
    <r>
      <rPr>
        <sz val="12"/>
        <color rgb="FF002060"/>
        <rFont val="Times New Roman"/>
        <family val="1"/>
      </rPr>
      <t>)  Calculate incurred claims for calendar year 2021.</t>
    </r>
  </si>
  <si>
    <t>Reported claims as of Dec, 31, 2021:</t>
  </si>
  <si>
    <t>Reported claims as of Dec. 31, 2020:</t>
  </si>
  <si>
    <t>CY2021 incurred claims = Ultimate claims as of Dec. 31, 2021 - Ultimate claims as of Dec. 31, 2020</t>
  </si>
  <si>
    <t xml:space="preserve">= </t>
  </si>
  <si>
    <t>-</t>
  </si>
  <si>
    <t xml:space="preserve">You are determining a loading for large claims on a homeowners book of business for a ratemaking exercise. </t>
  </si>
  <si>
    <r>
      <t>(</t>
    </r>
    <r>
      <rPr>
        <i/>
        <sz val="12"/>
        <color rgb="FF002060"/>
        <rFont val="Times New Roman"/>
        <family val="1"/>
      </rPr>
      <t>0.5 points</t>
    </r>
    <r>
      <rPr>
        <sz val="12"/>
        <color rgb="FF002060"/>
        <rFont val="Times New Roman"/>
        <family val="1"/>
      </rPr>
      <t>)  State two reasons for using a large claim loading approach when estimating ultimate claims at total limits for ratemaking.</t>
    </r>
  </si>
  <si>
    <t>·       The loading factor smooths the influence of large claims over time</t>
  </si>
  <si>
    <t>·       The actuary can introduce a greater volume of experience</t>
  </si>
  <si>
    <t>·       The claims at a limited value are more reliable</t>
  </si>
  <si>
    <t>Selected Ultimate Claims at 500,000 Limit</t>
  </si>
  <si>
    <t>Selected Ultimate Claims at Total Limits</t>
  </si>
  <si>
    <t>·       New rates are effective October 1, 2023 for one year.</t>
  </si>
  <si>
    <t>·       All policies are written for 6-month policy terms.</t>
  </si>
  <si>
    <t>·       The annual severity trend at 500,000 limit is</t>
  </si>
  <si>
    <t xml:space="preserve">·       The annual severity trend at total limits is </t>
  </si>
  <si>
    <t>·       The indicated large claims loading for 500,000 to total limits is</t>
  </si>
  <si>
    <t>for the prospective rating period.</t>
  </si>
  <si>
    <t>·       The experience for this homeowners book of business is considered fully credible.</t>
  </si>
  <si>
    <r>
      <t>(</t>
    </r>
    <r>
      <rPr>
        <i/>
        <sz val="12"/>
        <color rgb="FF002060"/>
        <rFont val="Times New Roman"/>
        <family val="1"/>
      </rPr>
      <t>2 points</t>
    </r>
    <r>
      <rPr>
        <sz val="12"/>
        <color rgb="FF002060"/>
        <rFont val="Times New Roman"/>
        <family val="1"/>
      </rPr>
      <t>)  Calculate the large claim loadings at 500,000 limit, adjusted to the cost level for each accident year.</t>
    </r>
  </si>
  <si>
    <t>(i.e., 9 months after effective date)</t>
  </si>
  <si>
    <t>July 1, 2022 to July 1, 2024</t>
  </si>
  <si>
    <t>Severity Trend Factor at:</t>
  </si>
  <si>
    <t>Trend Factors for Loading for Large Claims</t>
  </si>
  <si>
    <t>Loadings for Large Claims Adjusted to Cost Level of AY</t>
  </si>
  <si>
    <r>
      <t>(</t>
    </r>
    <r>
      <rPr>
        <i/>
        <sz val="12"/>
        <color rgb="FF002060"/>
        <rFont val="Times New Roman"/>
        <family val="1"/>
      </rPr>
      <t>0.5 points</t>
    </r>
    <r>
      <rPr>
        <sz val="12"/>
        <color rgb="FF002060"/>
        <rFont val="Times New Roman"/>
        <family val="1"/>
      </rPr>
      <t>)  Calculate ultimate claims at total limits for each accident year using selected ultimate claims at a 500,000 limit and the large claim loadings from part (b).</t>
    </r>
  </si>
  <si>
    <t>Indicated Ultimate Claims at Total Limits based on Projections at 500,000 Limits</t>
  </si>
  <si>
    <r>
      <t>(</t>
    </r>
    <r>
      <rPr>
        <i/>
        <sz val="12"/>
        <color rgb="FF002060"/>
        <rFont val="Times New Roman"/>
        <family val="1"/>
      </rPr>
      <t>1 point</t>
    </r>
    <r>
      <rPr>
        <sz val="12"/>
        <color rgb="FF002060"/>
        <rFont val="Times New Roman"/>
        <family val="1"/>
      </rPr>
      <t>)  Describe how the calculations in part (b) are affected when the experience is less than fully credible.</t>
    </r>
  </si>
  <si>
    <t>The calculations are affected in two ways:</t>
  </si>
  <si>
    <t xml:space="preserve"> - Need to develop credibility-weighted trend rates </t>
  </si>
  <si>
    <t xml:space="preserve"> - Need to develop credibility-weighted loadings</t>
  </si>
  <si>
    <t>You are estimating unpaid ULAE as of December 31, 2022 using the Wendy Johnson count-based method.  You are given the following.  Forecasted incremental reported counts are highlighted with a shaded background.</t>
  </si>
  <si>
    <t>Year (AY)</t>
  </si>
  <si>
    <t>Selected Ratios of Reported Counts to Ultimate Counts</t>
  </si>
  <si>
    <r>
      <t>(</t>
    </r>
    <r>
      <rPr>
        <i/>
        <sz val="12"/>
        <color rgb="FF002060"/>
        <rFont val="Times New Roman"/>
        <family val="1"/>
      </rPr>
      <t>1 point</t>
    </r>
    <r>
      <rPr>
        <sz val="12"/>
        <color rgb="FF002060"/>
        <rFont val="Times New Roman"/>
        <family val="1"/>
      </rPr>
      <t>)  Verify that the forecasted incremental reported count for AY 2021 at 36 months is 95.</t>
    </r>
  </si>
  <si>
    <t>AY 2021 cumulative counts to 24 months:</t>
  </si>
  <si>
    <t xml:space="preserve">AY 2021 cumulative counts to 36 months: </t>
  </si>
  <si>
    <t>AY 2021 incremental reported counts at 36 months:</t>
  </si>
  <si>
    <t>Use the following weights for the three types of claim counts:</t>
  </si>
  <si>
    <t>Newly reported counts</t>
  </si>
  <si>
    <t>Open counts</t>
  </si>
  <si>
    <t>Closed counts</t>
  </si>
  <si>
    <t xml:space="preserve">·       The past annual expense trend rate through 2023 is </t>
  </si>
  <si>
    <t>·       The future annual expense trend rate after 2023 is</t>
  </si>
  <si>
    <r>
      <t>(</t>
    </r>
    <r>
      <rPr>
        <i/>
        <sz val="12"/>
        <color rgb="FF002060"/>
        <rFont val="Times New Roman"/>
        <family val="1"/>
      </rPr>
      <t>4 points</t>
    </r>
    <r>
      <rPr>
        <sz val="12"/>
        <color rgb="FF002060"/>
        <rFont val="Times New Roman"/>
        <family val="1"/>
      </rPr>
      <t>)  Estimate unpaid ULAE as of December 31, 2022 using a simple three-year average of historical experience.</t>
    </r>
  </si>
  <si>
    <t>Weighted Counts</t>
  </si>
  <si>
    <t>Avg ULAE Per Wtd. Count</t>
  </si>
  <si>
    <t>Trended Period (Yrs)</t>
  </si>
  <si>
    <t>Trend to 2023 @2%</t>
  </si>
  <si>
    <t>Avg ULAE Trended to 2023</t>
  </si>
  <si>
    <t>Selected average ULAE per weighted count at 2023 level</t>
  </si>
  <si>
    <t>Projection of Unpaid ULAE Using Count-Based ULAE Method:</t>
  </si>
  <si>
    <t>You are estimating IBNR as of December 31, 2022, using the Cape Cod method.  You are given the following:</t>
  </si>
  <si>
    <t xml:space="preserve">Reported Cumulative Development Factors </t>
  </si>
  <si>
    <t>·       The annual claim trend is</t>
  </si>
  <si>
    <t xml:space="preserve">·       A recent court decision has resulted in an estimated claim increase of </t>
  </si>
  <si>
    <t xml:space="preserve">for all accidents on occurring or after January 1, 2021. </t>
  </si>
  <si>
    <r>
      <t>(</t>
    </r>
    <r>
      <rPr>
        <i/>
        <sz val="12"/>
        <color rgb="FF002060"/>
        <rFont val="Times New Roman"/>
        <family val="1"/>
      </rPr>
      <t>3.5 points</t>
    </r>
    <r>
      <rPr>
        <sz val="12"/>
        <color rgb="FF002060"/>
        <rFont val="Times New Roman"/>
        <family val="1"/>
      </rPr>
      <t>)  Calculate the IBNR for all accident years using the Cape Cod method.</t>
    </r>
  </si>
  <si>
    <t xml:space="preserve">Expected % Unreported </t>
  </si>
  <si>
    <t>Expected Unreported Claims</t>
  </si>
  <si>
    <r>
      <t>(</t>
    </r>
    <r>
      <rPr>
        <i/>
        <sz val="12"/>
        <color rgb="FF002060"/>
        <rFont val="Times New Roman"/>
        <family val="1"/>
      </rPr>
      <t>0.5 points</t>
    </r>
    <r>
      <rPr>
        <sz val="12"/>
        <color rgb="FF002060"/>
        <rFont val="Times New Roman"/>
        <family val="1"/>
      </rPr>
      <t>)  Calculate the accident year 2021 IBNR using the Generalized Cape Cod method and a decay factor of 0%.</t>
    </r>
  </si>
  <si>
    <t>Generalized Cape Cod with 0 decay factor = Development Method</t>
  </si>
  <si>
    <t>2021 IBNR:</t>
  </si>
  <si>
    <t>Ultimate claims</t>
  </si>
  <si>
    <t>IBNR (Ultimate - Reported)</t>
  </si>
  <si>
    <t>The two most common models for determining trend rates are linear and exponential.</t>
  </si>
  <si>
    <r>
      <t>(</t>
    </r>
    <r>
      <rPr>
        <i/>
        <sz val="12"/>
        <color rgb="FF002060"/>
        <rFont val="Times New Roman"/>
        <family val="1"/>
      </rPr>
      <t>0.5 points</t>
    </r>
    <r>
      <rPr>
        <sz val="12"/>
        <color rgb="FF002060"/>
        <rFont val="Times New Roman"/>
        <family val="1"/>
      </rPr>
      <t>)  Explain why a linear trend model may not be appropriate when trend is decreasing.</t>
    </r>
  </si>
  <si>
    <t xml:space="preserve">If the trend is decreasing, as frequency trends often are, then eventually the application of a
 linear trend will result a negative value, </t>
  </si>
  <si>
    <t xml:space="preserve">which cannot occur for GI frequency, severity, or pure premium. </t>
  </si>
  <si>
    <t>Indicated Claim Frequency</t>
  </si>
  <si>
    <t>Indicated annual trend, using an exponential model</t>
  </si>
  <si>
    <t xml:space="preserve">   All years</t>
  </si>
  <si>
    <t xml:space="preserve">   AY2017-AY2022</t>
  </si>
  <si>
    <t xml:space="preserve">   AY2016-AY2021</t>
  </si>
  <si>
    <r>
      <t>(</t>
    </r>
    <r>
      <rPr>
        <i/>
        <sz val="12"/>
        <color rgb="FF002060"/>
        <rFont val="Times New Roman"/>
        <family val="1"/>
      </rPr>
      <t>0.5 points</t>
    </r>
    <r>
      <rPr>
        <sz val="12"/>
        <color rgb="FF002060"/>
        <rFont val="Times New Roman"/>
        <family val="1"/>
      </rPr>
      <t>)  Recommend an annual claim frequency trend to use for this line of business.  Justify your recommendation.</t>
    </r>
  </si>
  <si>
    <t>Justification: the increase in 2022 might be an anomaly, so exclude that year from the average.</t>
  </si>
  <si>
    <t>You are also given the following:</t>
  </si>
  <si>
    <t xml:space="preserve">·       The annual severity trend is </t>
  </si>
  <si>
    <t>·       Ultimate counts and ultimate severity were determined based on the development method.</t>
  </si>
  <si>
    <r>
      <t>(</t>
    </r>
    <r>
      <rPr>
        <i/>
        <sz val="12"/>
        <color rgb="FF002060"/>
        <rFont val="Times New Roman"/>
        <family val="1"/>
      </rPr>
      <t>3 points</t>
    </r>
    <r>
      <rPr>
        <sz val="12"/>
        <color rgb="FF002060"/>
        <rFont val="Times New Roman"/>
        <family val="1"/>
      </rPr>
      <t>)  Calculate projected ultimate claims using the development-based frequency-severity method and your recommended annual claim frequency trend.</t>
    </r>
  </si>
  <si>
    <t>Trended Ultimate Severity</t>
  </si>
  <si>
    <t>Average, excluding 2022</t>
  </si>
  <si>
    <t xml:space="preserve">   Latest 3 years</t>
  </si>
  <si>
    <t>Selected frequency at 2022 cost level</t>
  </si>
  <si>
    <t>You are conducting a ratemaking analysis and are given the following historical rate change information:</t>
  </si>
  <si>
    <t>·       Premiums are written evenly throughout the year.</t>
  </si>
  <si>
    <t>·       Premiums are earned evenly throughout the policy term.</t>
  </si>
  <si>
    <t>·       Prior to January 1, 2020, all policies were written for 12-month terms.</t>
  </si>
  <si>
    <t>·       Since January 1, 2020, 50% of policies have been written for 12-month terms and</t>
  </si>
  <si>
    <t>50% of policies have been written for 6-month terms.</t>
  </si>
  <si>
    <t>·       There have been no rate changes since April 1, 2022.</t>
  </si>
  <si>
    <r>
      <t>(</t>
    </r>
    <r>
      <rPr>
        <i/>
        <sz val="12"/>
        <color rgb="FF002060"/>
        <rFont val="Times New Roman"/>
        <family val="1"/>
      </rPr>
      <t>0.5 points</t>
    </r>
    <r>
      <rPr>
        <sz val="12"/>
        <color rgb="FF002060"/>
        <rFont val="Times New Roman"/>
        <family val="1"/>
      </rPr>
      <t>)  Provide one reason why the company would want to write more 6-month policies in this situation.</t>
    </r>
  </si>
  <si>
    <t>Rates have been increasing since the change, so the higher premiums will be earned faster to help keep up with the needed rate changes.</t>
  </si>
  <si>
    <r>
      <t>(</t>
    </r>
    <r>
      <rPr>
        <i/>
        <sz val="12"/>
        <color rgb="FF002060"/>
        <rFont val="Times New Roman"/>
        <family val="1"/>
      </rPr>
      <t>3 points</t>
    </r>
    <r>
      <rPr>
        <sz val="12"/>
        <color rgb="FF002060"/>
        <rFont val="Times New Roman"/>
        <family val="1"/>
      </rPr>
      <t>)  Calculate the premium on-level factors for calendar years 2019 through 2022 to use in estimating expected claim ratios for the ratemaking analysis.</t>
    </r>
  </si>
  <si>
    <t>On-level factors for all 12-month policies:</t>
  </si>
  <si>
    <t>On-level factors for all 6-month policies:</t>
  </si>
  <si>
    <t>Combined On-Level factors:</t>
  </si>
  <si>
    <t xml:space="preserve">    weighting for 6-month:</t>
  </si>
  <si>
    <t>You also need to determine premium on-level factors to use in estimating expected claim ratios for reserves as of December 31, 2022.</t>
  </si>
  <si>
    <r>
      <t>(</t>
    </r>
    <r>
      <rPr>
        <i/>
        <sz val="12"/>
        <color rgb="FF002060"/>
        <rFont val="Times New Roman"/>
        <family val="1"/>
      </rPr>
      <t>1 point</t>
    </r>
    <r>
      <rPr>
        <sz val="12"/>
        <color rgb="FF002060"/>
        <rFont val="Times New Roman"/>
        <family val="1"/>
      </rPr>
      <t>)  Explain why the on-level factors needed for reserving would be lower than the on-level factors calculated in part (b).</t>
    </r>
  </si>
  <si>
    <t>On-level factors for reserving are adjusted to the 2022 average rate level.</t>
  </si>
  <si>
    <t>This level is a lower value than the current rate level for ratemaking, leading to lower on-level factors.</t>
  </si>
  <si>
    <t>Premiums also need to be adjusted to ultimate values in certain situations.</t>
  </si>
  <si>
    <r>
      <t>(</t>
    </r>
    <r>
      <rPr>
        <i/>
        <sz val="12"/>
        <color rgb="FF002060"/>
        <rFont val="Times New Roman"/>
        <family val="1"/>
      </rPr>
      <t>0.5 points</t>
    </r>
    <r>
      <rPr>
        <sz val="12"/>
        <color rgb="FF002060"/>
        <rFont val="Times New Roman"/>
        <family val="1"/>
      </rPr>
      <t>)  Provide one situation where actuaries would need to determine an estimate of ultimate premiums.</t>
    </r>
  </si>
  <si>
    <t xml:space="preserve"> - adjustments to ultimate are required when analyzing policy year data that is not yet complete</t>
  </si>
  <si>
    <t xml:space="preserve"> - when conducting actuarial work for lines of business where the premiums are subject to audit of exposures following the completion of the policy year</t>
  </si>
  <si>
    <t xml:space="preserve"> - for lines of business that are subject to retrospective experience rating adjustments</t>
  </si>
  <si>
    <t>You are estimating ultimate claims.</t>
  </si>
  <si>
    <r>
      <t>(</t>
    </r>
    <r>
      <rPr>
        <i/>
        <sz val="12"/>
        <color rgb="FF002060"/>
        <rFont val="Times New Roman"/>
        <family val="1"/>
      </rPr>
      <t>0.5 points</t>
    </r>
    <r>
      <rPr>
        <sz val="12"/>
        <color rgb="FF002060"/>
        <rFont val="Times New Roman"/>
        <family val="1"/>
      </rPr>
      <t>)  Describe two situations where the expected method is most often used when estimating ultimate claims.</t>
    </r>
  </si>
  <si>
    <t>Any two of the following four situations:</t>
  </si>
  <si>
    <t xml:space="preserve"> - For immature experience periods, particularly in the case of long-tail lines of business; </t>
  </si>
  <si>
    <t xml:space="preserve"> - Following the introduction of new GI products when limited or no historical experience is available; </t>
  </si>
  <si>
    <t xml:space="preserve"> - Following entry into a new geographical area for which limited or no historical data exists; </t>
  </si>
  <si>
    <t xml:space="preserve"> - If there have been wide-ranging changes, either internally at the insurer or in the external environment, such that historical relationships and development patterns are not a reliable guide to the future. </t>
  </si>
  <si>
    <r>
      <t>(</t>
    </r>
    <r>
      <rPr>
        <i/>
        <sz val="12"/>
        <color rgb="FF002060"/>
        <rFont val="Times New Roman"/>
        <family val="1"/>
      </rPr>
      <t>0.5 points</t>
    </r>
    <r>
      <rPr>
        <sz val="12"/>
        <color rgb="FF002060"/>
        <rFont val="Times New Roman"/>
        <family val="1"/>
      </rPr>
      <t>)  Describe the primary assumption of the expected method.</t>
    </r>
  </si>
  <si>
    <t xml:space="preserve">The primary assumption of the expected method is that actuaries can better project ultimate values based on an a priori estimate than from the experience observed to date. </t>
  </si>
  <si>
    <t>You are given the following as of December 31, 2022.</t>
  </si>
  <si>
    <t>Projected Ultimate Claims (000) Based on Development Method</t>
  </si>
  <si>
    <t>Earned Exposures (000)</t>
  </si>
  <si>
    <t xml:space="preserve">Premium On Level Factors </t>
  </si>
  <si>
    <t>The annual trend rate for claim ratios and pure premiums is</t>
  </si>
  <si>
    <r>
      <t>(</t>
    </r>
    <r>
      <rPr>
        <i/>
        <sz val="12"/>
        <color rgb="FF002060"/>
        <rFont val="Times New Roman"/>
        <family val="1"/>
      </rPr>
      <t>1.5 points</t>
    </r>
    <r>
      <rPr>
        <sz val="12"/>
        <color rgb="FF002060"/>
        <rFont val="Times New Roman"/>
        <family val="1"/>
      </rPr>
      <t xml:space="preserve">)  Calculate the expected claim ratios for each year at the 2022 cost level using reported claims. </t>
    </r>
  </si>
  <si>
    <t xml:space="preserve">Earned Premium </t>
  </si>
  <si>
    <t xml:space="preserve">Ultimate Claims Based on Reported </t>
  </si>
  <si>
    <t xml:space="preserve">Claim Trend Factors at 3% </t>
  </si>
  <si>
    <t xml:space="preserve">On-Level Earned Premium </t>
  </si>
  <si>
    <t xml:space="preserve">Trended Ultimate Claims Based on Reported </t>
  </si>
  <si>
    <t xml:space="preserve">Trended On-Level Claim Ratio </t>
  </si>
  <si>
    <r>
      <t>(</t>
    </r>
    <r>
      <rPr>
        <i/>
        <sz val="12"/>
        <color rgb="FF002060"/>
        <rFont val="Times New Roman"/>
        <family val="1"/>
      </rPr>
      <t>0.5 points</t>
    </r>
    <r>
      <rPr>
        <sz val="12"/>
        <color rgb="FF002060"/>
        <rFont val="Times New Roman"/>
        <family val="1"/>
      </rPr>
      <t>)  Calculate the pure premiums for each year at the 2022 cost level using reported claims.</t>
    </r>
  </si>
  <si>
    <r>
      <t>(</t>
    </r>
    <r>
      <rPr>
        <i/>
        <sz val="12"/>
        <color rgb="FF002060"/>
        <rFont val="Times New Roman"/>
        <family val="1"/>
      </rPr>
      <t>2 points</t>
    </r>
    <r>
      <rPr>
        <sz val="12"/>
        <color rgb="FF002060"/>
        <rFont val="Times New Roman"/>
        <family val="1"/>
      </rPr>
      <t>)  Calculate the accident year 2021 ultimate claims using the Bornhuetter Ferguson method and:</t>
    </r>
  </si>
  <si>
    <t xml:space="preserve">A selected expected claim ratio of </t>
  </si>
  <si>
    <t xml:space="preserve"> at the 2022 cost level</t>
  </si>
  <si>
    <t xml:space="preserve">A selected pure premium of </t>
  </si>
  <si>
    <t>Implicit development factor (Ultimate/Reported)</t>
  </si>
  <si>
    <t xml:space="preserve">Expected % undeveloped </t>
  </si>
  <si>
    <t>(i) Using expected claim ratio</t>
  </si>
  <si>
    <t>2021 Earned Premium</t>
  </si>
  <si>
    <t xml:space="preserve">Claim ratio at 2021 cost level </t>
  </si>
  <si>
    <t xml:space="preserve">2021 Expected Claims </t>
  </si>
  <si>
    <t xml:space="preserve">BF estimate of ultimate claims </t>
  </si>
  <si>
    <t>(ii) Using expected pure premium</t>
  </si>
  <si>
    <t>2021 Expected Claims</t>
  </si>
  <si>
    <t>BF estimate of ultimate claims</t>
  </si>
  <si>
    <t>You are analyzing expenses for ratemaking.  The trend in fixed expenses is often analyzed separately from the trend in average premiums.</t>
  </si>
  <si>
    <r>
      <t>(</t>
    </r>
    <r>
      <rPr>
        <i/>
        <sz val="12"/>
        <color rgb="FF002060"/>
        <rFont val="Times New Roman"/>
        <family val="1"/>
      </rPr>
      <t>0.5 points</t>
    </r>
    <r>
      <rPr>
        <sz val="12"/>
        <color rgb="FF002060"/>
        <rFont val="Times New Roman"/>
        <family val="1"/>
      </rPr>
      <t>)  Identify why a separate trending procedure for fixed expenses may not be required when analyzed on a per-exposure basis.</t>
    </r>
  </si>
  <si>
    <t>When the forces affecting changes in expenses (i.e., the expense trend) are similar to those driving changes in premiums, a separate trend adjustment for fixed expenses may not be necessary.</t>
  </si>
  <si>
    <t>Earned Premiums at Current Rates</t>
  </si>
  <si>
    <t xml:space="preserve">·       New rates are effective </t>
  </si>
  <si>
    <t>·       All policies are written for 12-month policy terms.</t>
  </si>
  <si>
    <t xml:space="preserve">·       Premiums are written evenly throughout the year. </t>
  </si>
  <si>
    <t xml:space="preserve">·       Premiums are earned and fixed expenses are incurred evenly throughout the policy term. </t>
  </si>
  <si>
    <r>
      <t>(</t>
    </r>
    <r>
      <rPr>
        <i/>
        <sz val="12"/>
        <color rgb="FF002060"/>
        <rFont val="Times New Roman"/>
        <family val="1"/>
      </rPr>
      <t>2 points</t>
    </r>
    <r>
      <rPr>
        <sz val="12"/>
        <color rgb="FF002060"/>
        <rFont val="Times New Roman"/>
        <family val="1"/>
      </rPr>
      <t>)  Recommend an annual fixed expense trend.  Justify your recommendation.</t>
    </r>
  </si>
  <si>
    <t>Fixed Expense to Earned Premiums at Current Rates Ratio</t>
  </si>
  <si>
    <t>Average - All years</t>
  </si>
  <si>
    <t>Average - excl hi-lo</t>
  </si>
  <si>
    <t>Recommended fixed expense trend:</t>
  </si>
  <si>
    <t>Justification: 2018 appears to be an anomaly. Exclude highest and lowest to smooth out the variation.</t>
  </si>
  <si>
    <r>
      <t>(</t>
    </r>
    <r>
      <rPr>
        <i/>
        <sz val="12"/>
        <color rgb="FF002060"/>
        <rFont val="Times New Roman"/>
        <family val="1"/>
      </rPr>
      <t>2.5 points</t>
    </r>
    <r>
      <rPr>
        <sz val="12"/>
        <color rgb="FF002060"/>
        <rFont val="Times New Roman"/>
        <family val="1"/>
      </rPr>
      <t>)  Recommend a fixed expense ratio to be used in ratemaking.  Justify your recommendation.</t>
    </r>
  </si>
  <si>
    <t># months:</t>
  </si>
  <si>
    <t>Expense Trend at 2.56%</t>
  </si>
  <si>
    <t>Trended Fixed Expense Ratio</t>
  </si>
  <si>
    <t>Average - all years</t>
  </si>
  <si>
    <t>Recommended trended fixed expense ratio:</t>
  </si>
  <si>
    <t>Justification: No significant outliers and no significant trend, so all years average is reasonable.</t>
  </si>
  <si>
    <t>You are conducting a ratemaking analysis and are given the following:</t>
  </si>
  <si>
    <t xml:space="preserve">·       The historical annual claim frequency trend was </t>
  </si>
  <si>
    <t xml:space="preserve">·       The annual claim frequency trend is expected to increase to </t>
  </si>
  <si>
    <t xml:space="preserve"> for all accidents occurring after December 31, 2022.</t>
  </si>
  <si>
    <t xml:space="preserve">·       The historical annual claim severity trend was </t>
  </si>
  <si>
    <t xml:space="preserve"> and is not expected to change in the future.</t>
  </si>
  <si>
    <t xml:space="preserve">·       The new rates are effective </t>
  </si>
  <si>
    <t xml:space="preserve">·       The full credibility standard is </t>
  </si>
  <si>
    <t xml:space="preserve"> ultimate counts.</t>
  </si>
  <si>
    <t>·       The square root rule is used for partial credibility.</t>
  </si>
  <si>
    <r>
      <t>(</t>
    </r>
    <r>
      <rPr>
        <i/>
        <sz val="12"/>
        <color rgb="FF002060"/>
        <rFont val="Times New Roman"/>
        <family val="1"/>
      </rPr>
      <t>2 points</t>
    </r>
    <r>
      <rPr>
        <sz val="12"/>
        <color rgb="FF002060"/>
        <rFont val="Times New Roman"/>
        <family val="1"/>
      </rPr>
      <t>)  Calculate the trended pure premiums for each accident year.</t>
    </r>
  </si>
  <si>
    <t>Past pure premium trend:</t>
  </si>
  <si>
    <t>Future pure premium trend:</t>
  </si>
  <si>
    <t>Past trend period: For AY2022, from average accident date in AY2022 (July 1, 2022) to December 31, 2022 = 0.5 years</t>
  </si>
  <si>
    <t>Future PP trend period: From average accident date in 2022 to average accident date in future rating period:</t>
  </si>
  <si>
    <t xml:space="preserve">=  </t>
  </si>
  <si>
    <t>to</t>
  </si>
  <si>
    <t>months, or</t>
  </si>
  <si>
    <t>years</t>
  </si>
  <si>
    <t>Pure Premium (PP)</t>
  </si>
  <si>
    <t>Past Trending Period (yrs)</t>
  </si>
  <si>
    <t>Future Trending Period (yrs)</t>
  </si>
  <si>
    <t>Past PP Trend</t>
  </si>
  <si>
    <t>Future PP Trend</t>
  </si>
  <si>
    <t>Total PP Trend</t>
  </si>
  <si>
    <r>
      <t>(</t>
    </r>
    <r>
      <rPr>
        <i/>
        <sz val="12"/>
        <color rgb="FF002060"/>
        <rFont val="Times New Roman"/>
        <family val="1"/>
      </rPr>
      <t>1 point</t>
    </r>
    <r>
      <rPr>
        <sz val="12"/>
        <color rgb="FF002060"/>
        <rFont val="Times New Roman"/>
        <family val="1"/>
      </rPr>
      <t>)  Recommend a trended pure premium.  Justify your recommendation.</t>
    </r>
  </si>
  <si>
    <t>Other weights are possible.</t>
  </si>
  <si>
    <t>Trended Ultimate</t>
  </si>
  <si>
    <t>Averages</t>
  </si>
  <si>
    <t xml:space="preserve"> - all years straight</t>
  </si>
  <si>
    <t xml:space="preserve"> - weighted</t>
  </si>
  <si>
    <t>AY2022 is possibly an anomaly so less weight for that year. Include all years due to credibility (i.e., all years is 4,341 ultimate counts, so still not fully credible even using all years).</t>
  </si>
  <si>
    <t>·       The complement of credibility is derived using the average pure premium underlying the current rates adjusted to the cost level of the</t>
  </si>
  <si>
    <t xml:space="preserve"> forecast period of the new rates.</t>
  </si>
  <si>
    <t>·       The current rates are based on the prior ratemaking analysis that was applied to policies effective July 1, 2022 through June 30, 2023,</t>
  </si>
  <si>
    <t xml:space="preserve"> with average pure premium of</t>
  </si>
  <si>
    <r>
      <t>(</t>
    </r>
    <r>
      <rPr>
        <i/>
        <sz val="12"/>
        <color rgb="FF002060"/>
        <rFont val="Times New Roman"/>
        <family val="1"/>
      </rPr>
      <t>1 point</t>
    </r>
    <r>
      <rPr>
        <sz val="12"/>
        <color rgb="FF002060"/>
        <rFont val="Times New Roman"/>
        <family val="1"/>
      </rPr>
      <t>)  Calculate the pure premium to use for the complement of credibility.</t>
    </r>
  </si>
  <si>
    <t>Pure premium trend (future, since future trend started Jan. 1, 2023)</t>
  </si>
  <si>
    <t>Pure premium used for complement of credibility</t>
  </si>
  <si>
    <t xml:space="preserve">·     Fixed expenses per exposure are </t>
  </si>
  <si>
    <t>·     The ratio of ULAE to claims is</t>
  </si>
  <si>
    <t xml:space="preserve">·     The ratio of variable expenses to premiums is </t>
  </si>
  <si>
    <t>·     The ratio of profit and contingencies to premiums is</t>
  </si>
  <si>
    <r>
      <t>(</t>
    </r>
    <r>
      <rPr>
        <i/>
        <sz val="12"/>
        <color rgb="FF002060"/>
        <rFont val="Times New Roman"/>
        <family val="1"/>
      </rPr>
      <t>1.5 points</t>
    </r>
    <r>
      <rPr>
        <sz val="12"/>
        <color rgb="FF002060"/>
        <rFont val="Times New Roman"/>
        <family val="1"/>
      </rPr>
      <t xml:space="preserve">)  Calculate the credibility-weighted indicated rate.  </t>
    </r>
  </si>
  <si>
    <t>The number of claims for credibility need to match the years that were included in the part (b) selection. For example, if only the most recent three years were included in the selection in part (b), then the number of claims to use for credibility in this part should be: 2,610 = 875 + 852 + 883.</t>
  </si>
  <si>
    <t>Weighted average pure premium (from part (b)):</t>
  </si>
  <si>
    <t>Number of claims to use for credibility:</t>
  </si>
  <si>
    <t>Credibility:</t>
  </si>
  <si>
    <t>Credibility-weighted pure premium:</t>
  </si>
  <si>
    <t>An alternative for the complement of credibility is to use a pure premium based on industry experience.</t>
  </si>
  <si>
    <r>
      <t>(</t>
    </r>
    <r>
      <rPr>
        <i/>
        <sz val="12"/>
        <color rgb="FF002060"/>
        <rFont val="Times New Roman"/>
        <family val="1"/>
      </rPr>
      <t>0.5 points</t>
    </r>
    <r>
      <rPr>
        <sz val="12"/>
        <color rgb="FF002060"/>
        <rFont val="Times New Roman"/>
        <family val="1"/>
      </rPr>
      <t>)  Identify one adjustment that is necessary when relying on a complement of credibility that is a pure premium based on industry experience.</t>
    </r>
  </si>
  <si>
    <t>Either of the following is acceptable:</t>
  </si>
  <si>
    <t xml:space="preserve">  - adjusted to reflect the insurer's mix of business</t>
  </si>
  <si>
    <t xml:space="preserve">  - adjusted to the cost level of the forecast period</t>
  </si>
  <si>
    <t>Volume-weighted average (all years)</t>
  </si>
  <si>
    <t>·       There is no development beyond 84 months.</t>
  </si>
  <si>
    <t>·       The reported claims history includes two large claims.</t>
  </si>
  <si>
    <t xml:space="preserve">·       Large claim #1 occurred on July 1, 2019 and was reported on January 20, 2021.  </t>
  </si>
  <si>
    <t>The initial case estimate was</t>
  </si>
  <si>
    <t xml:space="preserve">·       Large claim #2 occurred on September 10, 2021 and was reported on March 2, 2022.  </t>
  </si>
  <si>
    <t xml:space="preserve">The initial case estimate was </t>
  </si>
  <si>
    <t>·       These large claims have not had any payments made or adjustments to case estimates as of December 31, 2022.</t>
  </si>
  <si>
    <t>Your colleague recommends using the volume-weighted average of all years for age-to-age development factors.</t>
  </si>
  <si>
    <r>
      <t>(</t>
    </r>
    <r>
      <rPr>
        <i/>
        <sz val="12"/>
        <color rgb="FF002060"/>
        <rFont val="Times New Roman"/>
        <family val="1"/>
      </rPr>
      <t>0.5 points</t>
    </r>
    <r>
      <rPr>
        <sz val="12"/>
        <color rgb="FF002060"/>
        <rFont val="Times New Roman"/>
        <family val="1"/>
      </rPr>
      <t>)  Identify a potential problem with your colleague’s recommendation.</t>
    </r>
  </si>
  <si>
    <t>Due to the large claims in 2019 and 2021, the 12-24 and 24-36 age-to-age factors are too high, therefore ultimate claims would be overstated.</t>
  </si>
  <si>
    <r>
      <t>(</t>
    </r>
    <r>
      <rPr>
        <i/>
        <sz val="12"/>
        <color rgb="FF002060"/>
        <rFont val="Times New Roman"/>
        <family val="1"/>
      </rPr>
      <t>0.5 points</t>
    </r>
    <r>
      <rPr>
        <sz val="12"/>
        <color rgb="FF002060"/>
        <rFont val="Times New Roman"/>
        <family val="1"/>
      </rPr>
      <t>)  Describe an alternative approach to your colleague’s recommendation.</t>
    </r>
  </si>
  <si>
    <t>Recommend adjusting for the large claims (i.e., removing them from the development factor analysis).</t>
  </si>
  <si>
    <t xml:space="preserve">   {alternatively, could use average of the factors that exclude the AY2021 12-24 and AY2019 24-36 factors.}</t>
  </si>
  <si>
    <r>
      <t>(</t>
    </r>
    <r>
      <rPr>
        <i/>
        <sz val="12"/>
        <color rgb="FF002060"/>
        <rFont val="Times New Roman"/>
        <family val="1"/>
      </rPr>
      <t>2.5 points</t>
    </r>
    <r>
      <rPr>
        <sz val="12"/>
        <color rgb="FF002060"/>
        <rFont val="Times New Roman"/>
        <family val="1"/>
      </rPr>
      <t>)  Estimate total ultimate claims based on the development method and your alternative from part (b).</t>
    </r>
  </si>
  <si>
    <t>Construction of right triangle that excludes large claims:</t>
  </si>
  <si>
    <t>Large claims (case estimates) (000)</t>
  </si>
  <si>
    <t>Development factors:</t>
  </si>
  <si>
    <t xml:space="preserve">Simple average </t>
  </si>
  <si>
    <t>Volume-weighted average</t>
  </si>
  <si>
    <t xml:space="preserve"> - Age-to-age:</t>
  </si>
  <si>
    <t xml:space="preserve"> - Age-to-ultimate</t>
  </si>
  <si>
    <t>Age-to-Ultimate Factors</t>
  </si>
  <si>
    <t>Ultimate claims, excluding  large claims</t>
  </si>
  <si>
    <t>Ultimate claims, including large claims:</t>
  </si>
  <si>
    <r>
      <t>(</t>
    </r>
    <r>
      <rPr>
        <i/>
        <sz val="12"/>
        <color rgb="FF002060"/>
        <rFont val="Times New Roman"/>
        <family val="1"/>
      </rPr>
      <t>0.5 points</t>
    </r>
    <r>
      <rPr>
        <sz val="12"/>
        <color rgb="FF002060"/>
        <rFont val="Times New Roman"/>
        <family val="1"/>
      </rPr>
      <t>)  Describe how you would adjust for the large claims when estimating ultimate claims based on the paid development method for this line of business.</t>
    </r>
  </si>
  <si>
    <t>The ultimate values would need to include the case estimates for large claims.</t>
  </si>
  <si>
    <t>You are analyzing a triangle of average reported claims.  There are several actions that could result in shifts in reported claim patterns.  One example is a new approach to setting case estimate amounts.</t>
  </si>
  <si>
    <r>
      <t>(</t>
    </r>
    <r>
      <rPr>
        <i/>
        <sz val="12"/>
        <color rgb="FF002060"/>
        <rFont val="Times New Roman"/>
        <family val="1"/>
      </rPr>
      <t>1 point</t>
    </r>
    <r>
      <rPr>
        <sz val="12"/>
        <color rgb="FF002060"/>
        <rFont val="Times New Roman"/>
        <family val="1"/>
      </rPr>
      <t>)  Identify two other examples of actions that could result in shifts in a reported claim pattern.</t>
    </r>
  </si>
  <si>
    <r>
      <t>·</t>
    </r>
    <r>
      <rPr>
        <sz val="7"/>
        <color theme="1"/>
        <rFont val="Times New Roman"/>
        <family val="1"/>
      </rPr>
      <t xml:space="preserve">       </t>
    </r>
    <r>
      <rPr>
        <sz val="12"/>
        <color theme="1"/>
        <rFont val="Times New Roman"/>
        <family val="1"/>
      </rPr>
      <t>new procedures for the payment of claims such as direct deposit to a claimant’s bank account instead of issuance of checks</t>
    </r>
  </si>
  <si>
    <r>
      <t>·</t>
    </r>
    <r>
      <rPr>
        <sz val="7"/>
        <color theme="1"/>
        <rFont val="Times New Roman"/>
        <family val="1"/>
      </rPr>
      <t xml:space="preserve">       </t>
    </r>
    <r>
      <rPr>
        <sz val="12"/>
        <color theme="1"/>
        <rFont val="Times New Roman"/>
        <family val="1"/>
      </rPr>
      <t>changes in the distribution of policy limits purchased by insureds; (or offered by the company)</t>
    </r>
  </si>
  <si>
    <r>
      <t>·</t>
    </r>
    <r>
      <rPr>
        <sz val="7"/>
        <color theme="1"/>
        <rFont val="Times New Roman"/>
        <family val="1"/>
      </rPr>
      <t xml:space="preserve">       </t>
    </r>
    <r>
      <rPr>
        <sz val="12"/>
        <color theme="1"/>
        <rFont val="Times New Roman"/>
        <family val="1"/>
      </rPr>
      <t>changes in the distribution of deductibles purchased by insureds; (or offered by the company)</t>
    </r>
  </si>
  <si>
    <r>
      <t>·</t>
    </r>
    <r>
      <rPr>
        <sz val="7"/>
        <color theme="1"/>
        <rFont val="Times New Roman"/>
        <family val="1"/>
      </rPr>
      <t xml:space="preserve">       </t>
    </r>
    <r>
      <rPr>
        <sz val="12"/>
        <color theme="1"/>
        <rFont val="Times New Roman"/>
        <family val="1"/>
      </rPr>
      <t>changes in the use of partial settlements or ex gratia payments</t>
    </r>
  </si>
  <si>
    <r>
      <t>·</t>
    </r>
    <r>
      <rPr>
        <sz val="7"/>
        <color theme="1"/>
        <rFont val="Times New Roman"/>
        <family val="1"/>
      </rPr>
      <t xml:space="preserve">       </t>
    </r>
    <r>
      <rPr>
        <sz val="12"/>
        <color theme="1"/>
        <rFont val="Times New Roman"/>
        <family val="1"/>
      </rPr>
      <t>shifts in the attitude toward defense of questionable claim files</t>
    </r>
  </si>
  <si>
    <r>
      <t>·</t>
    </r>
    <r>
      <rPr>
        <sz val="7"/>
        <color theme="1"/>
        <rFont val="Times New Roman"/>
        <family val="1"/>
      </rPr>
      <t xml:space="preserve">       </t>
    </r>
    <r>
      <rPr>
        <sz val="12"/>
        <color theme="1"/>
        <rFont val="Times New Roman"/>
        <family val="1"/>
      </rPr>
      <t>change in the definition of reported claims</t>
    </r>
  </si>
  <si>
    <t xml:space="preserve">·       The annual claim severity trend is </t>
  </si>
  <si>
    <t>Your colleague has assumed that case reserve adequacy was strengthened in calendar year 2021.</t>
  </si>
  <si>
    <r>
      <t>(</t>
    </r>
    <r>
      <rPr>
        <i/>
        <sz val="12"/>
        <color rgb="FF002060"/>
        <rFont val="Times New Roman"/>
        <family val="1"/>
      </rPr>
      <t>1.5 points</t>
    </r>
    <r>
      <rPr>
        <sz val="12"/>
        <color rgb="FF002060"/>
        <rFont val="Times New Roman"/>
        <family val="1"/>
      </rPr>
      <t>)  Verify your colleague’s assumption.</t>
    </r>
  </si>
  <si>
    <t>First need to determine if the case adequacy was strengthened in calendar year (CY) 2021: Analyze change in average case estimates.</t>
  </si>
  <si>
    <t>Analysis: There appears to have been strengthening in CY 2021 to support colleague's recommendation.</t>
  </si>
  <si>
    <t>Your colleague recommends using the calendar year 2021 diagonal to adjust for a change in case reserve adequacy.</t>
  </si>
  <si>
    <r>
      <t>(</t>
    </r>
    <r>
      <rPr>
        <i/>
        <sz val="12"/>
        <color rgb="FF002060"/>
        <rFont val="Times New Roman"/>
        <family val="1"/>
      </rPr>
      <t>0.5 points</t>
    </r>
    <r>
      <rPr>
        <sz val="12"/>
        <color rgb="FF002060"/>
        <rFont val="Times New Roman"/>
        <family val="1"/>
      </rPr>
      <t>)  Critique your colleague’s recommendation.</t>
    </r>
  </si>
  <si>
    <r>
      <t>·</t>
    </r>
    <r>
      <rPr>
        <sz val="7"/>
        <color theme="1"/>
        <rFont val="Times New Roman"/>
        <family val="1"/>
      </rPr>
      <t xml:space="preserve">       </t>
    </r>
    <r>
      <rPr>
        <sz val="12"/>
        <color theme="1"/>
        <rFont val="Times New Roman"/>
        <family val="1"/>
      </rPr>
      <t>even though the change was in CY 2021, could still use the most recent diagonal to reflect the most recent data point</t>
    </r>
  </si>
  <si>
    <r>
      <t>·</t>
    </r>
    <r>
      <rPr>
        <sz val="7"/>
        <color theme="1"/>
        <rFont val="Times New Roman"/>
        <family val="1"/>
      </rPr>
      <t xml:space="preserve">       </t>
    </r>
    <r>
      <rPr>
        <sz val="12"/>
        <color theme="1"/>
        <rFont val="Times New Roman"/>
        <family val="1"/>
      </rPr>
      <t>common practice to use most recent diagonal, so could use that</t>
    </r>
  </si>
  <si>
    <r>
      <t>·</t>
    </r>
    <r>
      <rPr>
        <sz val="7"/>
        <color theme="1"/>
        <rFont val="Times New Roman"/>
        <family val="1"/>
      </rPr>
      <t xml:space="preserve">       </t>
    </r>
    <r>
      <rPr>
        <sz val="12"/>
        <color theme="1"/>
        <rFont val="Times New Roman"/>
        <family val="1"/>
      </rPr>
      <t>even though it is more common to use most recent diagonal, using CY 2021 still acceptable</t>
    </r>
  </si>
  <si>
    <r>
      <t>(</t>
    </r>
    <r>
      <rPr>
        <i/>
        <sz val="12"/>
        <color rgb="FF002060"/>
        <rFont val="Times New Roman"/>
        <family val="1"/>
      </rPr>
      <t>2 points</t>
    </r>
    <r>
      <rPr>
        <sz val="12"/>
        <color rgb="FF002060"/>
        <rFont val="Times New Roman"/>
        <family val="1"/>
      </rPr>
      <t>)  Construct a reported claims triangle adjusted for the change in case adequacy, basing the adjustments on the calendar year 2022 diagonal.</t>
    </r>
  </si>
  <si>
    <t>Policy Number</t>
  </si>
  <si>
    <t>Policy Premium</t>
  </si>
  <si>
    <t>Policy Effective Date</t>
  </si>
  <si>
    <t>Policy Expiration Date</t>
  </si>
  <si>
    <t>·       The written premiums are divided into equal annual values and recorded on each anniversary of the effective date.</t>
  </si>
  <si>
    <t>·       There were no cancellations.</t>
  </si>
  <si>
    <r>
      <t>(</t>
    </r>
    <r>
      <rPr>
        <i/>
        <sz val="12"/>
        <color rgb="FF002060"/>
        <rFont val="Times New Roman"/>
        <family val="1"/>
      </rPr>
      <t>1 point</t>
    </r>
    <r>
      <rPr>
        <sz val="12"/>
        <color rgb="FF002060"/>
        <rFont val="Times New Roman"/>
        <family val="1"/>
      </rPr>
      <t>)  Calculate the written premiums for 2022.</t>
    </r>
  </si>
  <si>
    <t>% Written in 2022</t>
  </si>
  <si>
    <t>2022 Written Premiums</t>
  </si>
  <si>
    <r>
      <t>(</t>
    </r>
    <r>
      <rPr>
        <i/>
        <sz val="12"/>
        <color rgb="FF002060"/>
        <rFont val="Times New Roman"/>
        <family val="1"/>
      </rPr>
      <t>1 point</t>
    </r>
    <r>
      <rPr>
        <sz val="12"/>
        <color rgb="FF002060"/>
        <rFont val="Times New Roman"/>
        <family val="1"/>
      </rPr>
      <t>)  Calculate the earned premiums for 2022.</t>
    </r>
  </si>
  <si>
    <t>% Earned in 2022</t>
  </si>
  <si>
    <t>2022 Earned Premiums</t>
  </si>
  <si>
    <t>6/24 =</t>
  </si>
  <si>
    <t>12/36 =</t>
  </si>
  <si>
    <t>4/24 =</t>
  </si>
  <si>
    <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the unearned premiums as of December 31, 2022.</t>
    </r>
  </si>
  <si>
    <t>Equivalent Annual Premium</t>
  </si>
  <si>
    <t>Written Date in 2022</t>
  </si>
  <si>
    <t># Months Unearned as of Dec 31, 2022</t>
  </si>
  <si>
    <t>UEP as of Dec. 31, 2022</t>
  </si>
  <si>
    <t>It was subsequently noticed that policy 504 was a motorcycle policy that was priced assuming it was not operated from October 1 through March 31 each year.</t>
  </si>
  <si>
    <r>
      <t>(</t>
    </r>
    <r>
      <rPr>
        <i/>
        <sz val="12"/>
        <color rgb="FF002060"/>
        <rFont val="Times New Roman"/>
        <family val="1"/>
      </rPr>
      <t>1 point</t>
    </r>
    <r>
      <rPr>
        <sz val="12"/>
        <color rgb="FF002060"/>
        <rFont val="Times New Roman"/>
        <family val="1"/>
      </rPr>
      <t>)  Recalculate the 2022 earned premium for policy 504.</t>
    </r>
  </si>
  <si>
    <t xml:space="preserve"> (i.e., 12 months less the 6 months the vehicle was not operated)</t>
  </si>
  <si>
    <t>Monthly earned premium:</t>
  </si>
  <si>
    <t># of months in 2022 vehicle was operated:</t>
  </si>
  <si>
    <t>2022 earned premium:</t>
  </si>
  <si>
    <r>
      <t>(</t>
    </r>
    <r>
      <rPr>
        <i/>
        <sz val="12"/>
        <color rgb="FF002060"/>
        <rFont val="Times New Roman"/>
        <family val="1"/>
      </rPr>
      <t>0.5 points</t>
    </r>
    <r>
      <rPr>
        <sz val="12"/>
        <color rgb="FF002060"/>
        <rFont val="Times New Roman"/>
        <family val="1"/>
      </rPr>
      <t>)  Recalculate the unearned premium as of December 31, 2022 for policy 504.</t>
    </r>
  </si>
  <si>
    <t># of months unearned as of Dec. 31, 2022 (excluding months in 2023 vehicle was not operated):</t>
  </si>
  <si>
    <t>Unearned premium as of Dec. 31, 2022:</t>
  </si>
  <si>
    <r>
      <t>(</t>
    </r>
    <r>
      <rPr>
        <i/>
        <sz val="12"/>
        <color rgb="FF002060"/>
        <rFont val="Times New Roman"/>
        <family val="1"/>
      </rPr>
      <t>0.5 points</t>
    </r>
    <r>
      <rPr>
        <sz val="12"/>
        <color rgb="FF002060"/>
        <rFont val="Times New Roman"/>
        <family val="1"/>
      </rPr>
      <t>)  Describe why the parallelogram approximation would not be appropriate when adjusting historical premiums to current rate levels for policies such as policy 504.</t>
    </r>
  </si>
  <si>
    <t>It would not be appropriate because premiums are not earned evenly throughout the policy term.</t>
  </si>
  <si>
    <t>F2023 Question 1</t>
  </si>
  <si>
    <t>F2023 Question 3</t>
  </si>
  <si>
    <t>F2023 Question 4</t>
  </si>
  <si>
    <t>F2023 Question 5</t>
  </si>
  <si>
    <t>F2023 Question 8</t>
  </si>
  <si>
    <t>F2023 Question 9</t>
  </si>
  <si>
    <t>F2023 Question 10</t>
  </si>
  <si>
    <t>F2023 Question 11</t>
  </si>
  <si>
    <t>F2023 Question 12</t>
  </si>
  <si>
    <t>F2023 Question 13</t>
  </si>
  <si>
    <t>F2023 Question 14</t>
  </si>
  <si>
    <t>F2023 Question 15</t>
  </si>
  <si>
    <t>ABC Insurance has a book of business with the following information:</t>
  </si>
  <si>
    <r>
      <t>·</t>
    </r>
    <r>
      <rPr>
        <sz val="7"/>
        <color rgb="FF002060"/>
        <rFont val="Times New Roman"/>
        <family val="1"/>
      </rPr>
      <t xml:space="preserve">       </t>
    </r>
    <r>
      <rPr>
        <sz val="12"/>
        <color rgb="FF002060"/>
        <rFont val="Times New Roman"/>
        <family val="1"/>
      </rPr>
      <t>There were</t>
    </r>
  </si>
  <si>
    <t>annual policies in force on January 1, 2022, each with an annual premium of</t>
  </si>
  <si>
    <t>, and a renewal date of April 1.</t>
  </si>
  <si>
    <r>
      <t>·</t>
    </r>
    <r>
      <rPr>
        <sz val="7"/>
        <color rgb="FF002060"/>
        <rFont val="Times New Roman"/>
        <family val="1"/>
      </rPr>
      <t xml:space="preserve">       </t>
    </r>
    <r>
      <rPr>
        <sz val="12"/>
        <color rgb="FF002060"/>
        <rFont val="Times New Roman"/>
        <family val="1"/>
      </rPr>
      <t>These policies had a renewal rate of:</t>
    </r>
  </si>
  <si>
    <t>on April 1, 2022</t>
  </si>
  <si>
    <t>on April 1, 2023</t>
  </si>
  <si>
    <r>
      <t>·</t>
    </r>
    <r>
      <rPr>
        <sz val="7"/>
        <color rgb="FF002060"/>
        <rFont val="Times New Roman"/>
        <family val="1"/>
      </rPr>
      <t xml:space="preserve">       </t>
    </r>
    <r>
      <rPr>
        <sz val="12"/>
        <color rgb="FF002060"/>
        <rFont val="Times New Roman"/>
        <family val="1"/>
      </rPr>
      <t>The following four other policies have been written:</t>
    </r>
  </si>
  <si>
    <t>Policy Term (months)</t>
  </si>
  <si>
    <r>
      <t>·</t>
    </r>
    <r>
      <rPr>
        <sz val="7"/>
        <color rgb="FF002060"/>
        <rFont val="Times New Roman"/>
        <family val="1"/>
      </rPr>
      <t xml:space="preserve">       </t>
    </r>
    <r>
      <rPr>
        <sz val="12"/>
        <color rgb="FF002060"/>
        <rFont val="Times New Roman"/>
        <family val="1"/>
      </rPr>
      <t>Policy 100 was renewed on March 1, 2023.</t>
    </r>
  </si>
  <si>
    <r>
      <t>·</t>
    </r>
    <r>
      <rPr>
        <sz val="7"/>
        <color rgb="FF002060"/>
        <rFont val="Times New Roman"/>
        <family val="1"/>
      </rPr>
      <t xml:space="preserve">       </t>
    </r>
    <r>
      <rPr>
        <sz val="12"/>
        <color rgb="FF002060"/>
        <rFont val="Times New Roman"/>
        <family val="1"/>
      </rPr>
      <t>Policy 300 was cancelled on October 1, 2023.</t>
    </r>
  </si>
  <si>
    <r>
      <t>·</t>
    </r>
    <r>
      <rPr>
        <sz val="7"/>
        <color rgb="FF002060"/>
        <rFont val="Times New Roman"/>
        <family val="1"/>
      </rPr>
      <t xml:space="preserve">       </t>
    </r>
    <r>
      <rPr>
        <sz val="12"/>
        <color rgb="FF002060"/>
        <rFont val="Times New Roman"/>
        <family val="1"/>
      </rPr>
      <t>Policies 100, 200, and 400 were still in force on December 31, 2023.</t>
    </r>
  </si>
  <si>
    <r>
      <t>·</t>
    </r>
    <r>
      <rPr>
        <sz val="7"/>
        <color rgb="FF002060"/>
        <rFont val="Times New Roman"/>
        <family val="1"/>
      </rPr>
      <t xml:space="preserve">       </t>
    </r>
    <r>
      <rPr>
        <sz val="12"/>
        <color rgb="FF002060"/>
        <rFont val="Times New Roman"/>
        <family val="1"/>
      </rPr>
      <t>Premiums for all policies written or renewed on or after April 1, 2022, were increased by</t>
    </r>
  </si>
  <si>
    <r>
      <t>·</t>
    </r>
    <r>
      <rPr>
        <sz val="7"/>
        <color rgb="FF002060"/>
        <rFont val="Times New Roman"/>
        <family val="1"/>
      </rPr>
      <t xml:space="preserve">       </t>
    </r>
    <r>
      <rPr>
        <sz val="12"/>
        <color rgb="FF002060"/>
        <rFont val="Times New Roman"/>
        <family val="1"/>
      </rPr>
      <t xml:space="preserve">Premiums for all policies written or renewed on or after April 1, 2023, were increased by </t>
    </r>
  </si>
  <si>
    <r>
      <t>·</t>
    </r>
    <r>
      <rPr>
        <sz val="7"/>
        <color rgb="FF002060"/>
        <rFont val="Times New Roman"/>
        <family val="1"/>
      </rPr>
      <t xml:space="preserve">       </t>
    </r>
    <r>
      <rPr>
        <sz val="12"/>
        <color rgb="FF002060"/>
        <rFont val="Times New Roman"/>
        <family val="1"/>
      </rPr>
      <t>ABC earns premium evenly throughout the year.</t>
    </r>
  </si>
  <si>
    <r>
      <t>(</t>
    </r>
    <r>
      <rPr>
        <i/>
        <sz val="12"/>
        <color rgb="FF002060"/>
        <rFont val="Times New Roman"/>
        <family val="1"/>
      </rPr>
      <t>2 points</t>
    </r>
    <r>
      <rPr>
        <sz val="12"/>
        <color rgb="FF002060"/>
        <rFont val="Times New Roman"/>
        <family val="1"/>
      </rPr>
      <t>)  Calculate the total earned premium for calendar year 2022.</t>
    </r>
  </si>
  <si>
    <t>Period in CY2022</t>
  </si>
  <si>
    <t>Monthly Premium</t>
  </si>
  <si>
    <t># policies</t>
  </si>
  <si>
    <t># of months earned in 2022</t>
  </si>
  <si>
    <t>CY2022 Earned Premium</t>
  </si>
  <si>
    <t>Block</t>
  </si>
  <si>
    <t>Jan-March 2022</t>
  </si>
  <si>
    <t>April-Dec 2022</t>
  </si>
  <si>
    <t>Mar 1-Dec 31, 2022</t>
  </si>
  <si>
    <t>May 1-Dec 31, 2022</t>
  </si>
  <si>
    <t>July 1-Dec 31, 2022</t>
  </si>
  <si>
    <r>
      <t>(</t>
    </r>
    <r>
      <rPr>
        <i/>
        <sz val="12"/>
        <color rgb="FF002060"/>
        <rFont val="Times New Roman"/>
        <family val="1"/>
      </rPr>
      <t>2 points</t>
    </r>
    <r>
      <rPr>
        <sz val="12"/>
        <color rgb="FF002060"/>
        <rFont val="Times New Roman"/>
        <family val="1"/>
      </rPr>
      <t>)  Calculate the total unearned premium as of December 31, 2023.</t>
    </r>
  </si>
  <si>
    <t># of months outstanding on Dec. 31, 2023</t>
  </si>
  <si>
    <t>Total Unearned Premium</t>
  </si>
  <si>
    <t>ABC is conducting a ratemaking analysis with new rates to be effective April 1, 2024.</t>
  </si>
  <si>
    <r>
      <t>(</t>
    </r>
    <r>
      <rPr>
        <i/>
        <sz val="12"/>
        <color rgb="FF002060"/>
        <rFont val="Times New Roman"/>
        <family val="1"/>
      </rPr>
      <t>1.5 points</t>
    </r>
    <r>
      <rPr>
        <sz val="12"/>
        <color rgb="FF002060"/>
        <rFont val="Times New Roman"/>
        <family val="1"/>
      </rPr>
      <t>)  Calculate the calendar year 2022 earned premium at current rate levels using the extension of exposures method.</t>
    </r>
  </si>
  <si>
    <t>Monthly Premium from Part (a)</t>
  </si>
  <si>
    <t>Rate change to Current Rate Level</t>
  </si>
  <si>
    <t>Monthly Premium at Current Rates</t>
  </si>
  <si>
    <t>CY2022 Earned Premium at Current Rate Levels</t>
  </si>
  <si>
    <r>
      <t>(</t>
    </r>
    <r>
      <rPr>
        <i/>
        <sz val="12"/>
        <color rgb="FF002060"/>
        <rFont val="Times New Roman"/>
        <family val="1"/>
      </rPr>
      <t>0.5 points</t>
    </r>
    <r>
      <rPr>
        <sz val="12"/>
        <color rgb="FF002060"/>
        <rFont val="Times New Roman"/>
        <family val="1"/>
      </rPr>
      <t>)  State why the parallelogram approach is not as accurate as the extension of exposures method used in part (c).</t>
    </r>
  </si>
  <si>
    <t>The exposures are not evenly distributed over time.</t>
  </si>
  <si>
    <t>You are estimating ultimate claims as of December 31, 2023 for a line of business that has seasonality.</t>
  </si>
  <si>
    <t>Accident Half-Year</t>
  </si>
  <si>
    <t>2023-1</t>
  </si>
  <si>
    <t>2023-2</t>
  </si>
  <si>
    <t>There is no development after 48 months.</t>
  </si>
  <si>
    <r>
      <t>(</t>
    </r>
    <r>
      <rPr>
        <i/>
        <sz val="12"/>
        <color rgb="FF002060"/>
        <rFont val="Times New Roman"/>
        <family val="1"/>
      </rPr>
      <t>2.5 points</t>
    </r>
    <r>
      <rPr>
        <sz val="12"/>
        <color rgb="FF002060"/>
        <rFont val="Times New Roman"/>
        <family val="1"/>
      </rPr>
      <t>)  Calculate the ultimate claims for accident year 2023 using the development method.  Justify your selections.</t>
    </r>
  </si>
  <si>
    <t>AHY-1 Avg</t>
  </si>
  <si>
    <t>AHY-2 Avg</t>
  </si>
  <si>
    <t>All years Avg</t>
  </si>
  <si>
    <t>AHY-1 Selected Factors:</t>
  </si>
  <si>
    <t>Age-Ult</t>
  </si>
  <si>
    <t>AHY-2 Selected Factors:</t>
  </si>
  <si>
    <t>Accident Year 2023:</t>
  </si>
  <si>
    <t>Age-Ult Factor</t>
  </si>
  <si>
    <r>
      <t>(</t>
    </r>
    <r>
      <rPr>
        <i/>
        <sz val="12"/>
        <color rgb="FF002060"/>
        <rFont val="Times New Roman"/>
        <family val="1"/>
      </rPr>
      <t>1 point</t>
    </r>
    <r>
      <rPr>
        <sz val="12"/>
        <color rgb="FF002060"/>
        <rFont val="Times New Roman"/>
        <family val="1"/>
      </rPr>
      <t>)  Calculate the accident year 2023 expected reported claims from December 31, 2023 to June 30, 2024.</t>
    </r>
  </si>
  <si>
    <t>Incremental</t>
  </si>
  <si>
    <t>Half-Year</t>
  </si>
  <si>
    <t>Dev. Factor</t>
  </si>
  <si>
    <t>Some lines of business require a tail factor.</t>
  </si>
  <si>
    <r>
      <t>(</t>
    </r>
    <r>
      <rPr>
        <i/>
        <sz val="12"/>
        <color rgb="FF002060"/>
        <rFont val="Times New Roman"/>
        <family val="1"/>
      </rPr>
      <t>0.5 points</t>
    </r>
    <r>
      <rPr>
        <sz val="12"/>
        <color rgb="FF002060"/>
        <rFont val="Times New Roman"/>
        <family val="1"/>
      </rPr>
      <t>)  Describe one disadvantage of the Bondy method.</t>
    </r>
  </si>
  <si>
    <t>Its primary disadvantage is the potential to greatly underestimate the remaining development for long-tail lines.</t>
  </si>
  <si>
    <r>
      <t>(</t>
    </r>
    <r>
      <rPr>
        <i/>
        <sz val="12"/>
        <color rgb="FF002060"/>
        <rFont val="Times New Roman"/>
        <family val="1"/>
      </rPr>
      <t>1 point</t>
    </r>
    <r>
      <rPr>
        <sz val="12"/>
        <color rgb="FF002060"/>
        <rFont val="Times New Roman"/>
        <family val="1"/>
      </rPr>
      <t>)  State one advantage and one disadvantage of Boor’s algebraic method.</t>
    </r>
  </si>
  <si>
    <t>Advantage: It is based entirely on data in triangles, so no need for additional data.</t>
  </si>
  <si>
    <t>Disadvantage: Need reliable estimates of ultimate claims for most mature periods, and that is not always available.</t>
  </si>
  <si>
    <t xml:space="preserve">You are analyzing premium trend on a large book of business for a ratemaking exercise. </t>
  </si>
  <si>
    <r>
      <t>(</t>
    </r>
    <r>
      <rPr>
        <i/>
        <sz val="12"/>
        <color rgb="FF002060"/>
        <rFont val="Times New Roman"/>
        <family val="1"/>
      </rPr>
      <t>0.5 points</t>
    </r>
    <r>
      <rPr>
        <sz val="12"/>
        <color rgb="FF002060"/>
        <rFont val="Times New Roman"/>
        <family val="1"/>
      </rPr>
      <t>)  Explain the purpose of quantifying the effect of shifts in the mix of exposures and rating characteristics on the premium during the experience period.</t>
    </r>
  </si>
  <si>
    <t>The purpose is so that the historical premiums can be adjusted to reflect the average premium level that is expected during the forecast period.</t>
  </si>
  <si>
    <t>Based on an analysis of the historical premium for this book of business, the annual premium trend has been 1.5% prior to January 1, 2024.  You are expecting a significant change in the economic environment and have therefore selected an annual trend of 3.0% for all policies written on or after January 1, 2024.  All policies are six-month policies, written evenly throughout each year.  The new rates will be in effect starting October 1, 2024 for one year.</t>
  </si>
  <si>
    <r>
      <t>(</t>
    </r>
    <r>
      <rPr>
        <i/>
        <sz val="12"/>
        <color rgb="FF002060"/>
        <rFont val="Times New Roman"/>
        <family val="1"/>
      </rPr>
      <t>1.5 points</t>
    </r>
    <r>
      <rPr>
        <sz val="12"/>
        <color rgb="FF002060"/>
        <rFont val="Times New Roman"/>
        <family val="1"/>
      </rPr>
      <t>)  Calculate the 2020 premium trend factor to be used to adjust 2020 earned premiums for the ratemaking exercise.</t>
    </r>
  </si>
  <si>
    <t>Past trend:</t>
  </si>
  <si>
    <t>All policies written between July 1, 2019 and December 31, 2020 contribute toward 2020 earned premium.  Average written date =</t>
  </si>
  <si>
    <t xml:space="preserve">Past trend period: </t>
  </si>
  <si>
    <t>Future trend:</t>
  </si>
  <si>
    <t>New policies effective:</t>
  </si>
  <si>
    <t>year</t>
  </si>
  <si>
    <t>Average written date in future rating period:</t>
  </si>
  <si>
    <t xml:space="preserve">Future trend period: </t>
  </si>
  <si>
    <r>
      <t>(</t>
    </r>
    <r>
      <rPr>
        <i/>
        <sz val="12"/>
        <color rgb="FF002060"/>
        <rFont val="Times New Roman"/>
        <family val="1"/>
      </rPr>
      <t>1 point</t>
    </r>
    <r>
      <rPr>
        <sz val="12"/>
        <color rgb="FF002060"/>
        <rFont val="Times New Roman"/>
        <family val="1"/>
      </rPr>
      <t>)  Explain how the premium trend factors would be affected by the following:</t>
    </r>
  </si>
  <si>
    <r>
      <t>(i)</t>
    </r>
    <r>
      <rPr>
        <sz val="7"/>
        <color rgb="FF002060"/>
        <rFont val="Times New Roman"/>
        <family val="1"/>
      </rPr>
      <t xml:space="preserve">              </t>
    </r>
    <r>
      <rPr>
        <sz val="12"/>
        <color rgb="FF002060"/>
        <rFont val="Times New Roman"/>
        <family val="1"/>
      </rPr>
      <t>An increasing proportion of insureds choosing a lower policy limit at the beginning of 2024</t>
    </r>
  </si>
  <si>
    <r>
      <t>(i)</t>
    </r>
    <r>
      <rPr>
        <sz val="7"/>
        <color rgb="FF002060"/>
        <rFont val="Times New Roman"/>
        <family val="1"/>
      </rPr>
      <t xml:space="preserve">              </t>
    </r>
    <r>
      <rPr>
        <sz val="12"/>
        <color rgb="FF002060"/>
        <rFont val="Times New Roman"/>
        <family val="1"/>
      </rPr>
      <t>An increasing proportion of insureds choosing a higher deductible at the beginning of 2024</t>
    </r>
  </si>
  <si>
    <t>(i) The decreased insured value would decrease the premiums, so the premium trend factors would decrease</t>
  </si>
  <si>
    <t>(ii) The higher deductible would decrease the premiums, so the premium trend factor would decrease</t>
  </si>
  <si>
    <r>
      <t>(</t>
    </r>
    <r>
      <rPr>
        <i/>
        <sz val="12"/>
        <color rgb="FF002060"/>
        <rFont val="Times New Roman"/>
        <family val="1"/>
      </rPr>
      <t>1 point</t>
    </r>
    <r>
      <rPr>
        <sz val="12"/>
        <color rgb="FF002060"/>
        <rFont val="Times New Roman"/>
        <family val="1"/>
      </rPr>
      <t>)  Describe why the trending periods would be different in the part (b) calculation if this trending analysis is done for a self-insurer.</t>
    </r>
  </si>
  <si>
    <t>A self-insurer is essentially one policy and not a series of policies written over the period.</t>
  </si>
  <si>
    <t>Therefore, the average written dates would be based on the self-insurer's fiscal year (e.g., fiscal year running from May 1 through April 30 would have an average date of Nov 1).</t>
  </si>
  <si>
    <r>
      <t>(</t>
    </r>
    <r>
      <rPr>
        <i/>
        <sz val="12"/>
        <color rgb="FF002060"/>
        <rFont val="Times New Roman"/>
        <family val="1"/>
      </rPr>
      <t>11 points</t>
    </r>
    <r>
      <rPr>
        <sz val="12"/>
        <color rgb="FF002060"/>
        <rFont val="Times New Roman"/>
        <family val="1"/>
      </rPr>
      <t>)</t>
    </r>
  </si>
  <si>
    <t>You are conducting a ratemaking analysis for a line of business in state S with the following information:</t>
  </si>
  <si>
    <r>
      <t>·</t>
    </r>
    <r>
      <rPr>
        <sz val="7"/>
        <color rgb="FF002060"/>
        <rFont val="Times New Roman"/>
        <family val="1"/>
      </rPr>
      <t xml:space="preserve">       </t>
    </r>
    <r>
      <rPr>
        <sz val="12"/>
        <color rgb="FF002060"/>
        <rFont val="TimesNewRomanPSMT"/>
      </rPr>
      <t>The new rates are to be effective September 1, 2024, through August 31, 2025.</t>
    </r>
  </si>
  <si>
    <r>
      <t>·</t>
    </r>
    <r>
      <rPr>
        <sz val="7"/>
        <color rgb="FF002060"/>
        <rFont val="Times New Roman"/>
        <family val="1"/>
      </rPr>
      <t xml:space="preserve">       </t>
    </r>
    <r>
      <rPr>
        <sz val="12"/>
        <color rgb="FF002060"/>
        <rFont val="TimesNewRomanPSMT"/>
      </rPr>
      <t>All policies are written for 6-month policy terms.</t>
    </r>
  </si>
  <si>
    <r>
      <t>·</t>
    </r>
    <r>
      <rPr>
        <sz val="7"/>
        <color rgb="FF002060"/>
        <rFont val="Times New Roman"/>
        <family val="1"/>
      </rPr>
      <t xml:space="preserve">       </t>
    </r>
    <r>
      <rPr>
        <sz val="12"/>
        <color rgb="FF002060"/>
        <rFont val="TimesNewRomanPSMT"/>
      </rPr>
      <t>The annual frequency trend is</t>
    </r>
  </si>
  <si>
    <r>
      <t>·</t>
    </r>
    <r>
      <rPr>
        <sz val="7"/>
        <color rgb="FF002060"/>
        <rFont val="Times New Roman"/>
        <family val="1"/>
      </rPr>
      <t xml:space="preserve">       </t>
    </r>
    <r>
      <rPr>
        <sz val="12"/>
        <color rgb="FF002060"/>
        <rFont val="TimesNewRomanPSMT"/>
      </rPr>
      <t>The annual severity trend is</t>
    </r>
  </si>
  <si>
    <t>You are also given the following state S claims data for non-hurricane weather excluding hail:</t>
  </si>
  <si>
    <t>Frequency per 100 earned house years (EHY)</t>
  </si>
  <si>
    <r>
      <t>(</t>
    </r>
    <r>
      <rPr>
        <i/>
        <sz val="12"/>
        <color rgb="FF002060"/>
        <rFont val="Times New Roman"/>
        <family val="1"/>
      </rPr>
      <t>2 points</t>
    </r>
    <r>
      <rPr>
        <sz val="12"/>
        <color rgb="FF002060"/>
        <rFont val="Times New Roman"/>
        <family val="1"/>
      </rPr>
      <t>)  Calculate the trended ultimate non-hurricane weather excluding hail pure premium per 100 EHY for all years.</t>
    </r>
  </si>
  <si>
    <t>(9 months after start date).</t>
  </si>
  <si>
    <t># months from 2023 average accident date to June 1, 2025:</t>
  </si>
  <si>
    <t>Frequency per 100 EHY</t>
  </si>
  <si>
    <t>Frequency @ -1.0%</t>
  </si>
  <si>
    <t>Severity @5.0%</t>
  </si>
  <si>
    <t>Pure Premium per 100 EHY</t>
  </si>
  <si>
    <t>-all years</t>
  </si>
  <si>
    <r>
      <t>(</t>
    </r>
    <r>
      <rPr>
        <i/>
        <sz val="12"/>
        <color rgb="FF002060"/>
        <rFont val="Times New Roman"/>
        <family val="1"/>
      </rPr>
      <t>0.5 points</t>
    </r>
    <r>
      <rPr>
        <sz val="12"/>
        <color rgb="FF002060"/>
        <rFont val="Times New Roman"/>
        <family val="1"/>
      </rPr>
      <t>)  Recommend the trended ultimate non-hurricane weather excluding hail pure premium per 100 EHY to use in determining a weather loading.  Justify your recommendation.</t>
    </r>
  </si>
  <si>
    <t>Recommend all years average:</t>
  </si>
  <si>
    <t>Justification: should use more years to smooth out fluctuations; no significant trend</t>
  </si>
  <si>
    <r>
      <t>·</t>
    </r>
    <r>
      <rPr>
        <sz val="7"/>
        <color rgb="FF002060"/>
        <rFont val="Times New Roman"/>
        <family val="1"/>
      </rPr>
      <t xml:space="preserve">       </t>
    </r>
    <r>
      <rPr>
        <sz val="12"/>
        <color rgb="FF002060"/>
        <rFont val="Times New Roman"/>
        <family val="1"/>
      </rPr>
      <t xml:space="preserve">Calendar year 2023 earned premiums at current rate level are </t>
    </r>
  </si>
  <si>
    <r>
      <t>·</t>
    </r>
    <r>
      <rPr>
        <sz val="7"/>
        <color rgb="FF002060"/>
        <rFont val="Times New Roman"/>
        <family val="1"/>
      </rPr>
      <t xml:space="preserve">       </t>
    </r>
    <r>
      <rPr>
        <sz val="12"/>
        <color rgb="FF002060"/>
        <rFont val="Times New Roman"/>
        <family val="1"/>
      </rPr>
      <t xml:space="preserve">Calendar year 2023 EHY are </t>
    </r>
  </si>
  <si>
    <r>
      <t>·</t>
    </r>
    <r>
      <rPr>
        <sz val="7"/>
        <color rgb="FF002060"/>
        <rFont val="Times New Roman"/>
        <family val="1"/>
      </rPr>
      <t xml:space="preserve">       </t>
    </r>
    <r>
      <rPr>
        <sz val="12"/>
        <color rgb="FF002060"/>
        <rFont val="Times New Roman"/>
        <family val="1"/>
      </rPr>
      <t>State S is part of region R.</t>
    </r>
  </si>
  <si>
    <r>
      <t>·</t>
    </r>
    <r>
      <rPr>
        <sz val="7"/>
        <color rgb="FF002060"/>
        <rFont val="Times New Roman"/>
        <family val="1"/>
      </rPr>
      <t xml:space="preserve">       </t>
    </r>
    <r>
      <rPr>
        <sz val="12"/>
        <color rgb="FF002060"/>
        <rFont val="Times New Roman"/>
        <family val="1"/>
      </rPr>
      <t xml:space="preserve">The trended ultimate pure premium per 100 EHY for region R is </t>
    </r>
  </si>
  <si>
    <r>
      <t>·</t>
    </r>
    <r>
      <rPr>
        <sz val="7"/>
        <color rgb="FF002060"/>
        <rFont val="Times New Roman"/>
        <family val="1"/>
      </rPr>
      <t xml:space="preserve">       </t>
    </r>
    <r>
      <rPr>
        <sz val="12"/>
        <color rgb="FF002060"/>
        <rFont val="Times New Roman"/>
        <family val="1"/>
      </rPr>
      <t xml:space="preserve">The credibility that relates to the non-hurricane weather excluding hail loading for state S is </t>
    </r>
  </si>
  <si>
    <r>
      <t>(</t>
    </r>
    <r>
      <rPr>
        <i/>
        <sz val="12"/>
        <color rgb="FF002060"/>
        <rFont val="Times New Roman"/>
        <family val="1"/>
      </rPr>
      <t>1 point</t>
    </r>
    <r>
      <rPr>
        <sz val="12"/>
        <color rgb="FF002060"/>
        <rFont val="Times New Roman"/>
        <family val="1"/>
      </rPr>
      <t>)  Calculate the non-hurricane weather excluding hail loading percentage to use for ratemaking.</t>
    </r>
  </si>
  <si>
    <t>Selected state S PP per 100 EHY</t>
  </si>
  <si>
    <t>Credibility-Weighted Pure Premium per 100 EHY</t>
  </si>
  <si>
    <t>Expected Non-Hurricane Weather Claims</t>
  </si>
  <si>
    <t>Weather loading as a claim ratio</t>
  </si>
  <si>
    <t>Actuaries can have flexibility in choosing the number of years to include in the experience period for ratemaking purposes.</t>
  </si>
  <si>
    <r>
      <t>(</t>
    </r>
    <r>
      <rPr>
        <i/>
        <sz val="12"/>
        <color rgb="FF002060"/>
        <rFont val="Times New Roman"/>
        <family val="1"/>
      </rPr>
      <t>1 point</t>
    </r>
    <r>
      <rPr>
        <sz val="12"/>
        <color rgb="FF002060"/>
        <rFont val="Times New Roman"/>
        <family val="1"/>
      </rPr>
      <t>)  Identify two considerations when choosing the number of years and/or the weights to assign to each of the years.</t>
    </r>
  </si>
  <si>
    <t>Any 2 of the following are acceptable:</t>
  </si>
  <si>
    <t xml:space="preserve"> - professional judgment</t>
  </si>
  <si>
    <t xml:space="preserve"> - assessment of the relevance and reliability of the insurer's historical experience</t>
  </si>
  <si>
    <t xml:space="preserve"> - whether there are regulation requirements</t>
  </si>
  <si>
    <t xml:space="preserve"> - balance between stability and responsiveness</t>
  </si>
  <si>
    <t xml:space="preserve"> - management input</t>
  </si>
  <si>
    <t xml:space="preserve"> - credibility consideration - want enough years for full credibility, if possible</t>
  </si>
  <si>
    <t xml:space="preserve"> - also acceptable to note that give more weight to recent experience to account for recent changes</t>
  </si>
  <si>
    <t>You are given the following data:</t>
  </si>
  <si>
    <t>Historical Earned Premiums</t>
  </si>
  <si>
    <t>The full credibility standard is</t>
  </si>
  <si>
    <r>
      <t>(</t>
    </r>
    <r>
      <rPr>
        <i/>
        <sz val="12"/>
        <color rgb="FF002060"/>
        <rFont val="Times New Roman"/>
        <family val="1"/>
      </rPr>
      <t>1 point</t>
    </r>
    <r>
      <rPr>
        <sz val="12"/>
        <color rgb="FF002060"/>
        <rFont val="Times New Roman"/>
        <family val="1"/>
      </rPr>
      <t>)  Recommend the number of years to include when estimating the weighted average trended claim ratio for the indicated rate change.  Justify your recommendation.</t>
    </r>
  </si>
  <si>
    <t>Running Total</t>
  </si>
  <si>
    <t>Recommend 4 years.</t>
  </si>
  <si>
    <t>Justification:  Full credibility is met by including at least the most recent 4 years.</t>
  </si>
  <si>
    <r>
      <t>(</t>
    </r>
    <r>
      <rPr>
        <i/>
        <sz val="12"/>
        <color rgb="FF002060"/>
        <rFont val="Times New Roman"/>
        <family val="1"/>
      </rPr>
      <t>1 point</t>
    </r>
    <r>
      <rPr>
        <sz val="12"/>
        <color rgb="FF002060"/>
        <rFont val="Times New Roman"/>
        <family val="1"/>
      </rPr>
      <t>)  Recommend the weights to assign to each year when estimating the weighted average trended claim ratio for the indicated rate change.  Justify your recommendation.</t>
    </r>
  </si>
  <si>
    <t>Candidates can also select weights judgmentally, as long as the number of years used matches the number of years recommended in part (e).</t>
  </si>
  <si>
    <t>AY Weights</t>
  </si>
  <si>
    <t>Limited</t>
  </si>
  <si>
    <t>Balanced</t>
  </si>
  <si>
    <r>
      <t>·</t>
    </r>
    <r>
      <rPr>
        <sz val="7"/>
        <color rgb="FF002060"/>
        <rFont val="Times New Roman"/>
        <family val="1"/>
      </rPr>
      <t xml:space="preserve">       </t>
    </r>
    <r>
      <rPr>
        <sz val="12"/>
        <color rgb="FF002060"/>
        <rFont val="Times New Roman"/>
        <family val="1"/>
      </rPr>
      <t>Rate change history:</t>
    </r>
  </si>
  <si>
    <r>
      <t>o</t>
    </r>
    <r>
      <rPr>
        <sz val="7"/>
        <color rgb="FF002060"/>
        <rFont val="Times New Roman"/>
        <family val="1"/>
      </rPr>
      <t xml:space="preserve">   </t>
    </r>
    <r>
      <rPr>
        <sz val="12"/>
        <color rgb="FF002060"/>
        <rFont val="Times New Roman"/>
        <family val="1"/>
      </rPr>
      <t xml:space="preserve">A rate change of </t>
    </r>
  </si>
  <si>
    <t xml:space="preserve"> was effective July 1, 2020</t>
  </si>
  <si>
    <t xml:space="preserve"> was effective July 1, 2022</t>
  </si>
  <si>
    <r>
      <t>·</t>
    </r>
    <r>
      <rPr>
        <sz val="7"/>
        <color rgb="FF002060"/>
        <rFont val="Times New Roman"/>
        <family val="1"/>
      </rPr>
      <t xml:space="preserve">       </t>
    </r>
    <r>
      <rPr>
        <sz val="12"/>
        <color rgb="FF002060"/>
        <rFont val="Times New Roman"/>
        <family val="1"/>
      </rPr>
      <t>Premiums are written and earned evenly throughout the year.</t>
    </r>
  </si>
  <si>
    <r>
      <t>·</t>
    </r>
    <r>
      <rPr>
        <sz val="7"/>
        <color rgb="FF002060"/>
        <rFont val="Times New Roman"/>
        <family val="1"/>
      </rPr>
      <t xml:space="preserve">       </t>
    </r>
    <r>
      <rPr>
        <sz val="12"/>
        <color rgb="FF002060"/>
        <rFont val="Times New Roman"/>
        <family val="1"/>
      </rPr>
      <t>The ratio of ULAE to claims is</t>
    </r>
  </si>
  <si>
    <r>
      <t>·</t>
    </r>
    <r>
      <rPr>
        <sz val="7"/>
        <color rgb="FF002060"/>
        <rFont val="Times New Roman"/>
        <family val="1"/>
      </rPr>
      <t xml:space="preserve">       </t>
    </r>
    <r>
      <rPr>
        <sz val="12"/>
        <color rgb="FF002060"/>
        <rFont val="Times New Roman"/>
        <family val="1"/>
      </rPr>
      <t xml:space="preserve">The ratio of fixed expenses to premiums at current rates is </t>
    </r>
  </si>
  <si>
    <r>
      <t>·</t>
    </r>
    <r>
      <rPr>
        <sz val="7"/>
        <color rgb="FF002060"/>
        <rFont val="Times New Roman"/>
        <family val="1"/>
      </rPr>
      <t xml:space="preserve">       </t>
    </r>
    <r>
      <rPr>
        <sz val="12"/>
        <color rgb="FF002060"/>
        <rFont val="Times New Roman"/>
        <family val="1"/>
      </rPr>
      <t xml:space="preserve">The ratio of variable expenses to premiums is </t>
    </r>
  </si>
  <si>
    <r>
      <t>(</t>
    </r>
    <r>
      <rPr>
        <i/>
        <sz val="12"/>
        <color rgb="FF002060"/>
        <rFont val="Times New Roman"/>
        <family val="1"/>
      </rPr>
      <t>4.5 points</t>
    </r>
    <r>
      <rPr>
        <sz val="12"/>
        <color rgb="FF002060"/>
        <rFont val="Times New Roman"/>
        <family val="1"/>
      </rPr>
      <t>)  Calculate the indicated rate change for this line of business.</t>
    </r>
  </si>
  <si>
    <t>Area in CY</t>
  </si>
  <si>
    <t>Rate Index</t>
  </si>
  <si>
    <t>Claim Ratio Trend:</t>
  </si>
  <si>
    <t>Claim Trend</t>
  </si>
  <si>
    <t>Factors</t>
  </si>
  <si>
    <t>Period (yrs)</t>
  </si>
  <si>
    <t>Factor</t>
  </si>
  <si>
    <t>Weighted:</t>
  </si>
  <si>
    <t>Weighted Average Trended Claim Ratio (including non-hurricane weather loading):</t>
  </si>
  <si>
    <t>Weighted Average Trended Claim Ratio including ULAE</t>
  </si>
  <si>
    <t>Fixed Expenses as Ratio to Premiums at Current Rate Level</t>
  </si>
  <si>
    <t>Variable Expenses - Ratio to Premiums</t>
  </si>
  <si>
    <t>Profit and Contingencies Ratio to Premiums</t>
  </si>
  <si>
    <t xml:space="preserve">Permissible Claim Ratio </t>
  </si>
  <si>
    <t xml:space="preserve">Indicated Rate Change </t>
  </si>
  <si>
    <t>You are estimating IBNR for a line of business using the following information:</t>
  </si>
  <si>
    <t>Reported Claim Development Factors by Development Months</t>
  </si>
  <si>
    <t>72-Ult.</t>
  </si>
  <si>
    <r>
      <t>·</t>
    </r>
    <r>
      <rPr>
        <sz val="7"/>
        <color rgb="FF002060"/>
        <rFont val="Times New Roman"/>
        <family val="1"/>
      </rPr>
      <t xml:space="preserve">       </t>
    </r>
    <r>
      <rPr>
        <sz val="12"/>
        <color rgb="FF002060"/>
        <rFont val="Times New Roman"/>
        <family val="1"/>
      </rPr>
      <t xml:space="preserve">The expected claim ratio at the 2023 cost level is </t>
    </r>
  </si>
  <si>
    <r>
      <t>·</t>
    </r>
    <r>
      <rPr>
        <sz val="7"/>
        <color rgb="FF002060"/>
        <rFont val="Times New Roman"/>
        <family val="1"/>
      </rPr>
      <t xml:space="preserve">       </t>
    </r>
    <r>
      <rPr>
        <sz val="12"/>
        <color rgb="FF002060"/>
        <rFont val="Times New Roman"/>
        <family val="1"/>
      </rPr>
      <t xml:space="preserve">The annual claim ratio trend is </t>
    </r>
  </si>
  <si>
    <r>
      <t>(</t>
    </r>
    <r>
      <rPr>
        <i/>
        <sz val="12"/>
        <color rgb="FF002060"/>
        <rFont val="Times New Roman"/>
        <family val="1"/>
      </rPr>
      <t>3.5 points</t>
    </r>
    <r>
      <rPr>
        <sz val="12"/>
        <color rgb="FF002060"/>
        <rFont val="Times New Roman"/>
        <family val="1"/>
      </rPr>
      <t>)  Calculate the IBNR for each AY as of December 31, 2023 using:</t>
    </r>
  </si>
  <si>
    <t xml:space="preserve">(i) </t>
  </si>
  <si>
    <t>the Development method,</t>
  </si>
  <si>
    <t xml:space="preserve">(ii) </t>
  </si>
  <si>
    <t>the Bornhuetter Ferguson method, and</t>
  </si>
  <si>
    <t xml:space="preserve">(iii) </t>
  </si>
  <si>
    <t>two iterations of the Benktander method.</t>
  </si>
  <si>
    <t>Development Method Ultimate Claims</t>
  </si>
  <si>
    <t>Development Method IBNR</t>
  </si>
  <si>
    <t>Claim Trend Factor @6.1%</t>
  </si>
  <si>
    <t>Claim Ratio at Each AY Cost Level</t>
  </si>
  <si>
    <t>Expected Claims Based on Claim Ratio</t>
  </si>
  <si>
    <t>Ultimate Claims BF Method</t>
  </si>
  <si>
    <t>BF Method IBNR</t>
  </si>
  <si>
    <t>BK Method (Ultimate)</t>
  </si>
  <si>
    <t>BK Method (IBNR)</t>
  </si>
  <si>
    <t>Iteration 1</t>
  </si>
  <si>
    <t>Iteration 2</t>
  </si>
  <si>
    <r>
      <t>(</t>
    </r>
    <r>
      <rPr>
        <i/>
        <sz val="12"/>
        <color rgb="FF002060"/>
        <rFont val="Times New Roman"/>
        <family val="1"/>
      </rPr>
      <t>1 point</t>
    </r>
    <r>
      <rPr>
        <sz val="12"/>
        <color rgb="FF002060"/>
        <rFont val="Times New Roman"/>
        <family val="1"/>
      </rPr>
      <t>)  Explain if this business is performing better or worse than expected for AY 2023 using the methods above.</t>
    </r>
  </si>
  <si>
    <t>2023 claim ratio for each method:</t>
  </si>
  <si>
    <t>Development method</t>
  </si>
  <si>
    <t>BF method</t>
  </si>
  <si>
    <t>BK 2nd iteration</t>
  </si>
  <si>
    <t>Expected claim ratio:</t>
  </si>
  <si>
    <t>Since all claim  ratios are lower than the expected claim ratio, all are performing better than expected.</t>
  </si>
  <si>
    <t>One of the weaknesses of the Benktander method is that there is no clear guidance with respect to the appropriate number of iterations to perform.</t>
  </si>
  <si>
    <r>
      <t>(</t>
    </r>
    <r>
      <rPr>
        <i/>
        <sz val="12"/>
        <color rgb="FF002060"/>
        <rFont val="Times New Roman"/>
        <family val="1"/>
      </rPr>
      <t>0.5 points</t>
    </r>
    <r>
      <rPr>
        <sz val="12"/>
        <color rgb="FF002060"/>
        <rFont val="Times New Roman"/>
        <family val="1"/>
      </rPr>
      <t>)  Identify one other weakness of the Benktander method.</t>
    </r>
  </si>
  <si>
    <t>There is not a clear sense as to the improvement in the estimation of ultimate claims from additional iterations.</t>
  </si>
  <si>
    <t>According to Mango and Allen, one reason the classical paid-to-paid method produces a conservative estimate of unpaid ULAE is that the cost of ULAE per thousand dollars of claims is a decreasing function of the average claim size.</t>
  </si>
  <si>
    <r>
      <t>(</t>
    </r>
    <r>
      <rPr>
        <i/>
        <sz val="12"/>
        <color rgb="FF002060"/>
        <rFont val="Times New Roman"/>
        <family val="1"/>
      </rPr>
      <t>1 point</t>
    </r>
    <r>
      <rPr>
        <sz val="12"/>
        <color rgb="FF002060"/>
        <rFont val="Times New Roman"/>
        <family val="1"/>
      </rPr>
      <t>)  Provide another reason why the classical paid-to-paid method overstates unpaid ULAE, even in a steady state environment.</t>
    </r>
  </si>
  <si>
    <t xml:space="preserve">For most insurance portfolios, the average size of claims remaining open at the valuation date is greater than the average size of claims opened, </t>
  </si>
  <si>
    <t>and claims closed over the prior calendar year. This is the case even where there is no inflation and no growth in the exposure base.</t>
  </si>
  <si>
    <r>
      <t>(</t>
    </r>
    <r>
      <rPr>
        <i/>
        <sz val="12"/>
        <color rgb="FF002060"/>
        <rFont val="Times New Roman"/>
        <family val="1"/>
      </rPr>
      <t>1 point</t>
    </r>
    <r>
      <rPr>
        <sz val="12"/>
        <color rgb="FF002060"/>
        <rFont val="Times New Roman"/>
        <family val="1"/>
      </rPr>
      <t xml:space="preserve">)  Describe two situations where the Mango and Allen smoothing adjustment is particularly valuable in producing a more reasonable estimate of unpaid ULAE. </t>
    </r>
  </si>
  <si>
    <r>
      <t>·</t>
    </r>
    <r>
      <rPr>
        <sz val="7"/>
        <color theme="1"/>
        <rFont val="Times New Roman"/>
        <family val="1"/>
      </rPr>
      <t xml:space="preserve">       </t>
    </r>
    <r>
      <rPr>
        <sz val="12"/>
        <color theme="1"/>
        <rFont val="Times New Roman"/>
        <family val="1"/>
      </rPr>
      <t>Long-tail lines of business</t>
    </r>
  </si>
  <si>
    <r>
      <t>·</t>
    </r>
    <r>
      <rPr>
        <sz val="7"/>
        <color theme="1"/>
        <rFont val="Times New Roman"/>
        <family val="1"/>
      </rPr>
      <t xml:space="preserve">       </t>
    </r>
    <r>
      <rPr>
        <sz val="12"/>
        <color theme="1"/>
        <rFont val="Times New Roman"/>
        <family val="1"/>
      </rPr>
      <t>Changing exposure volume</t>
    </r>
  </si>
  <si>
    <r>
      <t>·</t>
    </r>
    <r>
      <rPr>
        <sz val="7"/>
        <color theme="1"/>
        <rFont val="Times New Roman"/>
        <family val="1"/>
      </rPr>
      <t xml:space="preserve">       </t>
    </r>
    <r>
      <rPr>
        <sz val="12"/>
        <color theme="1"/>
        <rFont val="Times New Roman"/>
        <family val="1"/>
      </rPr>
      <t>When large claims result in significant distortions to the calendar year paid and reported claims from year to year</t>
    </r>
  </si>
  <si>
    <r>
      <t>·</t>
    </r>
    <r>
      <rPr>
        <sz val="7"/>
        <color theme="1"/>
        <rFont val="Times New Roman"/>
        <family val="1"/>
      </rPr>
      <t xml:space="preserve">       </t>
    </r>
    <r>
      <rPr>
        <sz val="12"/>
        <color theme="1"/>
        <rFont val="Times New Roman"/>
        <family val="1"/>
      </rPr>
      <t>Where there are few claims paid or reported per year with great variability in the average claim value (i.e., low frequency and highly variable severity)</t>
    </r>
  </si>
  <si>
    <r>
      <t>·</t>
    </r>
    <r>
      <rPr>
        <sz val="7"/>
        <color theme="1"/>
        <rFont val="Times New Roman"/>
        <family val="1"/>
      </rPr>
      <t xml:space="preserve">       </t>
    </r>
    <r>
      <rPr>
        <sz val="12"/>
        <color theme="1"/>
        <rFont val="Times New Roman"/>
        <family val="1"/>
      </rPr>
      <t>Relatively new insurer who does not have a significant volume of credible paid or reported claims</t>
    </r>
  </si>
  <si>
    <r>
      <t>·</t>
    </r>
    <r>
      <rPr>
        <sz val="7"/>
        <color theme="1"/>
        <rFont val="Times New Roman"/>
        <family val="1"/>
      </rPr>
      <t xml:space="preserve">       </t>
    </r>
    <r>
      <rPr>
        <sz val="12"/>
        <color theme="1"/>
        <rFont val="Times New Roman"/>
        <family val="1"/>
      </rPr>
      <t>Sparse or volatile data</t>
    </r>
  </si>
  <si>
    <t>Insurer STL started writing Professional Liability business on January 1, 2019.</t>
  </si>
  <si>
    <t>Report</t>
  </si>
  <si>
    <t>Maturity Age in Months</t>
  </si>
  <si>
    <t>Reported Age-to-Ultimate Factors</t>
  </si>
  <si>
    <r>
      <t>(</t>
    </r>
    <r>
      <rPr>
        <i/>
        <sz val="12"/>
        <color rgb="FF002060"/>
        <rFont val="Times New Roman"/>
        <family val="1"/>
      </rPr>
      <t>3 points</t>
    </r>
    <r>
      <rPr>
        <sz val="12"/>
        <color rgb="FF002060"/>
        <rFont val="Times New Roman"/>
        <family val="1"/>
      </rPr>
      <t xml:space="preserve">)  Calculate the ULAE ratio for each year using the Mango and Allen smoothing adjustment based on paid </t>
    </r>
    <r>
      <rPr>
        <u/>
        <sz val="12"/>
        <color rgb="FF002060"/>
        <rFont val="Times New Roman"/>
        <family val="1"/>
      </rPr>
      <t>and</t>
    </r>
    <r>
      <rPr>
        <sz val="12"/>
        <color rgb="FF002060"/>
        <rFont val="Times New Roman"/>
        <family val="1"/>
      </rPr>
      <t xml:space="preserve"> reported claim data.</t>
    </r>
  </si>
  <si>
    <t>Reported CDF</t>
  </si>
  <si>
    <t>% Cumulative Reported</t>
  </si>
  <si>
    <t>% Incremental Reported</t>
  </si>
  <si>
    <t>ULAE Ratio based on Mango and Allen Smoothing Adjustment:</t>
  </si>
  <si>
    <t>and Reported</t>
  </si>
  <si>
    <t>Recommendation is to use the average of all years of 16.5%. The justification is to use the average as this is a new line of business and there probably isn’t yet the stability in the numbers.</t>
  </si>
  <si>
    <r>
      <t>·</t>
    </r>
    <r>
      <rPr>
        <sz val="7"/>
        <color rgb="FF002060"/>
        <rFont val="Times New Roman"/>
        <family val="1"/>
      </rPr>
      <t xml:space="preserve">       </t>
    </r>
    <r>
      <rPr>
        <sz val="12"/>
        <color rgb="FF002060"/>
        <rFont val="Times New Roman"/>
        <family val="1"/>
      </rPr>
      <t>30% of ULAE is associated with opening a claim file, while 70% relates to maintaining and closing a claim file</t>
    </r>
  </si>
  <si>
    <r>
      <t>·</t>
    </r>
    <r>
      <rPr>
        <sz val="7"/>
        <color rgb="FF002060"/>
        <rFont val="Times New Roman"/>
        <family val="1"/>
      </rPr>
      <t xml:space="preserve">       </t>
    </r>
    <r>
      <rPr>
        <sz val="12"/>
        <color rgb="FF002060"/>
        <rFont val="Times New Roman"/>
        <family val="1"/>
      </rPr>
      <t xml:space="preserve">Total claim liabilities are </t>
    </r>
  </si>
  <si>
    <r>
      <t>·</t>
    </r>
    <r>
      <rPr>
        <sz val="7"/>
        <color rgb="FF002060"/>
        <rFont val="Times New Roman"/>
        <family val="1"/>
      </rPr>
      <t xml:space="preserve">       </t>
    </r>
    <r>
      <rPr>
        <sz val="12"/>
        <color rgb="FF002060"/>
        <rFont val="Times New Roman"/>
        <family val="1"/>
      </rPr>
      <t xml:space="preserve">Case estimates for existing reported claims are </t>
    </r>
  </si>
  <si>
    <r>
      <t>(</t>
    </r>
    <r>
      <rPr>
        <i/>
        <sz val="12"/>
        <color rgb="FF002060"/>
        <rFont val="Times New Roman"/>
        <family val="1"/>
      </rPr>
      <t>0.5 points</t>
    </r>
    <r>
      <rPr>
        <sz val="12"/>
        <color rgb="FF002060"/>
        <rFont val="Times New Roman"/>
        <family val="1"/>
      </rPr>
      <t>)  Calculate unpaid ULAE as of December 31, 2023 using the recommended ratio from part (d).</t>
    </r>
  </si>
  <si>
    <t>% of ULAE opening a claim file:</t>
  </si>
  <si>
    <t>You are estimating ultimate claims for a line of business as of December 31, 2023. Your reserving software produces the following preliminary estimates based on age-to-age development factors.</t>
  </si>
  <si>
    <r>
      <t>·</t>
    </r>
    <r>
      <rPr>
        <sz val="7"/>
        <color rgb="FF002060"/>
        <rFont val="Times New Roman"/>
        <family val="1"/>
      </rPr>
      <t xml:space="preserve">       </t>
    </r>
    <r>
      <rPr>
        <sz val="12"/>
        <color rgb="FF002060"/>
        <rFont val="Times New Roman"/>
        <family val="1"/>
      </rPr>
      <t>This line of business was stable prior to 2023.</t>
    </r>
  </si>
  <si>
    <r>
      <t>·</t>
    </r>
    <r>
      <rPr>
        <sz val="7"/>
        <color rgb="FF002060"/>
        <rFont val="Times New Roman"/>
        <family val="1"/>
      </rPr>
      <t xml:space="preserve">       </t>
    </r>
    <r>
      <rPr>
        <sz val="12"/>
        <color rgb="FF002060"/>
        <rFont val="Times New Roman"/>
        <family val="1"/>
      </rPr>
      <t>New procedures for processing and settling claims were introduced in 2023.</t>
    </r>
  </si>
  <si>
    <r>
      <t>·</t>
    </r>
    <r>
      <rPr>
        <sz val="7"/>
        <color rgb="FF002060"/>
        <rFont val="Times New Roman"/>
        <family val="1"/>
      </rPr>
      <t xml:space="preserve">       </t>
    </r>
    <r>
      <rPr>
        <sz val="12"/>
        <color rgb="FF002060"/>
        <rFont val="Times New Roman"/>
        <family val="1"/>
      </rPr>
      <t>Ultimate estimates shown above are based on simple development methods.</t>
    </r>
  </si>
  <si>
    <r>
      <t>(</t>
    </r>
    <r>
      <rPr>
        <i/>
        <sz val="12"/>
        <color rgb="FF002060"/>
        <rFont val="Times New Roman"/>
        <family val="1"/>
      </rPr>
      <t>2 points</t>
    </r>
    <r>
      <rPr>
        <sz val="12"/>
        <color rgb="FF002060"/>
        <rFont val="Times New Roman"/>
        <family val="1"/>
      </rPr>
      <t>)  Perform two diagnostic tests to confirm that there was a change in claim settlement patterns in 2023.</t>
    </r>
  </si>
  <si>
    <t>Ratio of Paid Claims to Reported Claims</t>
  </si>
  <si>
    <t xml:space="preserve"> - if there has been a speed up in claim settlement in 2023, expect the latest diagonal to show noticeable increase in the ratios</t>
  </si>
  <si>
    <t xml:space="preserve"> - there is evidence of a speed up in this case.</t>
  </si>
  <si>
    <t>Ratio of Closed Counts to Reported Counts</t>
  </si>
  <si>
    <t>The annual claim severity trend is 5%.</t>
  </si>
  <si>
    <r>
      <t>(</t>
    </r>
    <r>
      <rPr>
        <i/>
        <sz val="12"/>
        <color rgb="FF002060"/>
        <rFont val="Times New Roman"/>
        <family val="1"/>
      </rPr>
      <t>1 point</t>
    </r>
    <r>
      <rPr>
        <sz val="12"/>
        <color rgb="FF002060"/>
        <rFont val="Times New Roman"/>
        <family val="1"/>
      </rPr>
      <t>)  Perform one diagnostic test to determine whether there was a change in case adequacy in 2023.</t>
    </r>
  </si>
  <si>
    <t>Change in average case:</t>
  </si>
  <si>
    <t>Average Case</t>
  </si>
  <si>
    <t>Change in Average Case</t>
  </si>
  <si>
    <t xml:space="preserve"> - evidence of change in case adequacy would show up as a change in one of the diagonals significantly different than 5%</t>
  </si>
  <si>
    <t xml:space="preserve"> - there is no evidence of a significant change in case adequacy in this situation</t>
  </si>
  <si>
    <t>You have decided to use Berquist-Sherman adjustments to allow for changes in the claim settlement rates.  Your analysis indicates that there is a simple relationship between cumulative paid claims and cumulative closed counts for all accident and development years.  The ratio of cumulative paid claims to cumulative closed counts is 4,400.</t>
  </si>
  <si>
    <t>Solution needs to use ultimate counts from reported only because reported counts are not affected by the settlement change but closed counts are.</t>
  </si>
  <si>
    <t>Ratio of cumulative paid claims and closed counts for all AY's/all development periods:</t>
  </si>
  <si>
    <t>Ratio of Closed Counts to Ultimate Counts:</t>
  </si>
  <si>
    <t>Ultimate Counts (from reported)</t>
  </si>
  <si>
    <t>Adjusted Paid Claims</t>
  </si>
  <si>
    <r>
      <t>(</t>
    </r>
    <r>
      <rPr>
        <i/>
        <sz val="12"/>
        <color rgb="FF002060"/>
        <rFont val="Times New Roman"/>
        <family val="1"/>
      </rPr>
      <t>0.5 points</t>
    </r>
    <r>
      <rPr>
        <sz val="12"/>
        <color rgb="FF002060"/>
        <rFont val="Times New Roman"/>
        <family val="1"/>
      </rPr>
      <t>)  Describe an alternative approach that could be used for determining  ratios of paid claims to cumulative closed counts.</t>
    </r>
  </si>
  <si>
    <t xml:space="preserve">Instead of a fixed ratio that does not vary by AY and development period, </t>
  </si>
  <si>
    <t>determine a mathematical curve to approximate the relationship between cumulative closed counts and cumulative paid claims</t>
  </si>
  <si>
    <r>
      <t>(</t>
    </r>
    <r>
      <rPr>
        <i/>
        <sz val="12"/>
        <color rgb="FF002060"/>
        <rFont val="Times New Roman"/>
        <family val="1"/>
      </rPr>
      <t>0.5 points</t>
    </r>
    <r>
      <rPr>
        <sz val="12"/>
        <color rgb="FF002060"/>
        <rFont val="Times New Roman"/>
        <family val="1"/>
      </rPr>
      <t>)  Describe a possible problem with the alternative approach identified in part (d).</t>
    </r>
  </si>
  <si>
    <t>In some situations, a mathematical relationship may not even exist.</t>
  </si>
  <si>
    <t>Your colleague recommends using the Berquist-Sherman approach that adjusts for both a change in case adequacy and a change in claim settlement patterns for this line of business.</t>
  </si>
  <si>
    <r>
      <t>(</t>
    </r>
    <r>
      <rPr>
        <i/>
        <sz val="12"/>
        <color rgb="FF002060"/>
        <rFont val="Times New Roman"/>
        <family val="1"/>
      </rPr>
      <t>1 point</t>
    </r>
    <r>
      <rPr>
        <sz val="12"/>
        <color rgb="FF002060"/>
        <rFont val="Times New Roman"/>
        <family val="1"/>
      </rPr>
      <t>)  Critique your colleague’s recommendation.</t>
    </r>
  </si>
  <si>
    <t>This line of business did not have a change in case adequacy, so an adjustment for that is not needed.</t>
  </si>
  <si>
    <t xml:space="preserve">However, adjusting for both a change in case adequacy and a change in claim settlement should not significantly affect the results, </t>
  </si>
  <si>
    <t>as adjusting for the change in case adequacy should have little, if any, effect.</t>
  </si>
  <si>
    <t>You are estimating ultimate claims for a line of business as of December 31, 2023 using the development-based frequency-severity method.</t>
  </si>
  <si>
    <r>
      <t>(</t>
    </r>
    <r>
      <rPr>
        <i/>
        <sz val="12"/>
        <color rgb="FF002060"/>
        <rFont val="Times New Roman"/>
        <family val="1"/>
      </rPr>
      <t>1 point</t>
    </r>
    <r>
      <rPr>
        <sz val="12"/>
        <color rgb="FF002060"/>
        <rFont val="Times New Roman"/>
        <family val="1"/>
      </rPr>
      <t>)  Describe two options to consider when experience is not fully credible for trending.</t>
    </r>
  </si>
  <si>
    <t xml:space="preserve"> - Rely on industry data for a similar line of business in a similar jurisdiction.</t>
  </si>
  <si>
    <t xml:space="preserve"> - Combine the insurer's experience in specific states or provinces with the experience of a larger region.</t>
  </si>
  <si>
    <t xml:space="preserve"> - Combine the insurer's experience with that of other insurers in a group under common ownership.</t>
  </si>
  <si>
    <t>Projected Ultimate Counts Based on</t>
  </si>
  <si>
    <r>
      <t>·</t>
    </r>
    <r>
      <rPr>
        <sz val="7"/>
        <color rgb="FF002060"/>
        <rFont val="Times New Roman"/>
        <family val="1"/>
      </rPr>
      <t xml:space="preserve">       </t>
    </r>
    <r>
      <rPr>
        <sz val="12"/>
        <color rgb="FF002060"/>
        <rFont val="Times New Roman"/>
        <family val="1"/>
      </rPr>
      <t>This line of business was stable prior to 2023, when new claims processing and settlement policies were introduced in 2023.</t>
    </r>
  </si>
  <si>
    <r>
      <t>(</t>
    </r>
    <r>
      <rPr>
        <i/>
        <sz val="12"/>
        <color rgb="FF002060"/>
        <rFont val="Times New Roman"/>
        <family val="1"/>
      </rPr>
      <t>1.5 points</t>
    </r>
    <r>
      <rPr>
        <sz val="12"/>
        <color rgb="FF002060"/>
        <rFont val="Times New Roman"/>
        <family val="1"/>
      </rPr>
      <t>)  Recommend the annual claim frequency trend to use for this line of business.  Justify your recommendation.</t>
    </r>
  </si>
  <si>
    <t>Annual Change in Frequency</t>
  </si>
  <si>
    <t>Exponential fitted:</t>
  </si>
  <si>
    <t>Justification: use all years due to erratic changes.</t>
  </si>
  <si>
    <r>
      <t>(</t>
    </r>
    <r>
      <rPr>
        <i/>
        <sz val="12"/>
        <color rgb="FF002060"/>
        <rFont val="Times New Roman"/>
        <family val="1"/>
      </rPr>
      <t>1.5 points</t>
    </r>
    <r>
      <rPr>
        <sz val="12"/>
        <color rgb="FF002060"/>
        <rFont val="Times New Roman"/>
        <family val="1"/>
      </rPr>
      <t>)  Calculate the ultimate counts using the development-based frequency-severity method with your selected frequency trend from part (b).  Justify any selections.</t>
    </r>
  </si>
  <si>
    <t>F-S Ultimate Counts</t>
  </si>
  <si>
    <t>Average trended frequency at 2023 cost level excluding 2023</t>
  </si>
  <si>
    <t xml:space="preserve">   all years</t>
  </si>
  <si>
    <t xml:space="preserve">   excluding hi-lo</t>
  </si>
  <si>
    <t>Selected frequency @ 2023 level:</t>
  </si>
  <si>
    <t>Justification for selected frequency: No significant trend; no significant outliers</t>
  </si>
  <si>
    <t>Projected Ultimate Severity Based on</t>
  </si>
  <si>
    <t>Paid Severity</t>
  </si>
  <si>
    <t>Reported Severity</t>
  </si>
  <si>
    <t>The annual claim severity trend is 5%.  The selected trend rate should recognize economic trend.</t>
  </si>
  <si>
    <r>
      <t>(</t>
    </r>
    <r>
      <rPr>
        <i/>
        <sz val="12"/>
        <color rgb="FF002060"/>
        <rFont val="Times New Roman"/>
        <family val="1"/>
      </rPr>
      <t>0.5 points</t>
    </r>
    <r>
      <rPr>
        <sz val="12"/>
        <color rgb="FF002060"/>
        <rFont val="Times New Roman"/>
        <family val="1"/>
      </rPr>
      <t>)  State one other influence that the trend rate should also recognize.</t>
    </r>
  </si>
  <si>
    <t xml:space="preserve">Social influences, which are defined by U.S. Standards as "the impact on insurance costs of societal changes such as changes in claim consciousness, court practices, and legal precedents, </t>
  </si>
  <si>
    <t>as well as in other noneconomic factors." (Actuarial Standards Board-US,  2009, p. 2) As noted in Chapter 7, the effect of social influences is also known as superimposed inflation.</t>
  </si>
  <si>
    <r>
      <t>(</t>
    </r>
    <r>
      <rPr>
        <i/>
        <sz val="12"/>
        <color rgb="FF002060"/>
        <rFont val="Times New Roman"/>
        <family val="1"/>
      </rPr>
      <t>2.5 points</t>
    </r>
    <r>
      <rPr>
        <sz val="12"/>
        <color rgb="FF002060"/>
        <rFont val="Times New Roman"/>
        <family val="1"/>
      </rPr>
      <t>)  Calculate the ultimate claims using the development-based frequency-severity method.  Justify any selections.</t>
    </r>
  </si>
  <si>
    <t>Annual claim severitry trend:</t>
  </si>
  <si>
    <t>Severity Trend @5.0%</t>
  </si>
  <si>
    <t>Trended Reported Severity</t>
  </si>
  <si>
    <t>F-S Ultimate Severity</t>
  </si>
  <si>
    <t>F-S Ultimate Claims</t>
  </si>
  <si>
    <t>Average trended severity at 2023 cost level excluding 2023</t>
  </si>
  <si>
    <t xml:space="preserve">   excludng hi-lo</t>
  </si>
  <si>
    <t>Selected severity @ 2023 level:</t>
  </si>
  <si>
    <t>Justification for selected severity: No significant trend; no significant outliers.</t>
  </si>
  <si>
    <t>You are given the following data for a line of business from your company’s internal data source:</t>
  </si>
  <si>
    <t>Reported Claims from Internal Data Source</t>
  </si>
  <si>
    <t>Cumulative Paid Claims from Internal Data Source</t>
  </si>
  <si>
    <t>There is no development beyond 72 months.</t>
  </si>
  <si>
    <t>Your company reports its data to an industry bureau that aggregates industry data.  The industry bureau provided the following summary of the information they received from your company:</t>
  </si>
  <si>
    <t>Calendar Year (CY)</t>
  </si>
  <si>
    <t>Claims Paid During CY</t>
  </si>
  <si>
    <t>Change in Case Estimates During CY</t>
  </si>
  <si>
    <r>
      <t>(</t>
    </r>
    <r>
      <rPr>
        <i/>
        <sz val="12"/>
        <color rgb="FF002060"/>
        <rFont val="Times New Roman"/>
        <family val="1"/>
      </rPr>
      <t>1.5 points</t>
    </r>
    <r>
      <rPr>
        <sz val="12"/>
        <color rgb="FF002060"/>
        <rFont val="Times New Roman"/>
        <family val="1"/>
      </rPr>
      <t>)  Verify that the change in case estimates during calendar year 2023 from the industry summary should be 223,240.</t>
    </r>
  </si>
  <si>
    <t>Case Estimates at End of Year</t>
  </si>
  <si>
    <t>Case Change in CY</t>
  </si>
  <si>
    <t>An investigation into the difference in the numbers found that it was due to an incorrect value reported to the industry bureau.</t>
  </si>
  <si>
    <r>
      <t>(</t>
    </r>
    <r>
      <rPr>
        <i/>
        <sz val="12"/>
        <color rgb="FF002060"/>
        <rFont val="Times New Roman"/>
        <family val="1"/>
      </rPr>
      <t>1.5 points</t>
    </r>
    <r>
      <rPr>
        <sz val="12"/>
        <color rgb="FF002060"/>
        <rFont val="Times New Roman"/>
        <family val="1"/>
      </rPr>
      <t>)  Identify the value that was reported in error to the industry bureau.</t>
    </r>
  </si>
  <si>
    <t>Paid at End of Year</t>
  </si>
  <si>
    <t>Paid in CY</t>
  </si>
  <si>
    <t>The claims paid in CY 2023 was incorrect, which likely caused the error in the change in case in CY 2023.</t>
  </si>
  <si>
    <t>You are given the following claims information regarding two claims for a different line of business:</t>
  </si>
  <si>
    <r>
      <t>·</t>
    </r>
    <r>
      <rPr>
        <sz val="7"/>
        <color rgb="FF002060"/>
        <rFont val="Times New Roman"/>
        <family val="1"/>
      </rPr>
      <t xml:space="preserve">       </t>
    </r>
    <r>
      <rPr>
        <sz val="12"/>
        <color rgb="FF002060"/>
        <rFont val="Times New Roman"/>
        <family val="1"/>
      </rPr>
      <t>Claim #4400 is a claim file from an accident that occurred on March 1, 2021 and was reported to the insurer on October 1, 2021.  The claim file originally closed in 2022 but was later reopened in 2023.  The company does not treat such claims as a new claim, but as reopening the original claim file.</t>
    </r>
  </si>
  <si>
    <r>
      <t>·</t>
    </r>
    <r>
      <rPr>
        <sz val="7"/>
        <color rgb="FF002060"/>
        <rFont val="Times New Roman"/>
        <family val="1"/>
      </rPr>
      <t xml:space="preserve">       </t>
    </r>
    <r>
      <rPr>
        <sz val="12"/>
        <color rgb="FF002060"/>
        <rFont val="Times New Roman"/>
        <family val="1"/>
      </rPr>
      <t>Claim #5500 is a claim file from an accident that occurred on July 1, 2021 and was reported to the insurer on February 1, 2022.  The adjuster set an initial case estimate of 12,000.  Upon further investigation, on February 1, 2023 this claim was found to not be covered under the insurance policy purchased by the insured, and the claim file was closed with no claim payments made.</t>
    </r>
  </si>
  <si>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reported</t>
    </r>
    <r>
      <rPr>
        <sz val="12"/>
        <color rgb="FF002060"/>
        <rFont val="Times New Roman"/>
        <family val="1"/>
      </rPr>
      <t xml:space="preserve"> count triangle that reflects the development on these two claim files over time.  Make sure to correctly label your triangles.</t>
    </r>
  </si>
  <si>
    <t>Claim #4400:</t>
  </si>
  <si>
    <t xml:space="preserve"> - AY 2021</t>
  </si>
  <si>
    <t xml:space="preserve"> - Reported in 2021 (12 months)</t>
  </si>
  <si>
    <t xml:space="preserve"> - Stays a reported count at 24 and 36 months</t>
  </si>
  <si>
    <t>Claim #5500:</t>
  </si>
  <si>
    <t xml:space="preserve"> - Reported in 2022 (24 months), so zero at 12 and 1 at 24 &amp; 36 months</t>
  </si>
  <si>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closed</t>
    </r>
    <r>
      <rPr>
        <sz val="12"/>
        <color rgb="FF002060"/>
        <rFont val="Times New Roman"/>
        <family val="1"/>
      </rPr>
      <t xml:space="preserve"> count triangle that reflects the development on these two claim files over time.  Make sure to correctly label your triangles.</t>
    </r>
  </si>
  <si>
    <t xml:space="preserve"> - closed in 2022, so closed counts should be a 1 at 24 months, reopened in 2023 so remove the 1 at 36 months</t>
  </si>
  <si>
    <t xml:space="preserve"> - deemed invalid claim in 2023, so closed count is 1 at 36 months</t>
  </si>
  <si>
    <t>S2024 Question 13</t>
  </si>
  <si>
    <t>S2024 Question 12</t>
  </si>
  <si>
    <t>S2024 Question 10</t>
  </si>
  <si>
    <t>S2024 Question 8</t>
  </si>
  <si>
    <t>S2024 Question 7</t>
  </si>
  <si>
    <t>S2024 Question 5</t>
  </si>
  <si>
    <t>S2024 Question 3</t>
  </si>
  <si>
    <t>S2024 Question 2</t>
  </si>
  <si>
    <t>S2024 Question 1</t>
  </si>
  <si>
    <t>You are estimating ultimate claims as of December 31, 2023 using the expected method.</t>
  </si>
  <si>
    <r>
      <t>(</t>
    </r>
    <r>
      <rPr>
        <i/>
        <sz val="12"/>
        <color rgb="FF002060"/>
        <rFont val="Times New Roman"/>
        <family val="1"/>
      </rPr>
      <t>0.5 points</t>
    </r>
    <r>
      <rPr>
        <sz val="12"/>
        <color rgb="FF002060"/>
        <rFont val="Times New Roman"/>
        <family val="1"/>
      </rPr>
      <t>)  Describe one advantage of using the pure premium approach rather than the claim ratio approach when using the expected method.</t>
    </r>
  </si>
  <si>
    <t>- No adjustment is required for premium rate changes.</t>
  </si>
  <si>
    <t>- It may be possible to select a pure premium exposure base that is a leading indicator of claims experience.</t>
  </si>
  <si>
    <t>- It may be possible to choose an exposure base that requires no adjustments.</t>
  </si>
  <si>
    <t>You are given:</t>
  </si>
  <si>
    <t>Actual Paid Claims as of Dec. 31, 2023</t>
  </si>
  <si>
    <t>Cumulative Paid Development Factors</t>
  </si>
  <si>
    <r>
      <t>·</t>
    </r>
    <r>
      <rPr>
        <sz val="7"/>
        <color rgb="FF002060"/>
        <rFont val="Times New Roman"/>
        <family val="1"/>
      </rPr>
      <t xml:space="preserve">       </t>
    </r>
    <r>
      <rPr>
        <sz val="12"/>
        <color rgb="FF002060"/>
        <rFont val="Times New Roman"/>
        <family val="1"/>
      </rPr>
      <t>The annual claim ratio trend is</t>
    </r>
  </si>
  <si>
    <r>
      <t>(</t>
    </r>
    <r>
      <rPr>
        <i/>
        <sz val="12"/>
        <color rgb="FF002060"/>
        <rFont val="Times New Roman"/>
        <family val="1"/>
      </rPr>
      <t>0.5 points</t>
    </r>
    <r>
      <rPr>
        <sz val="12"/>
        <color rgb="FF002060"/>
        <rFont val="Times New Roman"/>
        <family val="1"/>
      </rPr>
      <t>)  Provide one reason why the expected method might be preferred over the development method in this scenario for analyzing accident year 2023 claims.</t>
    </r>
  </si>
  <si>
    <t>The age-to-ultimate factor at 12 months is very large (or highly leveraged) implying a very immature accident year.  The expected method is better for immature years.</t>
  </si>
  <si>
    <r>
      <t>(</t>
    </r>
    <r>
      <rPr>
        <i/>
        <sz val="12"/>
        <color rgb="FF002060"/>
        <rFont val="Times New Roman"/>
        <family val="1"/>
      </rPr>
      <t>3 points</t>
    </r>
    <r>
      <rPr>
        <sz val="12"/>
        <color rgb="FF002060"/>
        <rFont val="Times New Roman"/>
        <family val="1"/>
      </rPr>
      <t>)  Calculate the expected claims for accident year 2023 using the expected method with the following approaches:</t>
    </r>
  </si>
  <si>
    <t>Claim ratio</t>
  </si>
  <si>
    <t>Pure premium</t>
  </si>
  <si>
    <t>Project Ultimate Claims from Paid Development Method</t>
  </si>
  <si>
    <t>Claim Ratio Trend Factor</t>
  </si>
  <si>
    <t>Trended On-Level Claim Ratios</t>
  </si>
  <si>
    <t>Trended Pure Premiums</t>
  </si>
  <si>
    <t>Expected claims for accident year 2023:</t>
  </si>
  <si>
    <r>
      <t>(</t>
    </r>
    <r>
      <rPr>
        <i/>
        <sz val="12"/>
        <color rgb="FF002060"/>
        <rFont val="Times New Roman"/>
        <family val="1"/>
      </rPr>
      <t>1 point</t>
    </r>
    <r>
      <rPr>
        <sz val="12"/>
        <color rgb="FF002060"/>
        <rFont val="Times New Roman"/>
        <family val="1"/>
      </rPr>
      <t>)  Estimate accident year 2023 paid claims between December 31, 2023 and December 31, 2024 using your results from part (c)(ii).</t>
    </r>
  </si>
  <si>
    <t>% Paid @ 12 months:</t>
  </si>
  <si>
    <t>% Paid @ 24 months:</t>
  </si>
  <si>
    <t>% Paid between 12 to 24 months:</t>
  </si>
  <si>
    <t>AY 2023 expected paid between 12 to 24 months:</t>
  </si>
  <si>
    <t>Credibility procedures often require the actuary to exercise professional judgment as the assignment of a credibility value is frequently not a precise mathematical exercise.  One consideration in assigning credibility is the volume of claims in the experience set of data.</t>
  </si>
  <si>
    <r>
      <t>(</t>
    </r>
    <r>
      <rPr>
        <i/>
        <sz val="12"/>
        <color rgb="FF002060"/>
        <rFont val="Times New Roman"/>
        <family val="1"/>
      </rPr>
      <t>1 point</t>
    </r>
    <r>
      <rPr>
        <sz val="12"/>
        <color rgb="FF002060"/>
        <rFont val="Times New Roman"/>
        <family val="1"/>
      </rPr>
      <t>)  Identify two other considerations in assigning credibility to an experience set of data.</t>
    </r>
  </si>
  <si>
    <t>This question is about assigning the credibility and not about what is considered for the complement of credibility.</t>
  </si>
  <si>
    <t>- The number of years of claim data underlying the experience</t>
  </si>
  <si>
    <t>- The stability or variability observed in claims from year to year</t>
  </si>
  <si>
    <t>- The presence or absence of large or unusual claims</t>
  </si>
  <si>
    <t>- Changes in the internal or external environment</t>
  </si>
  <si>
    <t>- The age, relevance, and reliability of the experience</t>
  </si>
  <si>
    <t>- The age, relevance, and reliability of other data to which the complement of credibility would be applied</t>
  </si>
  <si>
    <t>You are estimating ultimate property claims for ratemaking purposes for State Z.  The claims experience of State Z is not fully credible for calculating trend.  You are given the following:</t>
  </si>
  <si>
    <t>Selected Ultimate Claims at 1,000,000 Limit</t>
  </si>
  <si>
    <t>Severity Trend State Z</t>
  </si>
  <si>
    <t>Pure Premium Trend State Z</t>
  </si>
  <si>
    <t>Credibility State Z</t>
  </si>
  <si>
    <t>Countrywide Pure Premium Trend</t>
  </si>
  <si>
    <r>
      <t>·</t>
    </r>
    <r>
      <rPr>
        <sz val="7"/>
        <color rgb="FF002060"/>
        <rFont val="Times New Roman"/>
        <family val="1"/>
      </rPr>
      <t xml:space="preserve">       </t>
    </r>
    <r>
      <rPr>
        <sz val="12"/>
        <color rgb="FF002060"/>
        <rFont val="Times New Roman"/>
        <family val="1"/>
      </rPr>
      <t xml:space="preserve">The claim trend period for accident year 2023 is </t>
    </r>
  </si>
  <si>
    <t xml:space="preserve"> months.</t>
  </si>
  <si>
    <r>
      <t>(</t>
    </r>
    <r>
      <rPr>
        <i/>
        <sz val="12"/>
        <color rgb="FF002060"/>
        <rFont val="Times New Roman"/>
        <family val="1"/>
      </rPr>
      <t>3 points</t>
    </r>
    <r>
      <rPr>
        <sz val="12"/>
        <color rgb="FF002060"/>
        <rFont val="Times New Roman"/>
        <family val="1"/>
      </rPr>
      <t>)  Calculate the loadings for 500,000 to total limits for each accident year.</t>
    </r>
  </si>
  <si>
    <t>Severity trend for 1,000,000 limit:</t>
  </si>
  <si>
    <t>Severity trend for total limit:</t>
  </si>
  <si>
    <t>Trend Period</t>
  </si>
  <si>
    <t>Loadings for 500,000 to 1,000,000 Limit</t>
  </si>
  <si>
    <r>
      <t>(</t>
    </r>
    <r>
      <rPr>
        <i/>
        <sz val="12"/>
        <color rgb="FF002060"/>
        <rFont val="Times New Roman"/>
        <family val="1"/>
      </rPr>
      <t>1 point</t>
    </r>
    <r>
      <rPr>
        <sz val="12"/>
        <color rgb="FF002060"/>
        <rFont val="Times New Roman"/>
        <family val="1"/>
      </rPr>
      <t>)  Recommend a loading for 500,000 to total limits for ratemaking purposes.  Justify your recommendation.</t>
    </r>
  </si>
  <si>
    <t>Average of 2022 and 2023</t>
  </si>
  <si>
    <t xml:space="preserve"> - Accident year 2021 loading is much higher than 2022 &amp; 2023</t>
  </si>
  <si>
    <t xml:space="preserve"> - Therefore, use most recent 2 years as it is more stable and it uses the most recent data.</t>
  </si>
  <si>
    <t>ABC Insurance is a new insurer that started writing business in 2021.  You are given:</t>
  </si>
  <si>
    <r>
      <t>·</t>
    </r>
    <r>
      <rPr>
        <sz val="7"/>
        <color rgb="FF002060"/>
        <rFont val="Times New Roman"/>
        <family val="1"/>
      </rPr>
      <t xml:space="preserve">       </t>
    </r>
    <r>
      <rPr>
        <sz val="12"/>
        <color rgb="FF002060"/>
        <rFont val="Times New Roman"/>
        <family val="1"/>
      </rPr>
      <t>One policy was written on the first day of each month from April 2021 to March 2024, for a total of 36 policies.</t>
    </r>
  </si>
  <si>
    <r>
      <t>·</t>
    </r>
    <r>
      <rPr>
        <sz val="7"/>
        <color rgb="FF002060"/>
        <rFont val="Times New Roman"/>
        <family val="1"/>
      </rPr>
      <t xml:space="preserve">       </t>
    </r>
    <r>
      <rPr>
        <sz val="12"/>
        <color rgb="FF002060"/>
        <rFont val="Times New Roman"/>
        <family val="1"/>
      </rPr>
      <t>Each policy is a two-year policy.</t>
    </r>
  </si>
  <si>
    <r>
      <t>·</t>
    </r>
    <r>
      <rPr>
        <sz val="7"/>
        <color rgb="FF002060"/>
        <rFont val="Times New Roman"/>
        <family val="1"/>
      </rPr>
      <t xml:space="preserve">       </t>
    </r>
    <r>
      <rPr>
        <sz val="12"/>
        <color rgb="FF002060"/>
        <rFont val="Times New Roman"/>
        <family val="1"/>
      </rPr>
      <t xml:space="preserve">The two-year premium of </t>
    </r>
  </si>
  <si>
    <t xml:space="preserve"> per policy is recorded on the effective date of each policy.</t>
  </si>
  <si>
    <r>
      <t>·</t>
    </r>
    <r>
      <rPr>
        <sz val="7"/>
        <color rgb="FF002060"/>
        <rFont val="Times New Roman"/>
        <family val="1"/>
      </rPr>
      <t xml:space="preserve">       </t>
    </r>
    <r>
      <rPr>
        <sz val="12"/>
        <color rgb="FF002060"/>
        <rFont val="Times New Roman"/>
        <family val="1"/>
      </rPr>
      <t>There are no cancellations or changes to policies.</t>
    </r>
  </si>
  <si>
    <r>
      <t>·</t>
    </r>
    <r>
      <rPr>
        <sz val="7"/>
        <color rgb="FF002060"/>
        <rFont val="Times New Roman"/>
        <family val="1"/>
      </rPr>
      <t xml:space="preserve">       </t>
    </r>
    <r>
      <rPr>
        <sz val="12"/>
        <color rgb="FF002060"/>
        <rFont val="Times New Roman"/>
        <family val="1"/>
      </rPr>
      <t xml:space="preserve">None of the policies were renewed upon expiration. </t>
    </r>
  </si>
  <si>
    <r>
      <t>·</t>
    </r>
    <r>
      <rPr>
        <sz val="7"/>
        <color rgb="FF002060"/>
        <rFont val="Times New Roman"/>
        <family val="1"/>
      </rPr>
      <t xml:space="preserve">       </t>
    </r>
    <r>
      <rPr>
        <sz val="12"/>
        <color rgb="FF002060"/>
        <rFont val="Times New Roman"/>
        <family val="1"/>
      </rPr>
      <t>Policies are earned evenly through the policy term.</t>
    </r>
  </si>
  <si>
    <r>
      <t>·</t>
    </r>
    <r>
      <rPr>
        <sz val="7"/>
        <color rgb="FF002060"/>
        <rFont val="Times New Roman"/>
        <family val="1"/>
      </rPr>
      <t xml:space="preserve">       </t>
    </r>
    <r>
      <rPr>
        <sz val="12"/>
        <color rgb="FF002060"/>
        <rFont val="Times New Roman"/>
        <family val="1"/>
      </rPr>
      <t>The earned premiums are:</t>
    </r>
  </si>
  <si>
    <r>
      <t>(</t>
    </r>
    <r>
      <rPr>
        <i/>
        <sz val="12"/>
        <color rgb="FF002060"/>
        <rFont val="Times New Roman"/>
        <family val="1"/>
      </rPr>
      <t>2 points</t>
    </r>
    <r>
      <rPr>
        <sz val="12"/>
        <color rgb="FF002060"/>
        <rFont val="Times New Roman"/>
        <family val="1"/>
      </rPr>
      <t xml:space="preserve">)  Verify the earned premiums for calendar years 2021, 2022, and 2023. </t>
    </r>
  </si>
  <si>
    <t>Months Earned in Calendar Year</t>
  </si>
  <si>
    <t>Earned Premium in Calendar Year</t>
  </si>
  <si>
    <t>Written Date</t>
  </si>
  <si>
    <r>
      <t>(</t>
    </r>
    <r>
      <rPr>
        <i/>
        <sz val="12"/>
        <color rgb="FF002060"/>
        <rFont val="Times New Roman"/>
        <family val="1"/>
      </rPr>
      <t>1 point</t>
    </r>
    <r>
      <rPr>
        <sz val="12"/>
        <color rgb="FF002060"/>
        <rFont val="Times New Roman"/>
        <family val="1"/>
      </rPr>
      <t>)  Calculate the unearned premiums as of each year-end for 2021, 2022, and 2023.</t>
    </r>
  </si>
  <si>
    <t>Earned Premiums:</t>
  </si>
  <si>
    <t>Written premiums:</t>
  </si>
  <si>
    <t>Unearned premiums</t>
  </si>
  <si>
    <r>
      <t>(</t>
    </r>
    <r>
      <rPr>
        <i/>
        <sz val="12"/>
        <color rgb="FF002060"/>
        <rFont val="Times New Roman"/>
        <family val="1"/>
      </rPr>
      <t>0.5 points</t>
    </r>
    <r>
      <rPr>
        <sz val="12"/>
        <color rgb="FF002060"/>
        <rFont val="Times New Roman"/>
        <family val="1"/>
      </rPr>
      <t xml:space="preserve">)  Calculate in-force premiums as of December 31, 2023. </t>
    </r>
  </si>
  <si>
    <t>There are 24 policies in-force as of December 31, 2023. (#10 through 33)</t>
  </si>
  <si>
    <t>In-force premiums.</t>
  </si>
  <si>
    <t>DEF Insurance is another insurer.  DEF’s total in-force premiums are 50% of ABC’s total in-force premiums.  A market analyst is comparing total in-force premiums and concludes that DEF has lower written premium volume than ABC Insurance.</t>
  </si>
  <si>
    <r>
      <t>(</t>
    </r>
    <r>
      <rPr>
        <i/>
        <sz val="12"/>
        <color rgb="FF002060"/>
        <rFont val="Times New Roman"/>
        <family val="1"/>
      </rPr>
      <t>0.5 points</t>
    </r>
    <r>
      <rPr>
        <sz val="12"/>
        <color rgb="FF002060"/>
        <rFont val="Times New Roman"/>
        <family val="1"/>
      </rPr>
      <t>)  Describe a scenario where the market analyst’s conclusion would be incorrect.</t>
    </r>
  </si>
  <si>
    <t>- DEF writes the same volume of written premiums as ABC but annual term policies.</t>
  </si>
  <si>
    <t>- DEF writes the same volume of written premiums as ABC with 2-year term policies but books annually.</t>
  </si>
  <si>
    <t>The following claim development triangle is given for ABC Insurance:</t>
  </si>
  <si>
    <t xml:space="preserve">Reported Claims </t>
  </si>
  <si>
    <r>
      <t>(</t>
    </r>
    <r>
      <rPr>
        <i/>
        <sz val="12"/>
        <color rgb="FF002060"/>
        <rFont val="Times New Roman"/>
        <family val="1"/>
      </rPr>
      <t>1 point</t>
    </r>
    <r>
      <rPr>
        <sz val="12"/>
        <color rgb="FF002060"/>
        <rFont val="Times New Roman"/>
        <family val="1"/>
      </rPr>
      <t>)  Calculate the reported claim ratios for each of calendar years 2022 and 2023.</t>
    </r>
  </si>
  <si>
    <t>Reported claims for CY2022:</t>
  </si>
  <si>
    <t>Reported claims for CY2023:</t>
  </si>
  <si>
    <t>Claim ratio for CY2022:</t>
  </si>
  <si>
    <t>Claim ratio for CY2023:</t>
  </si>
  <si>
    <t>You are also given:</t>
  </si>
  <si>
    <r>
      <t>·</t>
    </r>
    <r>
      <rPr>
        <sz val="7"/>
        <color rgb="FF002060"/>
        <rFont val="Times New Roman"/>
        <family val="1"/>
      </rPr>
      <t xml:space="preserve">       </t>
    </r>
    <r>
      <rPr>
        <sz val="12"/>
        <color rgb="FF002060"/>
        <rFont val="Times New Roman"/>
        <family val="1"/>
      </rPr>
      <t>There is no development beyond 36 months.</t>
    </r>
  </si>
  <si>
    <r>
      <t>·</t>
    </r>
    <r>
      <rPr>
        <sz val="7"/>
        <color rgb="FF002060"/>
        <rFont val="Times New Roman"/>
        <family val="1"/>
      </rPr>
      <t xml:space="preserve">       </t>
    </r>
    <r>
      <rPr>
        <sz val="12"/>
        <color rgb="FF002060"/>
        <rFont val="Times New Roman"/>
        <family val="1"/>
      </rPr>
      <t>Ultimate claim ratios for accident years 2022 and 2023 are the same as accident year 2021.</t>
    </r>
  </si>
  <si>
    <r>
      <t>(</t>
    </r>
    <r>
      <rPr>
        <i/>
        <sz val="12"/>
        <color rgb="FF002060"/>
        <rFont val="Times New Roman"/>
        <family val="1"/>
      </rPr>
      <t>1 point</t>
    </r>
    <r>
      <rPr>
        <sz val="12"/>
        <color rgb="FF002060"/>
        <rFont val="Times New Roman"/>
        <family val="1"/>
      </rPr>
      <t>)  Calculate IBNR for accident years 2022 and 2023.</t>
    </r>
  </si>
  <si>
    <t>Ultimate claim ratio for AY2021:</t>
  </si>
  <si>
    <t>You are conducting a ratemaking exercise and are given:</t>
  </si>
  <si>
    <t>Trended Earned Premiums at Current Rate Levels</t>
  </si>
  <si>
    <r>
      <t>·</t>
    </r>
    <r>
      <rPr>
        <sz val="7"/>
        <color rgb="FF002060"/>
        <rFont val="Times New Roman"/>
        <family val="1"/>
      </rPr>
      <t xml:space="preserve">       </t>
    </r>
    <r>
      <rPr>
        <sz val="12"/>
        <color rgb="FF002060"/>
        <rFont val="Times New Roman"/>
        <family val="1"/>
      </rPr>
      <t>The ULAE to claim ratio is</t>
    </r>
  </si>
  <si>
    <r>
      <t>·</t>
    </r>
    <r>
      <rPr>
        <sz val="7"/>
        <color rgb="FF002060"/>
        <rFont val="Times New Roman"/>
        <family val="1"/>
      </rPr>
      <t xml:space="preserve">       </t>
    </r>
    <r>
      <rPr>
        <sz val="12"/>
        <color rgb="FF002060"/>
        <rFont val="Times New Roman"/>
        <family val="1"/>
      </rPr>
      <t xml:space="preserve">The selected fixed expenses are </t>
    </r>
  </si>
  <si>
    <r>
      <t>·</t>
    </r>
    <r>
      <rPr>
        <sz val="7"/>
        <color rgb="FF002060"/>
        <rFont val="Times New Roman"/>
        <family val="1"/>
      </rPr>
      <t xml:space="preserve">       </t>
    </r>
    <r>
      <rPr>
        <sz val="12"/>
        <color rgb="FF002060"/>
        <rFont val="Times New Roman"/>
        <family val="1"/>
      </rPr>
      <t xml:space="preserve">The selected variable expenses are </t>
    </r>
  </si>
  <si>
    <r>
      <t>·</t>
    </r>
    <r>
      <rPr>
        <sz val="7"/>
        <color rgb="FF002060"/>
        <rFont val="Times New Roman"/>
        <family val="1"/>
      </rPr>
      <t xml:space="preserve">       </t>
    </r>
    <r>
      <rPr>
        <sz val="12"/>
        <color rgb="FF002060"/>
        <rFont val="Times New Roman"/>
        <family val="1"/>
      </rPr>
      <t>The selected profit and contingency ratio is</t>
    </r>
  </si>
  <si>
    <r>
      <t>·</t>
    </r>
    <r>
      <rPr>
        <sz val="7"/>
        <color rgb="FF002060"/>
        <rFont val="Times New Roman"/>
        <family val="1"/>
      </rPr>
      <t xml:space="preserve">       </t>
    </r>
    <r>
      <rPr>
        <sz val="12"/>
        <color rgb="FF002060"/>
        <rFont val="Times New Roman"/>
        <family val="1"/>
      </rPr>
      <t>The average claim ratio and the average pure premium are calculated using a simple average of all years.</t>
    </r>
  </si>
  <si>
    <r>
      <t>·</t>
    </r>
    <r>
      <rPr>
        <sz val="7"/>
        <color rgb="FF002060"/>
        <rFont val="Times New Roman"/>
        <family val="1"/>
      </rPr>
      <t xml:space="preserve">       </t>
    </r>
    <r>
      <rPr>
        <sz val="12"/>
        <color rgb="FF002060"/>
        <rFont val="Times New Roman"/>
        <family val="1"/>
      </rPr>
      <t>The indicated rate change using the claim ratio approach is 5.91%.</t>
    </r>
  </si>
  <si>
    <t>The pure premium and claim ratio approaches typically provide similar indicated rate changes.</t>
  </si>
  <si>
    <r>
      <t>(</t>
    </r>
    <r>
      <rPr>
        <i/>
        <sz val="12"/>
        <color rgb="FF002060"/>
        <rFont val="Times New Roman"/>
        <family val="1"/>
      </rPr>
      <t>2.5 points</t>
    </r>
    <r>
      <rPr>
        <sz val="12"/>
        <color rgb="FF002060"/>
        <rFont val="Times New Roman"/>
        <family val="1"/>
      </rPr>
      <t>)  Demonstrate that the indicated rate change using the pure premium approach is similar to that using the claim ratio approach (i.e., ±0.5% of 5.91%).</t>
    </r>
  </si>
  <si>
    <t>Average pure premium</t>
  </si>
  <si>
    <t>Fixed expenses per exposure</t>
  </si>
  <si>
    <t>Indicated rate</t>
  </si>
  <si>
    <t>2023 trended earned premiums at current rate level</t>
  </si>
  <si>
    <t>2023 earned exposures</t>
  </si>
  <si>
    <t>Current average rate</t>
  </si>
  <si>
    <t>Indicated Rate Change</t>
  </si>
  <si>
    <t>This is withing 0.5% of 5.91%.</t>
  </si>
  <si>
    <t>In general, there are two reasons why there can be a slight difference between indicated rate changes from the claim ratio approach versus the pure premium approach.</t>
  </si>
  <si>
    <r>
      <t>(</t>
    </r>
    <r>
      <rPr>
        <i/>
        <sz val="12"/>
        <color rgb="FF002060"/>
        <rFont val="Times New Roman"/>
        <family val="1"/>
      </rPr>
      <t>0.5 point</t>
    </r>
    <r>
      <rPr>
        <sz val="12"/>
        <color rgb="FF002060"/>
        <rFont val="Times New Roman"/>
        <family val="1"/>
      </rPr>
      <t>)  Describe one such reason.</t>
    </r>
  </si>
  <si>
    <t xml:space="preserve">The premium adjustment factors for trend and on-level factors are both approximations used to restate historical earned premiums as if they were at the current rate level and mix of exposures for the forecast period. </t>
  </si>
  <si>
    <t xml:space="preserve">Your company’s management decides to increase rates by </t>
  </si>
  <si>
    <t xml:space="preserve"> instead of the </t>
  </si>
  <si>
    <t xml:space="preserve"> rate indication from the claim ratio approach.</t>
  </si>
  <si>
    <r>
      <t>(</t>
    </r>
    <r>
      <rPr>
        <i/>
        <sz val="12"/>
        <color rgb="FF002060"/>
        <rFont val="Times New Roman"/>
        <family val="1"/>
      </rPr>
      <t>1 point</t>
    </r>
    <r>
      <rPr>
        <sz val="12"/>
        <color rgb="FF002060"/>
        <rFont val="Times New Roman"/>
        <family val="1"/>
      </rPr>
      <t>)  Calculate the profit and contingencies ratio implied by increasing the rates by 2%.</t>
    </r>
  </si>
  <si>
    <t>First, solve for CR:    (CR + F/Rc) / (1 - V - Q) - 1 = 5.91%</t>
  </si>
  <si>
    <t xml:space="preserve">CR = </t>
  </si>
  <si>
    <t>Solve for Q, where (CR + F/Rc) / (1 - V - Q) - 1 = 2%</t>
  </si>
  <si>
    <t xml:space="preserve">Q = </t>
  </si>
  <si>
    <t>1 - V - (CR + F/Rc) / (1.02) =</t>
  </si>
  <si>
    <t>Implementing a lower rate change than indicated will result in higher rate indications for the next rate review, all other things being equal.</t>
  </si>
  <si>
    <r>
      <t>(</t>
    </r>
    <r>
      <rPr>
        <i/>
        <sz val="12"/>
        <color rgb="FF002060"/>
        <rFont val="Times New Roman"/>
        <family val="1"/>
      </rPr>
      <t>1 point</t>
    </r>
    <r>
      <rPr>
        <sz val="12"/>
        <color rgb="FF002060"/>
        <rFont val="Times New Roman"/>
        <family val="1"/>
      </rPr>
      <t>)  Explain how implementing a lower rate change than indicated will result in higher rate indications for the next rate review using the claim ratio approach.</t>
    </r>
  </si>
  <si>
    <t>Implementing a lower rate increase than indicated would mean charging lower premiums than needed to achieve the required profit.</t>
  </si>
  <si>
    <t>This will lead to higher claim ratios which will lead to higher rate indications for the next review than would have been had the full rate change been implemented.</t>
  </si>
  <si>
    <r>
      <t>·</t>
    </r>
    <r>
      <rPr>
        <sz val="7"/>
        <color rgb="FF002060"/>
        <rFont val="Times New Roman"/>
        <family val="1"/>
      </rPr>
      <t xml:space="preserve">       </t>
    </r>
    <r>
      <rPr>
        <sz val="12"/>
        <color rgb="FF002060"/>
        <rFont val="Times New Roman"/>
        <family val="1"/>
      </rPr>
      <t xml:space="preserve">Fixed expenses are </t>
    </r>
  </si>
  <si>
    <r>
      <t>·</t>
    </r>
    <r>
      <rPr>
        <sz val="7"/>
        <color rgb="FF002060"/>
        <rFont val="Times New Roman"/>
        <family val="1"/>
      </rPr>
      <t xml:space="preserve">       </t>
    </r>
    <r>
      <rPr>
        <sz val="12"/>
        <color rgb="FF002060"/>
        <rFont val="Times New Roman"/>
        <family val="1"/>
      </rPr>
      <t xml:space="preserve">The annual trend for fixed expenses is </t>
    </r>
  </si>
  <si>
    <r>
      <t>·</t>
    </r>
    <r>
      <rPr>
        <sz val="7"/>
        <color rgb="FF002060"/>
        <rFont val="Times New Roman"/>
        <family val="1"/>
      </rPr>
      <t xml:space="preserve">       </t>
    </r>
    <r>
      <rPr>
        <sz val="12"/>
        <color rgb="FF002060"/>
        <rFont val="Times New Roman"/>
        <family val="1"/>
      </rPr>
      <t>Fixed expenses are incurred at the time of writing each policy.</t>
    </r>
  </si>
  <si>
    <r>
      <t>·</t>
    </r>
    <r>
      <rPr>
        <sz val="7"/>
        <color rgb="FF002060"/>
        <rFont val="Times New Roman"/>
        <family val="1"/>
      </rPr>
      <t xml:space="preserve">       </t>
    </r>
    <r>
      <rPr>
        <sz val="12"/>
        <color rgb="FF002060"/>
        <rFont val="Times New Roman"/>
        <family val="1"/>
      </rPr>
      <t>All policies were written for 6-month terms.</t>
    </r>
  </si>
  <si>
    <r>
      <t>(</t>
    </r>
    <r>
      <rPr>
        <i/>
        <sz val="12"/>
        <color rgb="FF002060"/>
        <rFont val="Times New Roman"/>
        <family val="1"/>
      </rPr>
      <t>1 point</t>
    </r>
    <r>
      <rPr>
        <sz val="12"/>
        <color rgb="FF002060"/>
        <rFont val="Times New Roman"/>
        <family val="1"/>
      </rPr>
      <t>)  Calculate the total variable expense ratio for each of calendar years 2019 to 2023.</t>
    </r>
  </si>
  <si>
    <t>Latest 3 years average for variable general expense ratio due to the increase over the last 3 years.</t>
  </si>
  <si>
    <t>Select 12% for commission and premium tax expense ratio, as there has been a change to these ratios.</t>
  </si>
  <si>
    <r>
      <t>(</t>
    </r>
    <r>
      <rPr>
        <i/>
        <sz val="12"/>
        <color rgb="FF002060"/>
        <rFont val="Times New Roman"/>
        <family val="1"/>
      </rPr>
      <t>2 points</t>
    </r>
    <r>
      <rPr>
        <sz val="12"/>
        <color rgb="FF002060"/>
        <rFont val="Times New Roman"/>
        <family val="1"/>
      </rPr>
      <t>)  Recommend the fixed expense per exposure to use in ratemaking.  Justify your recommendation.</t>
    </r>
  </si>
  <si>
    <t>Fixed expenses are incurred at the time each policy is written.</t>
  </si>
  <si>
    <t>Therefore, need to trend from the average written date in each calendar year to the average written date in the future rating period.</t>
  </si>
  <si>
    <t>Average written date in calendar year 2023:</t>
  </si>
  <si>
    <t>Trend period for 2023:</t>
  </si>
  <si>
    <t>Fixed General Expense</t>
  </si>
  <si>
    <t>Trending Period</t>
  </si>
  <si>
    <t>Fixed Expense Trend Factor</t>
  </si>
  <si>
    <t>Justification: Select the latest 3 years average due to the increase over the last 3 years.</t>
  </si>
  <si>
    <t>You are estimating claim trend by fitting historical data using exponential regression.</t>
  </si>
  <si>
    <r>
      <t>(</t>
    </r>
    <r>
      <rPr>
        <i/>
        <sz val="12"/>
        <color rgb="FF002060"/>
        <rFont val="Times New Roman"/>
        <family val="1"/>
      </rPr>
      <t>0.5 points</t>
    </r>
    <r>
      <rPr>
        <sz val="12"/>
        <color rgb="FF002060"/>
        <rFont val="Times New Roman"/>
        <family val="1"/>
      </rPr>
      <t>)  Describe one reason for relying on a longer period of time when trending a long-tailed line of business.</t>
    </r>
  </si>
  <si>
    <t>One reason for using more data points is to account for the greater uncertainty inherent in the projection of ultimate claims for long-tail coverages, particularly for the most recent years in the experience period.</t>
  </si>
  <si>
    <r>
      <t>(</t>
    </r>
    <r>
      <rPr>
        <i/>
        <sz val="12"/>
        <color rgb="FF002060"/>
        <rFont val="Times New Roman"/>
        <family val="1"/>
      </rPr>
      <t>0.5 points</t>
    </r>
    <r>
      <rPr>
        <sz val="12"/>
        <color rgb="FF002060"/>
        <rFont val="Times New Roman"/>
        <family val="1"/>
      </rPr>
      <t>)  Provide an example where a longer period of time may not be appropriate for trending a long-tailed line of business.</t>
    </r>
  </si>
  <si>
    <t>Due to potential changes in coverage as well as in the economic, regulatory, and legal environments over time.</t>
  </si>
  <si>
    <r>
      <t>(</t>
    </r>
    <r>
      <rPr>
        <i/>
        <sz val="12"/>
        <color rgb="FF002060"/>
        <rFont val="Times New Roman"/>
        <family val="1"/>
      </rPr>
      <t>1 point</t>
    </r>
    <r>
      <rPr>
        <sz val="12"/>
        <color rgb="FF002060"/>
        <rFont val="Times New Roman"/>
        <family val="1"/>
      </rPr>
      <t>)  State two considerations when selecting which data points to include in trending procedures.</t>
    </r>
  </si>
  <si>
    <t>- Balance the need for stability with the need for responsiveness to the most recent experience.</t>
  </si>
  <si>
    <t>- Assign greater weight to the most recent experience for short-tail lines of business.</t>
  </si>
  <si>
    <t>- Have a sufficient number of data points in the experience period to determine a pattern for the annual change.</t>
  </si>
  <si>
    <t>- Consider both long-term and short-term trend indications for long-tail lines of business.</t>
  </si>
  <si>
    <t xml:space="preserve">- Consider the effect of changes in coverage, economic, regulatory and legal environments over time. </t>
  </si>
  <si>
    <t>- The experience of the most recent data points may be too immature for long-tail lines of business.</t>
  </si>
  <si>
    <t>- Consider excluding outliers.</t>
  </si>
  <si>
    <t>You are given the following for a ratemaking exercise:</t>
  </si>
  <si>
    <r>
      <t>·</t>
    </r>
    <r>
      <rPr>
        <sz val="7"/>
        <color rgb="FF002060"/>
        <rFont val="Times New Roman"/>
        <family val="1"/>
      </rPr>
      <t xml:space="preserve">       </t>
    </r>
    <r>
      <rPr>
        <sz val="12"/>
        <color rgb="FF002060"/>
        <rFont val="Times New Roman"/>
        <family val="1"/>
      </rPr>
      <t>40% of all written policies are expected to be twelve-month policies.</t>
    </r>
  </si>
  <si>
    <r>
      <t>·</t>
    </r>
    <r>
      <rPr>
        <sz val="7"/>
        <color rgb="FF002060"/>
        <rFont val="Times New Roman"/>
        <family val="1"/>
      </rPr>
      <t xml:space="preserve">       </t>
    </r>
    <r>
      <rPr>
        <sz val="12"/>
        <color rgb="FF002060"/>
        <rFont val="Times New Roman"/>
        <family val="1"/>
      </rPr>
      <t>60% of all written policies are expected to be six-month policies.</t>
    </r>
  </si>
  <si>
    <r>
      <t>·</t>
    </r>
    <r>
      <rPr>
        <sz val="7"/>
        <color rgb="FF002060"/>
        <rFont val="Times New Roman"/>
        <family val="1"/>
      </rPr>
      <t xml:space="preserve">       </t>
    </r>
    <r>
      <rPr>
        <sz val="12"/>
        <color rgb="FF002060"/>
        <rFont val="Times New Roman"/>
        <family val="1"/>
      </rPr>
      <t>The accident year 2022 trend period for 12-month policies is 45 months.</t>
    </r>
  </si>
  <si>
    <r>
      <t>·</t>
    </r>
    <r>
      <rPr>
        <sz val="7"/>
        <color rgb="FF002060"/>
        <rFont val="Times New Roman"/>
        <family val="1"/>
      </rPr>
      <t xml:space="preserve">       </t>
    </r>
    <r>
      <rPr>
        <sz val="12"/>
        <color rgb="FF002060"/>
        <rFont val="Times New Roman"/>
        <family val="1"/>
      </rPr>
      <t xml:space="preserve">The exponential regression best fit lines, where </t>
    </r>
    <r>
      <rPr>
        <i/>
        <sz val="12"/>
        <color rgb="FF002060"/>
        <rFont val="Times New Roman"/>
        <family val="1"/>
      </rPr>
      <t>t</t>
    </r>
    <r>
      <rPr>
        <sz val="12"/>
        <color rgb="FF002060"/>
        <rFont val="Times New Roman"/>
        <family val="1"/>
      </rPr>
      <t xml:space="preserve"> is half years:</t>
    </r>
  </si>
  <si>
    <r>
      <t>o</t>
    </r>
    <r>
      <rPr>
        <sz val="7"/>
        <color rgb="FF002060"/>
        <rFont val="Times New Roman"/>
        <family val="1"/>
      </rPr>
      <t xml:space="preserve">   </t>
    </r>
    <r>
      <rPr>
        <sz val="12"/>
        <color rgb="FF002060"/>
        <rFont val="Times New Roman"/>
        <family val="1"/>
      </rPr>
      <t xml:space="preserve">Claim severity: </t>
    </r>
  </si>
  <si>
    <r>
      <t>o</t>
    </r>
    <r>
      <rPr>
        <sz val="7"/>
        <color rgb="FF002060"/>
        <rFont val="Times New Roman"/>
        <family val="1"/>
      </rPr>
      <t xml:space="preserve">   </t>
    </r>
    <r>
      <rPr>
        <sz val="12"/>
        <color rgb="FF002060"/>
        <rFont val="Times New Roman"/>
        <family val="1"/>
      </rPr>
      <t xml:space="preserve">Claim frequency: </t>
    </r>
  </si>
  <si>
    <r>
      <t>(</t>
    </r>
    <r>
      <rPr>
        <i/>
        <sz val="12"/>
        <color rgb="FF002060"/>
        <rFont val="Times New Roman"/>
        <family val="1"/>
      </rPr>
      <t>2 points</t>
    </r>
    <r>
      <rPr>
        <sz val="12"/>
        <color rgb="FF002060"/>
        <rFont val="Times New Roman"/>
        <family val="1"/>
      </rPr>
      <t>)  Calculate the pure premium trend factor for accident year 2022.</t>
    </r>
  </si>
  <si>
    <t># months trending period:</t>
  </si>
  <si>
    <t>12-month policies (given)</t>
  </si>
  <si>
    <t>6-month policies</t>
  </si>
  <si>
    <t xml:space="preserve"> (3 months earlier than 12 month policies)</t>
  </si>
  <si>
    <t>Weighted average # months:</t>
  </si>
  <si>
    <t>exponent:</t>
  </si>
  <si>
    <t>Pure premium trend factor:</t>
  </si>
  <si>
    <r>
      <t>(</t>
    </r>
    <r>
      <rPr>
        <i/>
        <sz val="12"/>
        <color rgb="FF002060"/>
        <rFont val="Times New Roman"/>
        <family val="1"/>
      </rPr>
      <t>0.5 points</t>
    </r>
    <r>
      <rPr>
        <sz val="12"/>
        <color rgb="FF002060"/>
        <rFont val="Times New Roman"/>
        <family val="1"/>
      </rPr>
      <t>)  Describe why unallocated loss adjustment expenses (ULAE) are usually analyzed on a calendar year basis.</t>
    </r>
  </si>
  <si>
    <t>ULAE is not assigned to specific claims, therefore, no accident year can be assigned.</t>
  </si>
  <si>
    <r>
      <t>(</t>
    </r>
    <r>
      <rPr>
        <i/>
        <sz val="12"/>
        <color rgb="FF002060"/>
        <rFont val="Times New Roman"/>
        <family val="1"/>
      </rPr>
      <t>0.5 points</t>
    </r>
    <r>
      <rPr>
        <sz val="12"/>
        <color rgb="FF002060"/>
        <rFont val="Times New Roman"/>
        <family val="1"/>
      </rPr>
      <t>)  Describe a weakness of the classical paid-to-paid method that the Kittel refinement is intended to address.</t>
    </r>
  </si>
  <si>
    <t xml:space="preserve">ULAE are not simply associated with the payment of claims, but other activity as well. </t>
  </si>
  <si>
    <t>Count-based ULAE methods resolve two major drawbacks of ratio-based ULAE methods.</t>
  </si>
  <si>
    <r>
      <t>(</t>
    </r>
    <r>
      <rPr>
        <i/>
        <sz val="12"/>
        <color rgb="FF002060"/>
        <rFont val="Times New Roman"/>
        <family val="1"/>
      </rPr>
      <t>1 point</t>
    </r>
    <r>
      <rPr>
        <sz val="12"/>
        <color rgb="FF002060"/>
        <rFont val="Times New Roman"/>
        <family val="1"/>
      </rPr>
      <t>)  Describe these two major drawbacks.</t>
    </r>
  </si>
  <si>
    <t xml:space="preserve">Ratio-based methods do not recognize that the amount of ULAE does not depend solely on the magnitude of the total claims in the portfolio.  </t>
  </si>
  <si>
    <t>ULAE from ratio-based methods will fluctuate in response to changes in the estimates of unpaid claims.</t>
  </si>
  <si>
    <t>You are given the following information for estimating unpaid ULAE as of December 31, 2023:</t>
  </si>
  <si>
    <t>As of</t>
  </si>
  <si>
    <t>Dec. 31, 2023</t>
  </si>
  <si>
    <t>IBNER</t>
  </si>
  <si>
    <t>IBNYR</t>
  </si>
  <si>
    <r>
      <t>·</t>
    </r>
    <r>
      <rPr>
        <sz val="7"/>
        <color rgb="FF002060"/>
        <rFont val="Times New Roman"/>
        <family val="1"/>
      </rPr>
      <t xml:space="preserve">       </t>
    </r>
    <r>
      <rPr>
        <sz val="12"/>
        <color rgb="FF002060"/>
        <rFont val="Times New Roman"/>
        <family val="1"/>
      </rPr>
      <t xml:space="preserve">Approximately </t>
    </r>
  </si>
  <si>
    <t xml:space="preserve"> of claim department expenses relate to opening a claim file and </t>
  </si>
  <si>
    <t xml:space="preserve">  relate to maintaining </t>
  </si>
  <si>
    <t xml:space="preserve">     and closing a claim file.</t>
  </si>
  <si>
    <r>
      <t>(</t>
    </r>
    <r>
      <rPr>
        <i/>
        <sz val="12"/>
        <color rgb="FF002060"/>
        <rFont val="Times New Roman"/>
        <family val="1"/>
      </rPr>
      <t>1.5 points</t>
    </r>
    <r>
      <rPr>
        <sz val="12"/>
        <color rgb="FF002060"/>
        <rFont val="Times New Roman"/>
        <family val="1"/>
      </rPr>
      <t>)  Estimate unpaid ULAE as of December 31, 2023 using the classical paid-to-paid method.</t>
    </r>
  </si>
  <si>
    <t>Paid-to-Paid</t>
  </si>
  <si>
    <t>Expense</t>
  </si>
  <si>
    <t>Multiplier</t>
  </si>
  <si>
    <t xml:space="preserve">Case Reserves </t>
  </si>
  <si>
    <t>You are given the following additional information to estimate unpaid ULAE using the Wendy Johnson count-based method.</t>
  </si>
  <si>
    <t>Historical ULAE Counts</t>
  </si>
  <si>
    <t>Newly Reported</t>
  </si>
  <si>
    <t>Projected ULAE Counts</t>
  </si>
  <si>
    <t>Claim Count Weights</t>
  </si>
  <si>
    <r>
      <t>·</t>
    </r>
    <r>
      <rPr>
        <sz val="7"/>
        <color rgb="FF002060"/>
        <rFont val="Times New Roman"/>
        <family val="1"/>
      </rPr>
      <t xml:space="preserve">       </t>
    </r>
    <r>
      <rPr>
        <sz val="12"/>
        <color rgb="FF002060"/>
        <rFont val="Times New Roman"/>
        <family val="1"/>
      </rPr>
      <t>Historical annual expense trend through 2023 has been</t>
    </r>
  </si>
  <si>
    <r>
      <t>·</t>
    </r>
    <r>
      <rPr>
        <sz val="7"/>
        <color rgb="FF002060"/>
        <rFont val="Times New Roman"/>
        <family val="1"/>
      </rPr>
      <t xml:space="preserve">       </t>
    </r>
    <r>
      <rPr>
        <sz val="12"/>
        <color rgb="FF002060"/>
        <rFont val="Times New Roman"/>
        <family val="1"/>
      </rPr>
      <t>Prospective annual expense trend after 2023 is expected to be</t>
    </r>
  </si>
  <si>
    <r>
      <t>(</t>
    </r>
    <r>
      <rPr>
        <i/>
        <sz val="12"/>
        <color rgb="FF002060"/>
        <rFont val="Times New Roman"/>
        <family val="1"/>
      </rPr>
      <t>1 point</t>
    </r>
    <r>
      <rPr>
        <sz val="12"/>
        <color rgb="FF002060"/>
        <rFont val="Times New Roman"/>
        <family val="1"/>
      </rPr>
      <t>)  Demonstrate that the projected open counts for calendar years 2024, 2025, and 2026 are calculated correctly based on newly reported claims and closed claims.</t>
    </r>
  </si>
  <si>
    <t>Projected Open Counts</t>
  </si>
  <si>
    <r>
      <t>(</t>
    </r>
    <r>
      <rPr>
        <i/>
        <sz val="12"/>
        <color rgb="FF002060"/>
        <rFont val="Times New Roman"/>
        <family val="1"/>
      </rPr>
      <t>2.5 points</t>
    </r>
    <r>
      <rPr>
        <sz val="12"/>
        <color rgb="FF002060"/>
        <rFont val="Times New Roman"/>
        <family val="1"/>
      </rPr>
      <t>)  Estimate unpaid ULAE as of December 31, 2023 using the Wendy Johnson method.</t>
    </r>
  </si>
  <si>
    <t>Avg ULAE Per Wtd Count</t>
  </si>
  <si>
    <t>Weighted Total</t>
  </si>
  <si>
    <t>Weights:</t>
  </si>
  <si>
    <t>Selected Average ULAE per Weighted Count:</t>
  </si>
  <si>
    <t>Trending Period in Years</t>
  </si>
  <si>
    <t>Prospective Trend Factor</t>
  </si>
  <si>
    <t>Trended Avg ULAE</t>
  </si>
  <si>
    <t>Estimated Unpaid ULAE</t>
  </si>
  <si>
    <t xml:space="preserve">General liability claims may have a long lag between the occurrence date and the report date. </t>
  </si>
  <si>
    <r>
      <t>(</t>
    </r>
    <r>
      <rPr>
        <i/>
        <sz val="12"/>
        <color rgb="FF002060"/>
        <rFont val="Times New Roman"/>
        <family val="1"/>
      </rPr>
      <t>0.5 points</t>
    </r>
    <r>
      <rPr>
        <sz val="12"/>
        <color rgb="FF002060"/>
        <rFont val="Times New Roman"/>
        <family val="1"/>
      </rPr>
      <t>)  Provide an example of another line of business that often has a long lag between the occurrence date and the report date.</t>
    </r>
  </si>
  <si>
    <t>Any of the following are acceptable:</t>
  </si>
  <si>
    <t xml:space="preserve"> - Errors &amp; Omissions</t>
  </si>
  <si>
    <t xml:space="preserve"> - Medical malpractice</t>
  </si>
  <si>
    <t xml:space="preserve"> - Any type of bodily injury liability only coverage</t>
  </si>
  <si>
    <r>
      <t>(</t>
    </r>
    <r>
      <rPr>
        <i/>
        <sz val="12"/>
        <color rgb="FF002060"/>
        <rFont val="Times New Roman"/>
        <family val="1"/>
      </rPr>
      <t>0.5 points</t>
    </r>
    <r>
      <rPr>
        <sz val="12"/>
        <color rgb="FF002060"/>
        <rFont val="Times New Roman"/>
        <family val="1"/>
      </rPr>
      <t>)  Provide an example of a line of business where claim files are commonly reopened.</t>
    </r>
  </si>
  <si>
    <t xml:space="preserve"> - Workers compensation</t>
  </si>
  <si>
    <t xml:space="preserve">Cumulative Paid Claims </t>
  </si>
  <si>
    <t xml:space="preserve">A legislative change became effective July 1, 2021, reducing claim costs </t>
  </si>
  <si>
    <t xml:space="preserve"> for all claims paid on or after this date.</t>
  </si>
  <si>
    <r>
      <t>(</t>
    </r>
    <r>
      <rPr>
        <i/>
        <sz val="12"/>
        <color rgb="FF002060"/>
        <rFont val="Times New Roman"/>
        <family val="1"/>
      </rPr>
      <t>2 points</t>
    </r>
    <r>
      <rPr>
        <sz val="12"/>
        <color rgb="FF002060"/>
        <rFont val="Times New Roman"/>
        <family val="1"/>
      </rPr>
      <t>)  Construct a revised cumulative paid claims triangle adjusted for the legislative change.</t>
    </r>
  </si>
  <si>
    <t>It is necessary to start with incremental paid claims, as the reform affects claims paid after a certain date and not the cumulative of all claims paid to that date.</t>
  </si>
  <si>
    <t>Adjustment Factors for Tort Reform</t>
  </si>
  <si>
    <t>Adjusted Incremental Paid Claims</t>
  </si>
  <si>
    <t>Adjusted Cumulative Paid Claims</t>
  </si>
  <si>
    <t>Projected Earned Exposures</t>
  </si>
  <si>
    <r>
      <t>·</t>
    </r>
    <r>
      <rPr>
        <sz val="7"/>
        <color rgb="FF002060"/>
        <rFont val="Times New Roman"/>
        <family val="1"/>
      </rPr>
      <t xml:space="preserve">       </t>
    </r>
    <r>
      <rPr>
        <sz val="12"/>
        <color rgb="FF002060"/>
        <rFont val="Times New Roman"/>
        <family val="1"/>
      </rPr>
      <t xml:space="preserve">The annual claim frequency trend is expected to be </t>
    </r>
  </si>
  <si>
    <r>
      <t>·</t>
    </r>
    <r>
      <rPr>
        <sz val="7"/>
        <color rgb="FF002060"/>
        <rFont val="Times New Roman"/>
        <family val="1"/>
      </rPr>
      <t xml:space="preserve">       </t>
    </r>
    <r>
      <rPr>
        <sz val="12"/>
        <color rgb="FF002060"/>
        <rFont val="Times New Roman"/>
        <family val="1"/>
      </rPr>
      <t xml:space="preserve">The annual claim severity trend is expected to be </t>
    </r>
  </si>
  <si>
    <r>
      <t>·</t>
    </r>
    <r>
      <rPr>
        <sz val="7"/>
        <color rgb="FF002060"/>
        <rFont val="Times New Roman"/>
        <family val="1"/>
      </rPr>
      <t xml:space="preserve">       </t>
    </r>
    <r>
      <rPr>
        <sz val="12"/>
        <color rgb="FF002060"/>
        <rFont val="Times New Roman"/>
        <family val="1"/>
      </rPr>
      <t xml:space="preserve">The 2023 cost level claim frequency is </t>
    </r>
  </si>
  <si>
    <r>
      <t>·</t>
    </r>
    <r>
      <rPr>
        <sz val="7"/>
        <color rgb="FF002060"/>
        <rFont val="Times New Roman"/>
        <family val="1"/>
      </rPr>
      <t xml:space="preserve">       </t>
    </r>
    <r>
      <rPr>
        <sz val="12"/>
        <color rgb="FF002060"/>
        <rFont val="Times New Roman"/>
        <family val="1"/>
      </rPr>
      <t xml:space="preserve">The 2023 cost level severity is </t>
    </r>
  </si>
  <si>
    <r>
      <t>(</t>
    </r>
    <r>
      <rPr>
        <i/>
        <sz val="12"/>
        <color rgb="FF002060"/>
        <rFont val="Times New Roman"/>
        <family val="1"/>
      </rPr>
      <t>1 point</t>
    </r>
    <r>
      <rPr>
        <sz val="12"/>
        <color rgb="FF002060"/>
        <rFont val="Times New Roman"/>
        <family val="1"/>
      </rPr>
      <t>)  Verify the projected ultimate claims for accident years 2024 and 2025.</t>
    </r>
  </si>
  <si>
    <t>Projected Frequency</t>
  </si>
  <si>
    <t>Projected Counts</t>
  </si>
  <si>
    <t>Projected Severity</t>
  </si>
  <si>
    <t>The ultimate claims for all accident years are estimated as:</t>
  </si>
  <si>
    <r>
      <t>(</t>
    </r>
    <r>
      <rPr>
        <i/>
        <sz val="12"/>
        <color rgb="FF002060"/>
        <rFont val="Times New Roman"/>
        <family val="1"/>
      </rPr>
      <t>3 points</t>
    </r>
    <r>
      <rPr>
        <sz val="12"/>
        <color rgb="FF002060"/>
        <rFont val="Times New Roman"/>
        <family val="1"/>
      </rPr>
      <t>)  Calculate the claims expected to be paid in calendar years 2024 and 2025, using the results from part (c).</t>
    </r>
  </si>
  <si>
    <t>Age-to-ultimate factors are calculated by dividing the given ultimate claims by cumulative paid claims to date (i.e., the latest diagonal).</t>
  </si>
  <si>
    <t>Age-to-age:</t>
  </si>
  <si>
    <t>Age-to-ult:</t>
  </si>
  <si>
    <t>CY2024 paid claims:</t>
  </si>
  <si>
    <t>CY2025 paid claims:</t>
  </si>
  <si>
    <t>Your company started writing a new line of business on March 1, 2022.  You are conducting a ratemaking analysis for this line of business and are given the following:</t>
  </si>
  <si>
    <t>Historical Rate Changes Since March 1, 2022</t>
  </si>
  <si>
    <r>
      <t>·</t>
    </r>
    <r>
      <rPr>
        <sz val="7"/>
        <color rgb="FF002060"/>
        <rFont val="Times New Roman"/>
        <family val="1"/>
      </rPr>
      <t xml:space="preserve">       </t>
    </r>
    <r>
      <rPr>
        <sz val="12"/>
        <color rgb="FF002060"/>
        <rFont val="Times New Roman"/>
        <family val="1"/>
      </rPr>
      <t>The first policy was issued March 1, 2022.</t>
    </r>
  </si>
  <si>
    <r>
      <t>·</t>
    </r>
    <r>
      <rPr>
        <sz val="7"/>
        <color rgb="FF002060"/>
        <rFont val="Times New Roman"/>
        <family val="1"/>
      </rPr>
      <t xml:space="preserve">       </t>
    </r>
    <r>
      <rPr>
        <sz val="12"/>
        <color rgb="FF002060"/>
        <rFont val="Times New Roman"/>
        <family val="1"/>
      </rPr>
      <t>All policies were written for 12-month terms.</t>
    </r>
  </si>
  <si>
    <r>
      <t>·</t>
    </r>
    <r>
      <rPr>
        <sz val="7"/>
        <color rgb="FF002060"/>
        <rFont val="Times New Roman"/>
        <family val="1"/>
      </rPr>
      <t xml:space="preserve">       </t>
    </r>
    <r>
      <rPr>
        <sz val="12"/>
        <color rgb="FF002060"/>
        <rFont val="Times New Roman"/>
        <family val="1"/>
      </rPr>
      <t>There have been no rate changes since January 1, 2024.</t>
    </r>
  </si>
  <si>
    <r>
      <t>·</t>
    </r>
    <r>
      <rPr>
        <sz val="7"/>
        <color rgb="FF002060"/>
        <rFont val="Times New Roman"/>
        <family val="1"/>
      </rPr>
      <t xml:space="preserve">       </t>
    </r>
    <r>
      <rPr>
        <sz val="12"/>
        <color rgb="FF002060"/>
        <rFont val="Times New Roman"/>
        <family val="1"/>
      </rPr>
      <t>New rates will be effective April 1, 2025, for one year.</t>
    </r>
  </si>
  <si>
    <t>You are adjusting historical earned premiums to the future rating period.</t>
  </si>
  <si>
    <r>
      <t>(</t>
    </r>
    <r>
      <rPr>
        <i/>
        <sz val="12"/>
        <color rgb="FF002060"/>
        <rFont val="Times New Roman"/>
        <family val="1"/>
      </rPr>
      <t>3 points</t>
    </r>
    <r>
      <rPr>
        <sz val="12"/>
        <color rgb="FF002060"/>
        <rFont val="Times New Roman"/>
        <family val="1"/>
      </rPr>
      <t>)  Calculate the on-level premium factors for calendar year 2022 and 2023.</t>
    </r>
  </si>
  <si>
    <t>1.05×1.07</t>
  </si>
  <si>
    <t>Prior to Mar 1/22</t>
  </si>
  <si>
    <r>
      <t>(</t>
    </r>
    <r>
      <rPr>
        <i/>
        <sz val="12"/>
        <color rgb="FF002060"/>
        <rFont val="Times New Roman"/>
        <family val="1"/>
      </rPr>
      <t>2 points</t>
    </r>
    <r>
      <rPr>
        <sz val="12"/>
        <color rgb="FF002060"/>
        <rFont val="Times New Roman"/>
        <family val="1"/>
      </rPr>
      <t>)  Calculate premium trend factors for calendar year 2022 and 2023.</t>
    </r>
  </si>
  <si>
    <t>Effective date or new rates:</t>
  </si>
  <si>
    <t>Trend from average written date in experience period to average written date in future rating period.</t>
  </si>
  <si>
    <t>Average Written Date in Experience Period</t>
  </si>
  <si>
    <t>Average Written Date Rating Period</t>
  </si>
  <si>
    <t>Trending Period in Months</t>
  </si>
  <si>
    <t>Trend Factor</t>
  </si>
  <si>
    <t>for 2022: all policies written between Mar 1, 2022 &amp; Dec 31, 2022 contribute toward 2022 EP</t>
  </si>
  <si>
    <t>for 2023: all policies written between Mar 1, 2022 &amp; Dec 31, 2023 contribute toward 2023 EP</t>
  </si>
  <si>
    <t>You are given the following information for estimating ultimate claims:</t>
  </si>
  <si>
    <r>
      <t>·</t>
    </r>
    <r>
      <rPr>
        <sz val="7"/>
        <color rgb="FF002060"/>
        <rFont val="Times New Roman"/>
        <family val="1"/>
      </rPr>
      <t xml:space="preserve">       </t>
    </r>
    <r>
      <rPr>
        <sz val="12"/>
        <color rgb="FF002060"/>
        <rFont val="Times New Roman"/>
        <family val="1"/>
      </rPr>
      <t>This was a new book of business in 2019.</t>
    </r>
  </si>
  <si>
    <r>
      <t>·</t>
    </r>
    <r>
      <rPr>
        <sz val="7"/>
        <color rgb="FF002060"/>
        <rFont val="Times New Roman"/>
        <family val="1"/>
      </rPr>
      <t xml:space="preserve">       </t>
    </r>
    <r>
      <rPr>
        <sz val="12"/>
        <color rgb="FF002060"/>
        <rFont val="Times New Roman"/>
        <family val="1"/>
      </rPr>
      <t>A rate change of –5% was effective January 1, 2022.  There were no other rate changes.</t>
    </r>
  </si>
  <si>
    <r>
      <t>·</t>
    </r>
    <r>
      <rPr>
        <sz val="7"/>
        <color rgb="FF002060"/>
        <rFont val="Times New Roman"/>
        <family val="1"/>
      </rPr>
      <t xml:space="preserve">       </t>
    </r>
    <r>
      <rPr>
        <sz val="12"/>
        <color rgb="FF002060"/>
        <rFont val="Times New Roman"/>
        <family val="1"/>
      </rPr>
      <t>An unusual large claim of</t>
    </r>
  </si>
  <si>
    <t xml:space="preserve"> occurred in accident year 2021.  The claim was first reported in September 2022 </t>
  </si>
  <si>
    <t xml:space="preserve">      and the claim estimate has not changed.  </t>
  </si>
  <si>
    <r>
      <t>·</t>
    </r>
    <r>
      <rPr>
        <sz val="7"/>
        <color rgb="FF002060"/>
        <rFont val="Times New Roman"/>
        <family val="1"/>
      </rPr>
      <t xml:space="preserve">       </t>
    </r>
    <r>
      <rPr>
        <sz val="12"/>
        <color rgb="FF002060"/>
        <rFont val="Times New Roman"/>
        <family val="1"/>
      </rPr>
      <t>The original Bondy method is used to estimate a tail factor at 60 months.</t>
    </r>
  </si>
  <si>
    <r>
      <t>·</t>
    </r>
    <r>
      <rPr>
        <sz val="7"/>
        <color rgb="FF002060"/>
        <rFont val="Times New Roman"/>
        <family val="1"/>
      </rPr>
      <t xml:space="preserve">       </t>
    </r>
    <r>
      <rPr>
        <sz val="12"/>
        <color rgb="FF002060"/>
        <rFont val="Times New Roman"/>
        <family val="1"/>
      </rPr>
      <t>The expected claim ratio based on industry data is 65% for all accident years.  However, management is uncertain that industry data is representative of this book of business.</t>
    </r>
  </si>
  <si>
    <r>
      <t>(</t>
    </r>
    <r>
      <rPr>
        <i/>
        <sz val="12"/>
        <color rgb="FF002060"/>
        <rFont val="Times New Roman"/>
        <family val="1"/>
      </rPr>
      <t>1.5 points</t>
    </r>
    <r>
      <rPr>
        <sz val="12"/>
        <color rgb="FF002060"/>
        <rFont val="Times New Roman"/>
        <family val="1"/>
      </rPr>
      <t>)  Calculate projected ultimate claims for all accident years using the development method.</t>
    </r>
  </si>
  <si>
    <t>Reported Claims, Adjusted for Large Claim</t>
  </si>
  <si>
    <t>Reported Claims Age-to-Age factors</t>
  </si>
  <si>
    <t>60-ultimate</t>
  </si>
  <si>
    <t>Simple All Years Avg.</t>
  </si>
  <si>
    <t>Vol. Wtd. Avg.</t>
  </si>
  <si>
    <t xml:space="preserve">Selected </t>
  </si>
  <si>
    <t>Age-to-ult. (CDF)</t>
  </si>
  <si>
    <t>Reported Claims Excluding Large Claim</t>
  </si>
  <si>
    <t>Ultimate Claims Excluding Large Claim</t>
  </si>
  <si>
    <t>Ultimate Claims Including Large Claim</t>
  </si>
  <si>
    <r>
      <t>(</t>
    </r>
    <r>
      <rPr>
        <i/>
        <sz val="12"/>
        <color rgb="FF002060"/>
        <rFont val="Times New Roman"/>
        <family val="1"/>
      </rPr>
      <t>0.5 points</t>
    </r>
    <r>
      <rPr>
        <sz val="12"/>
        <color rgb="FF002060"/>
        <rFont val="Times New Roman"/>
        <family val="1"/>
      </rPr>
      <t>)  Critique the appropriateness of selecting the development method for this line of business.</t>
    </r>
  </si>
  <si>
    <t>The method seems appropriate after adjusting for large loss because development factors are relatively stable.</t>
  </si>
  <si>
    <r>
      <t>(</t>
    </r>
    <r>
      <rPr>
        <i/>
        <sz val="12"/>
        <color rgb="FF002060"/>
        <rFont val="Times New Roman"/>
        <family val="1"/>
      </rPr>
      <t>1 point</t>
    </r>
    <r>
      <rPr>
        <sz val="12"/>
        <color rgb="FF002060"/>
        <rFont val="Times New Roman"/>
        <family val="1"/>
      </rPr>
      <t>)  Calculate projected ultimate claims for all accident years using the Bornhuetter Ferguson method.</t>
    </r>
  </si>
  <si>
    <t>The claim ratio to use is the given expected claim ratio based on industry data of 65% for all accident years.</t>
  </si>
  <si>
    <t>% Claims Unreported</t>
  </si>
  <si>
    <t>BF Method Ultimate Claims</t>
  </si>
  <si>
    <r>
      <t>(</t>
    </r>
    <r>
      <rPr>
        <i/>
        <sz val="12"/>
        <color rgb="FF002060"/>
        <rFont val="Times New Roman"/>
        <family val="1"/>
      </rPr>
      <t>0.5 points</t>
    </r>
    <r>
      <rPr>
        <sz val="12"/>
        <color rgb="FF002060"/>
        <rFont val="Times New Roman"/>
        <family val="1"/>
      </rPr>
      <t>)  Critique the appropriateness of selecting the Bornhuetter Ferguson method for this line of business.</t>
    </r>
  </si>
  <si>
    <t>BF method may not be appropriate as management is uncertain that expected claim ratio from industry data is representative of this book of business.</t>
  </si>
  <si>
    <t>Alternatively, the BF method correctly reflects large claim.</t>
  </si>
  <si>
    <t>On-level factors:</t>
  </si>
  <si>
    <t>On-level Factors</t>
  </si>
  <si>
    <t>Expected % Claims Reported</t>
  </si>
  <si>
    <t>Used Up On-Level Earned Premiums</t>
  </si>
  <si>
    <t>Adjusted expected claim ratio:</t>
  </si>
  <si>
    <r>
      <t>(</t>
    </r>
    <r>
      <rPr>
        <i/>
        <sz val="12"/>
        <color rgb="FF002060"/>
        <rFont val="Times New Roman"/>
        <family val="1"/>
      </rPr>
      <t>0.5 points</t>
    </r>
    <r>
      <rPr>
        <sz val="12"/>
        <color rgb="FF002060"/>
        <rFont val="Times New Roman"/>
        <family val="1"/>
      </rPr>
      <t>)  Critique the appropriateness of selecting the Cape Cod method for this line of business.</t>
    </r>
  </si>
  <si>
    <t xml:space="preserve"> - Method is appropriate for newer lines of business (immature experience periods)</t>
  </si>
  <si>
    <t xml:space="preserve"> - Method is better than BF because expected claim ratio is experience-based</t>
  </si>
  <si>
    <t xml:space="preserve"> - Method is appropriate because it explicitly adjusts for trend</t>
  </si>
  <si>
    <t xml:space="preserve"> - Method is appropriate but usually used for longer-tailed lines</t>
  </si>
  <si>
    <t>You are estimating ultimate claims using a frequency-severity method, and are given:</t>
  </si>
  <si>
    <t>Reported Claims as of Dec. 31, 2023</t>
  </si>
  <si>
    <r>
      <t>·</t>
    </r>
    <r>
      <rPr>
        <sz val="7"/>
        <color rgb="FF002060"/>
        <rFont val="Times New Roman"/>
        <family val="1"/>
      </rPr>
      <t xml:space="preserve">       </t>
    </r>
    <r>
      <rPr>
        <sz val="12"/>
        <color rgb="FF002060"/>
        <rFont val="Times New Roman"/>
        <family val="1"/>
      </rPr>
      <t xml:space="preserve">A court ruling expanded policy coverage for claims occurring on or after January 1, 2023.  </t>
    </r>
  </si>
  <si>
    <r>
      <t>·</t>
    </r>
    <r>
      <rPr>
        <sz val="7"/>
        <color rgb="FF002060"/>
        <rFont val="Times New Roman"/>
        <family val="1"/>
      </rPr>
      <t xml:space="preserve">       </t>
    </r>
    <r>
      <rPr>
        <sz val="12"/>
        <color rgb="FF002060"/>
        <rFont val="Times New Roman"/>
        <family val="1"/>
      </rPr>
      <t xml:space="preserve">The court ruling increased claim frequency by </t>
    </r>
  </si>
  <si>
    <t xml:space="preserve"> but had no effect on claim severity.</t>
  </si>
  <si>
    <r>
      <t>·</t>
    </r>
    <r>
      <rPr>
        <sz val="7"/>
        <color rgb="FF002060"/>
        <rFont val="Times New Roman"/>
        <family val="1"/>
      </rPr>
      <t xml:space="preserve">       </t>
    </r>
    <r>
      <rPr>
        <sz val="12"/>
        <color rgb="FF002060"/>
        <rFont val="Times New Roman"/>
        <family val="1"/>
      </rPr>
      <t xml:space="preserve">The earned exposures are not sensitive to inflation. </t>
    </r>
  </si>
  <si>
    <r>
      <t>(</t>
    </r>
    <r>
      <rPr>
        <i/>
        <sz val="12"/>
        <color rgb="FF002060"/>
        <rFont val="Times New Roman"/>
        <family val="1"/>
      </rPr>
      <t>1 point</t>
    </r>
    <r>
      <rPr>
        <sz val="12"/>
        <color rgb="FF002060"/>
        <rFont val="Times New Roman"/>
        <family val="1"/>
      </rPr>
      <t>)  Recommend an annual claim frequency trend.</t>
    </r>
  </si>
  <si>
    <t>Court Ruling Adjusted Frequency</t>
  </si>
  <si>
    <t>Average excluding 2023</t>
  </si>
  <si>
    <t>Recommended Trend</t>
  </si>
  <si>
    <r>
      <t>(</t>
    </r>
    <r>
      <rPr>
        <i/>
        <sz val="12"/>
        <color rgb="FF002060"/>
        <rFont val="Times New Roman"/>
        <family val="1"/>
      </rPr>
      <t>3 points</t>
    </r>
    <r>
      <rPr>
        <sz val="12"/>
        <color rgb="FF002060"/>
        <rFont val="Times New Roman"/>
        <family val="1"/>
      </rPr>
      <t>)  Calculate the projected ultimate claims for all accident years using the development-based frequency-severity method.</t>
    </r>
  </si>
  <si>
    <t>Severity Trend @4.0%</t>
  </si>
  <si>
    <t>All years average:</t>
  </si>
  <si>
    <t>Average excluding 2023 (per the model):</t>
  </si>
  <si>
    <t>Other projection methods use triangles of closed count ratios.</t>
  </si>
  <si>
    <r>
      <t>(</t>
    </r>
    <r>
      <rPr>
        <i/>
        <sz val="12"/>
        <color rgb="FF002060"/>
        <rFont val="Times New Roman"/>
        <family val="1"/>
      </rPr>
      <t>0.5 points</t>
    </r>
    <r>
      <rPr>
        <sz val="12"/>
        <color rgb="FF002060"/>
        <rFont val="Times New Roman"/>
        <family val="1"/>
      </rPr>
      <t xml:space="preserve">)  Describe how to calculate the </t>
    </r>
    <r>
      <rPr>
        <i/>
        <sz val="12"/>
        <color rgb="FF002060"/>
        <rFont val="Times New Roman"/>
        <family val="1"/>
      </rPr>
      <t>proportion of closed counts</t>
    </r>
    <r>
      <rPr>
        <sz val="12"/>
        <color rgb="FF002060"/>
        <rFont val="Times New Roman"/>
        <family val="1"/>
      </rPr>
      <t xml:space="preserve"> triangle when using the frequency-severity closure method.</t>
    </r>
  </si>
  <si>
    <t>Instead of using development triangles with cumulative data, the closure method relies on triangles of incremental counts and claims.</t>
  </si>
  <si>
    <t>The proportion is the percent of counts closed of the remaining open counts.</t>
  </si>
  <si>
    <r>
      <t>(</t>
    </r>
    <r>
      <rPr>
        <i/>
        <sz val="12"/>
        <color rgb="FF002060"/>
        <rFont val="Times New Roman"/>
        <family val="1"/>
      </rPr>
      <t>0.5 points</t>
    </r>
    <r>
      <rPr>
        <sz val="12"/>
        <color rgb="FF002060"/>
        <rFont val="Times New Roman"/>
        <family val="1"/>
      </rPr>
      <t xml:space="preserve">)  Describe how to calculate the triangle of </t>
    </r>
    <r>
      <rPr>
        <i/>
        <sz val="12"/>
        <color rgb="FF002060"/>
        <rFont val="Times New Roman"/>
        <family val="1"/>
      </rPr>
      <t>disposal ratios</t>
    </r>
    <r>
      <rPr>
        <sz val="12"/>
        <color rgb="FF002060"/>
        <rFont val="Times New Roman"/>
        <family val="1"/>
      </rPr>
      <t xml:space="preserve"> when using the Berquist-Sherman adjustment for changing settlement rates.</t>
    </r>
  </si>
  <si>
    <t>The proportion closed counts is equal to the ratio of the counts closed at each maturity age to the counts remaining as of the prior maturity age.</t>
  </si>
  <si>
    <t>The disposal ratio is the percent closed of ultimate counts.</t>
  </si>
  <si>
    <t>F2024 Question 13</t>
  </si>
  <si>
    <t>F2024 Question 12</t>
  </si>
  <si>
    <t>F2024 Question 11</t>
  </si>
  <si>
    <t>F2024 Question 10</t>
  </si>
  <si>
    <t>F2024 Question 9</t>
  </si>
  <si>
    <t>F2024 Question 8</t>
  </si>
  <si>
    <t>F2024 Question 6</t>
  </si>
  <si>
    <t>F2024 Question 5</t>
  </si>
  <si>
    <t>F2024 Question 4</t>
  </si>
  <si>
    <t>F2024 Question 3</t>
  </si>
  <si>
    <t>F2024 Question 2</t>
  </si>
  <si>
    <t>Table of Contents</t>
  </si>
  <si>
    <t>CURATED PAST EXAM EXCEL SOLUTIONS</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</si>
  <si>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</si>
  <si>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</si>
  <si>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</si>
  <si>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</si>
  <si>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</si>
  <si>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Updated: July 8, 2025</t>
  </si>
  <si>
    <t>GI 101 - Ratemaking and Reserving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</si>
</sst>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3" formatCode="_(* #,##0.00_);_(* \(#,##0.00\);_(* &quot;-&quot;??_);_(@_)"/>
    <numFmt numFmtId="164" formatCode="0.0%"/>
    <numFmt numFmtId="165" formatCode="_-* #,##0.00_-;\-* #,##0.00_-;_-* &quot;-&quot;??_-;_-@_-"/>
    <numFmt numFmtId="166" formatCode="mmm\.\ d\,\ yyyy"/>
    <numFmt numFmtId="167" formatCode="#;\(#\);\-"/>
    <numFmt numFmtId="168" formatCode="0.0000"/>
    <numFmt numFmtId="169" formatCode="#,##0.0000"/>
    <numFmt numFmtId="170" formatCode="0.000"/>
    <numFmt numFmtId="171" formatCode="0.00000"/>
    <numFmt numFmtId="172" formatCode="0.0%;\-;\-"/>
    <numFmt numFmtId="173" formatCode="#,##0.000"/>
    <numFmt numFmtId="174" formatCode="_(* #,##0_);_(* \(#,##0\);_(* &quot;-&quot;??_);_(@_)"/>
    <numFmt numFmtId="175" formatCode="0.000%"/>
    <numFmt numFmtId="176" formatCode="mmmm\ d\,\ yyyy"/>
    <numFmt numFmtId="177" formatCode="[$-1009]d/mmm/yy;@"/>
    <numFmt numFmtId="178" formatCode="0.0000%"/>
    <numFmt numFmtId="179" formatCode="0.000000"/>
    <numFmt numFmtId="180" formatCode="_(* #,##0.000_);_(* \(#,##0.000\);_(* &quot;-&quot;??_);_(@_)"/>
    <numFmt numFmtId="181" formatCode="0.00%;\-;\-"/>
    <numFmt numFmtId="182" formatCode="#,##0.000_ "/>
    <numFmt numFmtId="183" formatCode="#,##0_ "/>
    <numFmt numFmtId="184" formatCode="0_);[Red]\(0\)"/>
    <numFmt numFmtId="185" formatCode="0_ "/>
    <numFmt numFmtId="186" formatCode="#,##0.0"/>
    <numFmt numFmtId="187" formatCode="[$-409]mmm\.\ d\,\ yyyy;@"/>
    <numFmt numFmtId="188" formatCode="mmmm\ d\,\ yyyy\."/>
    <numFmt numFmtId="189" formatCode="0.0000000"/>
    <numFmt numFmtId="190" formatCode="#,##0;\(#,##0\);\-"/>
    <numFmt numFmtId="191" formatCode="#,##0_ ;\-#,##0\ "/>
    <numFmt numFmtId="192" formatCode="0.000_ "/>
    <numFmt numFmtId="193" formatCode="mmm\ d\,\ yyyy"/>
    <numFmt numFmtId="194" formatCode="#,##0.0000_);\(#,##0.0000\)"/>
    <numFmt numFmtId="195" formatCode="#,##0.000_);\(#,##0.000\)"/>
    <numFmt numFmtId="196" formatCode="d\-mmm\-yyyy"/>
    <numFmt numFmtId="197" formatCode="#;\-#;\-"/>
    <numFmt numFmtId="198" formatCode="#,##0;\-#,##0;\-"/>
    <numFmt numFmtId="199" formatCode="#,##0.0000;\-#,##0.0000;\-"/>
    <numFmt numFmtId="200" formatCode="#,##0.00000"/>
  </numFmts>
  <fonts count="68">
    <font>
      <sz val="11"/>
      <color theme="1"/>
      <name val="Calibri"/>
      <family val="2"/>
    </font>
    <font>
      <sz val="11"/>
      <color theme="1"/>
      <name val="Aptos Narrow"/>
      <family val="2"/>
      <scheme val="minor"/>
    </font>
    <font>
      <sz val="11"/>
      <color theme="1"/>
      <name val="Aptos Narrow"/>
      <family val="2"/>
      <scheme val="minor"/>
    </font>
    <font>
      <b/>
      <sz val="14"/>
      <color rgb="FF002060"/>
      <name val="Times New Roman"/>
      <family val="1"/>
    </font>
    <font>
      <sz val="12"/>
      <color rgb="FF002060"/>
      <name val="Times New Roman"/>
      <family val="1"/>
    </font>
    <font>
      <i/>
      <sz val="12"/>
      <color rgb="FF002060"/>
      <name val="Times New Roman"/>
      <family val="1"/>
    </font>
    <font>
      <sz val="12"/>
      <color theme="1"/>
      <name val="Times New Roman"/>
      <family val="1"/>
    </font>
    <font>
      <sz val="12"/>
      <name val="Times New Roman"/>
      <family val="1"/>
    </font>
    <font>
      <b/>
      <sz val="12"/>
      <color rgb="FF002060"/>
      <name val="Times New Roman"/>
      <family val="1"/>
    </font>
    <font>
      <sz val="12"/>
      <color rgb="FF002060"/>
      <name val="Calibri"/>
      <family val="2"/>
    </font>
    <font>
      <b/>
      <sz val="26"/>
      <color theme="4"/>
      <name val="Calibri Light"/>
      <family val="2"/>
    </font>
    <font>
      <sz val="11"/>
      <color theme="4"/>
      <name val="Aptos Narrow"/>
      <family val="2"/>
      <scheme val="minor"/>
    </font>
    <font>
      <sz val="16"/>
      <color theme="4"/>
      <name val="Aptos Display"/>
      <family val="2"/>
      <scheme val="major"/>
    </font>
    <font>
      <sz val="11"/>
      <name val="Aptos Narrow"/>
      <family val="2"/>
    </font>
    <font>
      <u/>
      <sz val="11"/>
      <color theme="10"/>
      <name val="Aptos Narrow"/>
      <family val="2"/>
      <scheme val="minor"/>
    </font>
    <font>
      <sz val="10"/>
      <color theme="1"/>
      <name val="Aptos Narrow"/>
      <family val="2"/>
      <scheme val="minor"/>
    </font>
    <font>
      <u/>
      <sz val="11"/>
      <color theme="10"/>
      <name val="Calibri"/>
      <family val="2"/>
    </font>
    <font>
      <b/>
      <sz val="14"/>
      <color theme="1"/>
      <name val="Calibri"/>
      <family val="2"/>
    </font>
    <font>
      <sz val="10"/>
      <color rgb="FF002060"/>
      <name val="Times New Roman"/>
      <family val="1"/>
    </font>
    <font>
      <sz val="11"/>
      <color rgb="FF002060"/>
      <name val="Aptos Narrow"/>
      <family val="2"/>
      <scheme val="minor"/>
    </font>
    <font>
      <i/>
      <sz val="12"/>
      <name val="Times New Roman"/>
      <family val="1"/>
    </font>
    <font>
      <b/>
      <sz val="11"/>
      <color rgb="FF002060"/>
      <name val="Times New Roman"/>
      <family val="1"/>
    </font>
    <font>
      <sz val="11"/>
      <color rgb="FF002060"/>
      <name val="Times New Roman"/>
      <family val="1"/>
    </font>
    <font>
      <i/>
      <sz val="12"/>
      <color theme="1"/>
      <name val="Times New Roman"/>
      <family val="1"/>
    </font>
    <font>
      <sz val="11"/>
      <name val="Aptos Narrow"/>
      <family val="2"/>
      <scheme val="minor"/>
    </font>
    <font>
      <sz val="12"/>
      <name val="Calibri"/>
      <family val="2"/>
    </font>
    <font>
      <sz val="12"/>
      <color rgb="FF000000"/>
      <name val="Times New Roman"/>
      <family val="1"/>
    </font>
    <font>
      <u/>
      <sz val="12"/>
      <color theme="1"/>
      <name val="Times New Roman"/>
      <family val="1"/>
    </font>
    <font>
      <u/>
      <sz val="12"/>
      <name val="Times New Roman"/>
      <family val="1"/>
    </font>
    <font>
      <b/>
      <i/>
      <sz val="12"/>
      <color rgb="FF002060"/>
      <name val="Times New Roman"/>
      <family val="1"/>
    </font>
    <font>
      <sz val="12"/>
      <color rgb="FF00B050"/>
      <name val="Times New Roman"/>
      <family val="1"/>
    </font>
    <font>
      <sz val="12"/>
      <color rgb="FF0070C0"/>
      <name val="Times New Roman"/>
      <family val="1"/>
    </font>
    <font>
      <i/>
      <sz val="12"/>
      <color rgb="FF00B050"/>
      <name val="Times New Roman"/>
      <family val="1"/>
    </font>
    <font>
      <sz val="12"/>
      <color rgb="FF7030A0"/>
      <name val="Times New Roman"/>
      <family val="1"/>
    </font>
    <font>
      <sz val="11"/>
      <color theme="1"/>
      <name val="Times New Roman"/>
      <family val="1"/>
    </font>
    <font>
      <i/>
      <vertAlign val="superscript"/>
      <sz val="12"/>
      <color rgb="FF002060"/>
      <name val="Times New Roman"/>
      <family val="1"/>
    </font>
    <font>
      <sz val="10"/>
      <color theme="1"/>
      <name val="Times New Roman"/>
      <family val="1"/>
    </font>
    <font>
      <b/>
      <sz val="12"/>
      <color theme="1"/>
      <name val="Times New Roman"/>
      <family val="1"/>
    </font>
    <font>
      <b/>
      <sz val="12"/>
      <name val="Times New Roman"/>
      <family val="1"/>
    </font>
    <font>
      <sz val="11"/>
      <name val="Times New Roman"/>
      <family val="1"/>
    </font>
    <font>
      <i/>
      <sz val="12"/>
      <color theme="4" tint="-0.499984740745262"/>
      <name val="Times New Roman"/>
      <family val="1"/>
    </font>
    <font>
      <sz val="12"/>
      <color theme="4" tint="-0.499984740745262"/>
      <name val="Times New Roman"/>
      <family val="1"/>
    </font>
    <font>
      <sz val="11"/>
      <color theme="1"/>
      <name val="Calibri"/>
      <family val="2"/>
    </font>
    <font>
      <sz val="11"/>
      <color rgb="FF7030A0"/>
      <name val="Times New Roman"/>
      <family val="1"/>
    </font>
    <font>
      <b/>
      <sz val="12"/>
      <color rgb="FF0070C0"/>
      <name val="Times New Roman"/>
      <family val="1"/>
    </font>
    <font>
      <sz val="12"/>
      <color theme="1"/>
      <name val="Symbol"/>
      <family val="1"/>
      <charset val="2"/>
    </font>
    <font>
      <sz val="7"/>
      <color theme="1"/>
      <name val="Times New Roman"/>
      <family val="1"/>
    </font>
    <font>
      <sz val="12"/>
      <color theme="1"/>
      <name val="Courier New"/>
      <family val="3"/>
    </font>
    <font>
      <i/>
      <sz val="11"/>
      <name val="Times New Roman"/>
      <family val="1"/>
    </font>
    <font>
      <i/>
      <sz val="11"/>
      <color theme="1"/>
      <name val="Times New Roman"/>
      <family val="1"/>
    </font>
    <font>
      <sz val="12"/>
      <color rgb="FF002060"/>
      <name val="TimesNewRomanPSMT"/>
    </font>
    <font>
      <sz val="14.4"/>
      <color rgb="FF002060"/>
      <name val="Times New Roman"/>
      <family val="1"/>
    </font>
    <font>
      <sz val="10.5"/>
      <color theme="1"/>
      <name val="Calibri"/>
      <family val="2"/>
    </font>
    <font>
      <sz val="9"/>
      <color theme="1"/>
      <name val="Calibri"/>
      <family val="2"/>
    </font>
    <font>
      <sz val="12"/>
      <color theme="1"/>
      <name val="Aptos Narrow"/>
      <family val="2"/>
      <scheme val="minor"/>
    </font>
    <font>
      <i/>
      <sz val="12"/>
      <color rgb="FF0070C0"/>
      <name val="Times New Roman"/>
      <family val="1"/>
    </font>
    <font>
      <sz val="12"/>
      <color rgb="FF002060"/>
      <name val="Symbol"/>
      <family val="1"/>
      <charset val="2"/>
    </font>
    <font>
      <sz val="7"/>
      <color rgb="FF002060"/>
      <name val="Times New Roman"/>
      <family val="1"/>
    </font>
    <font>
      <sz val="12"/>
      <color rgb="FF002060"/>
      <name val="Aptos Narrow"/>
      <family val="2"/>
      <scheme val="minor"/>
    </font>
    <font>
      <b/>
      <i/>
      <sz val="12"/>
      <color theme="1"/>
      <name val="Times New Roman"/>
      <family val="1"/>
    </font>
    <font>
      <sz val="12"/>
      <color theme="1"/>
      <name val="Calibri"/>
      <family val="2"/>
    </font>
    <font>
      <b/>
      <i/>
      <sz val="12"/>
      <name val="Times New Roman"/>
      <family val="1"/>
    </font>
    <font>
      <u/>
      <sz val="12"/>
      <color rgb="FF002060"/>
      <name val="Times New Roman"/>
      <family val="1"/>
    </font>
    <font>
      <sz val="12"/>
      <name val="Aptos Narrow"/>
      <family val="2"/>
      <scheme val="minor"/>
    </font>
    <font>
      <sz val="12"/>
      <color rgb="FF002060"/>
      <name val="Courier New"/>
      <family val="3"/>
    </font>
    <font>
      <sz val="12"/>
      <color theme="1"/>
      <name val="Aptos Narrow"/>
      <family val="2"/>
    </font>
    <font>
      <i/>
      <sz val="12"/>
      <color rgb="FF7030A0"/>
      <name val="Times New Roman"/>
      <family val="1"/>
    </font>
    <font>
      <sz val="12"/>
      <name val="Aptos Narrow"/>
      <family val="2"/>
    </font>
  </fonts>
  <fills count="9">
    <fill>
      <patternFill patternType="none"/>
    </fill>
    <fill>
      <patternFill patternType="gray125"/>
    </fill>
    <fill>
      <patternFill patternType="solid">
        <fgColor theme="0" tint="-0.14999847407452621"/>
        <bgColor indexed="64"/>
      </patternFill>
    </fill>
    <fill>
      <gradientFill degree="90">
        <stop position="0">
          <color theme="0"/>
        </stop>
        <stop position="1">
          <color theme="0"/>
        </stop>
      </gradientFill>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0" fontId="2" fillId="0" borderId="0"/>
    <xf numFmtId="0" fontId="14" fillId="0" borderId="0" applyNumberFormat="0" applyFill="0" applyBorder="0" applyAlignment="0" applyProtection="0"/>
    <xf numFmtId="0" fontId="16"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cellStyleXfs>
  <cellXfs count="968">
    <xf numFmtId="0" fontId="0" fillId="0" borderId="0" xfId="0"/>
    <xf numFmtId="0" fontId="4" fillId="2" borderId="0" xfId="1" applyFont="1" applyFill="1"/>
    <xf numFmtId="0" fontId="6" fillId="0" borderId="0" xfId="1" applyFont="1"/>
    <xf numFmtId="0" fontId="7" fillId="0" borderId="0" xfId="1" applyFont="1"/>
    <xf numFmtId="0" fontId="8" fillId="2" borderId="1" xfId="1" applyFont="1" applyFill="1" applyBorder="1" applyAlignment="1">
      <alignment horizontal="center" wrapText="1"/>
    </xf>
    <xf numFmtId="0" fontId="8"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4" fillId="0" borderId="0" xfId="1" applyFont="1"/>
    <xf numFmtId="10" fontId="7" fillId="0" borderId="0" xfId="1" applyNumberFormat="1" applyFont="1"/>
    <xf numFmtId="3" fontId="6" fillId="0" borderId="0" xfId="1" applyNumberFormat="1" applyFont="1"/>
    <xf numFmtId="3" fontId="7" fillId="0" borderId="0" xfId="1" applyNumberFormat="1" applyFont="1"/>
    <xf numFmtId="0" fontId="3" fillId="2" borderId="0" xfId="1" applyFont="1" applyFill="1"/>
    <xf numFmtId="0" fontId="6" fillId="2" borderId="0" xfId="1" applyFont="1" applyFill="1"/>
    <xf numFmtId="0" fontId="5" fillId="2" borderId="0" xfId="1" applyFont="1" applyFill="1"/>
    <xf numFmtId="0" fontId="9" fillId="2" borderId="0" xfId="1" applyFont="1" applyFill="1" applyAlignment="1">
      <alignment horizontal="center"/>
    </xf>
    <xf numFmtId="0" fontId="4" fillId="2" borderId="0" xfId="1" quotePrefix="1" applyFont="1" applyFill="1" applyAlignment="1">
      <alignment vertical="center"/>
    </xf>
    <xf numFmtId="0" fontId="2" fillId="0" borderId="0" xfId="1"/>
    <xf numFmtId="0" fontId="14" fillId="0" borderId="0" xfId="2"/>
    <xf numFmtId="0" fontId="12" fillId="0" borderId="0" xfId="1" applyFont="1" applyAlignment="1">
      <alignment horizontal="center"/>
    </xf>
    <xf numFmtId="0" fontId="16" fillId="0" borderId="0" xfId="3"/>
    <xf numFmtId="0" fontId="17" fillId="0" borderId="0" xfId="0" applyFont="1"/>
    <xf numFmtId="0" fontId="8" fillId="2" borderId="2"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8" fillId="2" borderId="0" xfId="1" applyFont="1" applyFill="1" applyAlignment="1">
      <alignment vertical="center" wrapText="1"/>
    </xf>
    <xf numFmtId="0" fontId="8" fillId="2" borderId="1" xfId="1" applyFont="1" applyFill="1" applyBorder="1" applyAlignment="1">
      <alignment horizontal="center" vertical="center"/>
    </xf>
    <xf numFmtId="0" fontId="8" fillId="2" borderId="0" xfId="1" applyFont="1" applyFill="1" applyAlignment="1">
      <alignment horizontal="center" vertical="center"/>
    </xf>
    <xf numFmtId="10" fontId="4" fillId="2" borderId="1" xfId="1" applyNumberFormat="1" applyFont="1" applyFill="1" applyBorder="1" applyAlignment="1">
      <alignment horizontal="center" vertical="center" wrapText="1"/>
    </xf>
    <xf numFmtId="10" fontId="4" fillId="2" borderId="1" xfId="1" applyNumberFormat="1" applyFont="1" applyFill="1" applyBorder="1" applyAlignment="1">
      <alignment horizontal="center" vertical="center"/>
    </xf>
    <xf numFmtId="10" fontId="4" fillId="2" borderId="0" xfId="1" applyNumberFormat="1" applyFont="1" applyFill="1" applyAlignment="1">
      <alignment horizontal="center" vertical="center"/>
    </xf>
    <xf numFmtId="0" fontId="4" fillId="2" borderId="1" xfId="1" applyFont="1" applyFill="1" applyBorder="1" applyAlignment="1">
      <alignment horizontal="center" vertical="center"/>
    </xf>
    <xf numFmtId="0" fontId="4" fillId="2" borderId="0" xfId="1" applyFont="1" applyFill="1" applyAlignment="1">
      <alignment horizontal="center" vertical="center"/>
    </xf>
    <xf numFmtId="0" fontId="6" fillId="0" borderId="0" xfId="1" applyFont="1" applyAlignment="1">
      <alignment horizontal="center"/>
    </xf>
    <xf numFmtId="0" fontId="6" fillId="0" borderId="5" xfId="1" applyFont="1" applyBorder="1" applyAlignment="1">
      <alignment horizontal="center"/>
    </xf>
    <xf numFmtId="0" fontId="6" fillId="0" borderId="5" xfId="1" applyFont="1" applyBorder="1" applyAlignment="1">
      <alignment horizontal="center" wrapText="1"/>
    </xf>
    <xf numFmtId="3" fontId="6" fillId="0" borderId="0" xfId="4" applyNumberFormat="1" applyFont="1" applyFill="1" applyAlignment="1">
      <alignment horizontal="center"/>
    </xf>
    <xf numFmtId="3" fontId="6" fillId="0" borderId="5" xfId="4" applyNumberFormat="1" applyFont="1" applyFill="1" applyBorder="1" applyAlignment="1">
      <alignment horizontal="center"/>
    </xf>
    <xf numFmtId="0" fontId="8" fillId="2" borderId="3"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5" fillId="2" borderId="1" xfId="1" applyFont="1" applyFill="1" applyBorder="1" applyAlignment="1">
      <alignment horizontal="center" vertical="center" wrapText="1"/>
    </xf>
    <xf numFmtId="3" fontId="5" fillId="2" borderId="1" xfId="1" applyNumberFormat="1" applyFont="1" applyFill="1" applyBorder="1" applyAlignment="1">
      <alignment horizontal="center" vertical="center" wrapText="1"/>
    </xf>
    <xf numFmtId="0" fontId="4" fillId="2" borderId="0" xfId="1" quotePrefix="1" applyFont="1" applyFill="1"/>
    <xf numFmtId="0" fontId="4" fillId="2" borderId="0" xfId="1" applyFont="1" applyFill="1" applyAlignment="1">
      <alignment wrapText="1"/>
    </xf>
    <xf numFmtId="0" fontId="8" fillId="2" borderId="7" xfId="1" applyFont="1" applyFill="1" applyBorder="1" applyAlignment="1">
      <alignment horizontal="center" vertical="center" wrapText="1"/>
    </xf>
    <xf numFmtId="0" fontId="19" fillId="2" borderId="0" xfId="1" applyFont="1" applyFill="1"/>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Border="1" applyAlignment="1">
      <alignment horizontal="center" vertical="center" wrapText="1"/>
    </xf>
    <xf numFmtId="3" fontId="7" fillId="0" borderId="1" xfId="1" applyNumberFormat="1" applyFont="1" applyBorder="1" applyAlignment="1">
      <alignment horizontal="center" vertical="center" wrapText="1"/>
    </xf>
    <xf numFmtId="3" fontId="20" fillId="0" borderId="1" xfId="1" applyNumberFormat="1" applyFont="1" applyBorder="1" applyAlignment="1">
      <alignment horizontal="center" vertical="center" wrapText="1"/>
    </xf>
    <xf numFmtId="0" fontId="7" fillId="0" borderId="0" xfId="1" applyFont="1" applyAlignment="1">
      <alignment horizontal="left" vertical="center" indent="5"/>
    </xf>
    <xf numFmtId="0" fontId="7" fillId="2" borderId="0" xfId="1" applyFont="1" applyFill="1" applyAlignment="1">
      <alignment horizontal="left" vertical="center" indent="5"/>
    </xf>
    <xf numFmtId="0" fontId="21" fillId="2" borderId="1" xfId="1" applyFont="1" applyFill="1" applyBorder="1" applyAlignment="1">
      <alignment horizontal="center" wrapText="1"/>
    </xf>
    <xf numFmtId="0" fontId="7" fillId="2" borderId="0" xfId="1" applyFont="1" applyFill="1"/>
    <xf numFmtId="0" fontId="22" fillId="2" borderId="1" xfId="1" applyFont="1" applyFill="1" applyBorder="1" applyAlignment="1">
      <alignment horizontal="center" vertical="center"/>
    </xf>
    <xf numFmtId="166" fontId="22" fillId="2" borderId="1" xfId="1" applyNumberFormat="1" applyFont="1" applyFill="1" applyBorder="1" applyAlignment="1">
      <alignment horizontal="center" vertical="center"/>
    </xf>
    <xf numFmtId="3" fontId="22" fillId="2" borderId="1" xfId="1" applyNumberFormat="1" applyFont="1" applyFill="1" applyBorder="1" applyAlignment="1">
      <alignment horizontal="center" vertical="center"/>
    </xf>
    <xf numFmtId="0" fontId="6" fillId="0" borderId="0" xfId="1" quotePrefix="1" applyFont="1"/>
    <xf numFmtId="0" fontId="23" fillId="0" borderId="0" xfId="1" applyFont="1"/>
    <xf numFmtId="0" fontId="24" fillId="0" borderId="0" xfId="1" applyFont="1"/>
    <xf numFmtId="0" fontId="25" fillId="0" borderId="0" xfId="1" applyFont="1"/>
    <xf numFmtId="167" fontId="7" fillId="2" borderId="0" xfId="1" applyNumberFormat="1" applyFont="1" applyFill="1" applyAlignment="1">
      <alignment horizontal="center"/>
    </xf>
    <xf numFmtId="0" fontId="4" fillId="2" borderId="9" xfId="1" applyFont="1" applyFill="1" applyBorder="1"/>
    <xf numFmtId="0" fontId="8" fillId="2" borderId="2" xfId="1" applyFont="1" applyFill="1" applyBorder="1"/>
    <xf numFmtId="0" fontId="8" fillId="2" borderId="12" xfId="1" applyFont="1" applyFill="1" applyBorder="1" applyAlignment="1">
      <alignment horizontal="center" vertical="center" wrapText="1"/>
    </xf>
    <xf numFmtId="0" fontId="8" fillId="2" borderId="6" xfId="1" applyFont="1" applyFill="1" applyBorder="1" applyAlignment="1">
      <alignment horizontal="center"/>
    </xf>
    <xf numFmtId="0" fontId="8" fillId="2" borderId="14" xfId="1" applyFont="1" applyFill="1" applyBorder="1" applyAlignment="1">
      <alignment horizontal="center" vertical="center" wrapText="1"/>
    </xf>
    <xf numFmtId="0" fontId="4" fillId="2" borderId="12" xfId="1" applyFont="1" applyFill="1" applyBorder="1" applyAlignment="1">
      <alignment horizontal="center" vertical="center" wrapText="1"/>
    </xf>
    <xf numFmtId="3" fontId="4" fillId="2" borderId="9" xfId="1" applyNumberFormat="1" applyFont="1" applyFill="1" applyBorder="1" applyAlignment="1">
      <alignment horizontal="center" vertical="center" wrapText="1"/>
    </xf>
    <xf numFmtId="3" fontId="4" fillId="2" borderId="6" xfId="1" applyNumberFormat="1" applyFont="1" applyFill="1" applyBorder="1" applyAlignment="1">
      <alignment horizontal="center" vertical="center" wrapText="1"/>
    </xf>
    <xf numFmtId="3" fontId="4" fillId="2" borderId="13" xfId="1" applyNumberFormat="1" applyFont="1" applyFill="1" applyBorder="1" applyAlignment="1">
      <alignment horizontal="center" vertical="center" wrapText="1"/>
    </xf>
    <xf numFmtId="3" fontId="4" fillId="2" borderId="12" xfId="1" applyNumberFormat="1" applyFont="1" applyFill="1" applyBorder="1" applyAlignment="1">
      <alignment horizontal="center" vertical="center" wrapText="1"/>
    </xf>
    <xf numFmtId="0" fontId="4" fillId="2" borderId="14" xfId="1" applyFont="1" applyFill="1" applyBorder="1" applyAlignment="1">
      <alignment horizontal="center" vertical="center" wrapText="1"/>
    </xf>
    <xf numFmtId="3" fontId="4" fillId="2" borderId="14" xfId="1" applyNumberFormat="1" applyFont="1" applyFill="1" applyBorder="1" applyAlignment="1">
      <alignment horizontal="center" vertical="center" wrapText="1"/>
    </xf>
    <xf numFmtId="3" fontId="4" fillId="2" borderId="4" xfId="1" applyNumberFormat="1" applyFont="1" applyFill="1" applyBorder="1" applyAlignment="1">
      <alignment horizontal="center" vertical="center" wrapText="1"/>
    </xf>
    <xf numFmtId="3" fontId="4" fillId="2" borderId="15" xfId="1" applyNumberFormat="1" applyFont="1" applyFill="1" applyBorder="1" applyAlignment="1">
      <alignment horizontal="center" vertical="center" wrapText="1"/>
    </xf>
    <xf numFmtId="0" fontId="26" fillId="0" borderId="0" xfId="1" applyFont="1" applyAlignment="1">
      <alignment horizontal="center" vertical="center" wrapText="1"/>
    </xf>
    <xf numFmtId="0" fontId="26" fillId="0" borderId="5" xfId="1" applyFont="1" applyBorder="1" applyAlignment="1">
      <alignment horizontal="center" vertical="center" wrapText="1"/>
    </xf>
    <xf numFmtId="0" fontId="7" fillId="0" borderId="0" xfId="1" applyFont="1" applyAlignment="1">
      <alignment horizontal="center" vertical="center" wrapText="1"/>
    </xf>
    <xf numFmtId="168" fontId="6" fillId="0" borderId="0" xfId="1" applyNumberFormat="1" applyFont="1" applyAlignment="1">
      <alignment horizontal="center"/>
    </xf>
    <xf numFmtId="3" fontId="6" fillId="0" borderId="0" xfId="1" applyNumberFormat="1" applyFont="1" applyAlignment="1">
      <alignment horizontal="center"/>
    </xf>
    <xf numFmtId="0" fontId="7" fillId="0" borderId="5" xfId="1" applyFont="1" applyBorder="1" applyAlignment="1">
      <alignment horizontal="center" vertical="center" wrapText="1"/>
    </xf>
    <xf numFmtId="168" fontId="6" fillId="0" borderId="5" xfId="1" applyNumberFormat="1" applyFont="1" applyBorder="1" applyAlignment="1">
      <alignment horizontal="center"/>
    </xf>
    <xf numFmtId="3" fontId="6" fillId="0" borderId="5" xfId="1" applyNumberFormat="1" applyFont="1" applyBorder="1" applyAlignment="1">
      <alignment horizontal="center"/>
    </xf>
    <xf numFmtId="0" fontId="6" fillId="0" borderId="0" xfId="1" applyFont="1" applyAlignment="1">
      <alignment horizontal="centerContinuous"/>
    </xf>
    <xf numFmtId="0" fontId="27" fillId="0" borderId="0" xfId="1" applyFont="1" applyAlignment="1">
      <alignment horizontal="centerContinuous"/>
    </xf>
    <xf numFmtId="169" fontId="6" fillId="0" borderId="0" xfId="1" applyNumberFormat="1" applyFont="1" applyAlignment="1">
      <alignment horizontal="center"/>
    </xf>
    <xf numFmtId="169" fontId="6" fillId="0" borderId="5" xfId="1" applyNumberFormat="1" applyFont="1" applyBorder="1" applyAlignment="1">
      <alignment horizontal="center"/>
    </xf>
    <xf numFmtId="0" fontId="7" fillId="2" borderId="0" xfId="1" quotePrefix="1" applyFont="1" applyFill="1" applyAlignment="1">
      <alignment horizontal="center"/>
    </xf>
    <xf numFmtId="3" fontId="4" fillId="2" borderId="1" xfId="1" applyNumberFormat="1" applyFont="1" applyFill="1" applyBorder="1" applyAlignment="1">
      <alignment horizontal="center" vertical="center"/>
    </xf>
    <xf numFmtId="0" fontId="7" fillId="0" borderId="5" xfId="1" applyFont="1" applyBorder="1" applyAlignment="1">
      <alignment horizontal="center" wrapText="1"/>
    </xf>
    <xf numFmtId="0" fontId="7" fillId="0" borderId="0" xfId="1" applyFont="1" applyAlignment="1">
      <alignment horizontal="center"/>
    </xf>
    <xf numFmtId="10" fontId="7" fillId="0" borderId="0" xfId="5" applyNumberFormat="1" applyFont="1" applyFill="1" applyAlignment="1">
      <alignment horizontal="center"/>
    </xf>
    <xf numFmtId="10" fontId="6" fillId="0" borderId="0" xfId="1" applyNumberFormat="1" applyFont="1" applyAlignment="1">
      <alignment horizontal="center"/>
    </xf>
    <xf numFmtId="10" fontId="20" fillId="0" borderId="0" xfId="5" applyNumberFormat="1" applyFont="1" applyFill="1" applyAlignment="1">
      <alignment horizontal="left"/>
    </xf>
    <xf numFmtId="0" fontId="6" fillId="0" borderId="0" xfId="1" applyFont="1" applyAlignment="1">
      <alignment horizontal="left"/>
    </xf>
    <xf numFmtId="15" fontId="7" fillId="0" borderId="0" xfId="1" applyNumberFormat="1" applyFont="1"/>
    <xf numFmtId="0" fontId="7" fillId="0" borderId="0" xfId="1" quotePrefix="1" applyFont="1"/>
    <xf numFmtId="0" fontId="20" fillId="0" borderId="0" xfId="1" applyFont="1" applyAlignment="1">
      <alignment horizontal="center"/>
    </xf>
    <xf numFmtId="0" fontId="7" fillId="0" borderId="0" xfId="1" applyFont="1" applyAlignment="1">
      <alignment horizontal="centerContinuous"/>
    </xf>
    <xf numFmtId="0" fontId="28" fillId="0" borderId="0" xfId="1" applyFont="1"/>
    <xf numFmtId="14" fontId="7" fillId="0" borderId="0" xfId="1" applyNumberFormat="1" applyFont="1" applyAlignment="1">
      <alignment horizontal="center"/>
    </xf>
    <xf numFmtId="168" fontId="7" fillId="0" borderId="0" xfId="1" applyNumberFormat="1" applyFont="1" applyAlignment="1">
      <alignment horizontal="center"/>
    </xf>
    <xf numFmtId="3" fontId="7" fillId="0" borderId="0" xfId="1" applyNumberFormat="1" applyFont="1" applyAlignment="1">
      <alignment horizontal="center"/>
    </xf>
    <xf numFmtId="0" fontId="7" fillId="0" borderId="5" xfId="1" applyFont="1" applyBorder="1" applyAlignment="1">
      <alignment horizontal="center"/>
    </xf>
    <xf numFmtId="14" fontId="7" fillId="0" borderId="5" xfId="1" applyNumberFormat="1" applyFont="1" applyBorder="1" applyAlignment="1">
      <alignment horizontal="center"/>
    </xf>
    <xf numFmtId="168" fontId="7" fillId="0" borderId="5" xfId="1" applyNumberFormat="1" applyFont="1" applyBorder="1" applyAlignment="1">
      <alignment horizontal="center"/>
    </xf>
    <xf numFmtId="3" fontId="7" fillId="0" borderId="5" xfId="1" applyNumberFormat="1" applyFont="1" applyBorder="1" applyAlignment="1">
      <alignment horizontal="center"/>
    </xf>
    <xf numFmtId="10" fontId="7" fillId="0" borderId="5" xfId="5" applyNumberFormat="1" applyFont="1" applyFill="1" applyBorder="1" applyAlignment="1">
      <alignment horizontal="center"/>
    </xf>
    <xf numFmtId="10" fontId="7" fillId="0" borderId="0" xfId="1" applyNumberFormat="1" applyFont="1" applyAlignment="1">
      <alignment horizontal="center"/>
    </xf>
    <xf numFmtId="170" fontId="4" fillId="2" borderId="1" xfId="1" applyNumberFormat="1" applyFont="1" applyFill="1" applyBorder="1" applyAlignment="1">
      <alignment horizontal="center" vertical="center" wrapText="1"/>
    </xf>
    <xf numFmtId="0" fontId="29" fillId="0" borderId="0" xfId="1" applyFont="1"/>
    <xf numFmtId="0" fontId="7" fillId="3" borderId="9" xfId="1" applyFont="1" applyFill="1" applyBorder="1"/>
    <xf numFmtId="0" fontId="7" fillId="3" borderId="11" xfId="1" applyFont="1" applyFill="1" applyBorder="1"/>
    <xf numFmtId="0" fontId="7" fillId="3" borderId="10" xfId="1" applyFont="1" applyFill="1" applyBorder="1"/>
    <xf numFmtId="0" fontId="7" fillId="3" borderId="12" xfId="1" applyFont="1" applyFill="1" applyBorder="1"/>
    <xf numFmtId="0" fontId="7" fillId="3" borderId="0" xfId="1" applyFont="1" applyFill="1"/>
    <xf numFmtId="0" fontId="7" fillId="3" borderId="13" xfId="1" applyFont="1" applyFill="1" applyBorder="1"/>
    <xf numFmtId="0" fontId="7" fillId="3" borderId="14" xfId="1" applyFont="1" applyFill="1" applyBorder="1"/>
    <xf numFmtId="0" fontId="7" fillId="3" borderId="5" xfId="1" applyFont="1" applyFill="1" applyBorder="1"/>
    <xf numFmtId="0" fontId="7" fillId="3" borderId="15" xfId="1" applyFont="1" applyFill="1" applyBorder="1"/>
    <xf numFmtId="164" fontId="30" fillId="0" borderId="0" xfId="1" applyNumberFormat="1" applyFont="1" applyAlignment="1">
      <alignment horizontal="center"/>
    </xf>
    <xf numFmtId="164" fontId="7" fillId="0" borderId="0" xfId="1" applyNumberFormat="1" applyFont="1" applyAlignment="1">
      <alignment horizontal="center"/>
    </xf>
    <xf numFmtId="171" fontId="7" fillId="0" borderId="0" xfId="1" applyNumberFormat="1" applyFont="1" applyAlignment="1">
      <alignment horizontal="center"/>
    </xf>
    <xf numFmtId="172" fontId="7" fillId="0" borderId="0" xfId="5" applyNumberFormat="1" applyFont="1" applyFill="1" applyAlignment="1">
      <alignment horizontal="center"/>
    </xf>
    <xf numFmtId="164" fontId="7" fillId="0" borderId="5" xfId="1" applyNumberFormat="1" applyFont="1" applyBorder="1" applyAlignment="1">
      <alignment horizontal="center"/>
    </xf>
    <xf numFmtId="171" fontId="7" fillId="0" borderId="5" xfId="1" applyNumberFormat="1" applyFont="1" applyBorder="1" applyAlignment="1">
      <alignment horizontal="center"/>
    </xf>
    <xf numFmtId="172" fontId="7" fillId="0" borderId="5" xfId="5" applyNumberFormat="1" applyFont="1" applyFill="1" applyBorder="1" applyAlignment="1">
      <alignment horizontal="center"/>
    </xf>
    <xf numFmtId="172" fontId="6" fillId="0" borderId="0" xfId="1" applyNumberFormat="1" applyFont="1" applyAlignment="1">
      <alignment horizontal="center"/>
    </xf>
    <xf numFmtId="171" fontId="6" fillId="0" borderId="0" xfId="1" applyNumberFormat="1" applyFont="1" applyAlignment="1">
      <alignment horizontal="center"/>
    </xf>
    <xf numFmtId="3" fontId="7" fillId="0" borderId="0" xfId="4" applyNumberFormat="1" applyFont="1" applyFill="1" applyBorder="1" applyAlignment="1">
      <alignment horizontal="center" vertical="center"/>
    </xf>
    <xf numFmtId="169" fontId="7" fillId="0" borderId="0" xfId="4" applyNumberFormat="1" applyFont="1" applyFill="1" applyBorder="1" applyAlignment="1">
      <alignment horizontal="center" vertical="center"/>
    </xf>
    <xf numFmtId="173" fontId="7" fillId="0" borderId="0" xfId="4" applyNumberFormat="1" applyFont="1" applyFill="1" applyBorder="1" applyAlignment="1">
      <alignment horizontal="center" vertical="center"/>
    </xf>
    <xf numFmtId="164" fontId="7" fillId="0" borderId="0" xfId="5" applyNumberFormat="1" applyFont="1" applyFill="1" applyAlignment="1">
      <alignment horizontal="center"/>
    </xf>
    <xf numFmtId="3" fontId="7" fillId="0" borderId="5" xfId="4" applyNumberFormat="1" applyFont="1" applyFill="1" applyBorder="1" applyAlignment="1">
      <alignment horizontal="center" vertical="center"/>
    </xf>
    <xf numFmtId="169" fontId="7" fillId="0" borderId="5" xfId="4" applyNumberFormat="1" applyFont="1" applyFill="1" applyBorder="1" applyAlignment="1">
      <alignment horizontal="center" vertical="center"/>
    </xf>
    <xf numFmtId="173" fontId="7" fillId="0" borderId="5" xfId="4" applyNumberFormat="1" applyFont="1" applyFill="1" applyBorder="1" applyAlignment="1">
      <alignment horizontal="center" vertical="center"/>
    </xf>
    <xf numFmtId="164" fontId="7" fillId="0" borderId="5" xfId="5" applyNumberFormat="1" applyFont="1" applyFill="1" applyBorder="1" applyAlignment="1">
      <alignment horizontal="center"/>
    </xf>
    <xf numFmtId="3" fontId="7" fillId="0" borderId="0" xfId="4" applyNumberFormat="1" applyFont="1" applyFill="1" applyAlignment="1">
      <alignment horizontal="center"/>
    </xf>
    <xf numFmtId="174" fontId="7" fillId="0" borderId="0" xfId="4" applyNumberFormat="1" applyFont="1" applyFill="1" applyAlignment="1"/>
    <xf numFmtId="0" fontId="7" fillId="0" borderId="0" xfId="1" applyFont="1" applyAlignment="1">
      <alignment horizontal="right"/>
    </xf>
    <xf numFmtId="174" fontId="6" fillId="0" borderId="0" xfId="4" applyNumberFormat="1" applyFont="1" applyFill="1" applyAlignment="1"/>
    <xf numFmtId="0" fontId="31" fillId="0" borderId="0" xfId="1" applyFont="1" applyAlignment="1">
      <alignment horizontal="right"/>
    </xf>
    <xf numFmtId="0" fontId="31" fillId="0" borderId="0" xfId="1" applyFont="1" applyAlignment="1">
      <alignment horizontal="right" vertical="top"/>
    </xf>
    <xf numFmtId="0" fontId="6" fillId="0" borderId="12" xfId="1" applyFont="1" applyBorder="1"/>
    <xf numFmtId="0" fontId="30" fillId="0" borderId="0" xfId="1" applyFont="1" applyAlignment="1">
      <alignment horizontal="center"/>
    </xf>
    <xf numFmtId="4" fontId="7" fillId="0" borderId="0" xfId="4" applyNumberFormat="1" applyFont="1" applyFill="1" applyBorder="1" applyAlignment="1">
      <alignment horizontal="center" vertical="center"/>
    </xf>
    <xf numFmtId="4" fontId="7" fillId="0" borderId="5" xfId="4" applyNumberFormat="1" applyFont="1" applyFill="1" applyBorder="1" applyAlignment="1">
      <alignment horizontal="center" vertical="center"/>
    </xf>
    <xf numFmtId="0" fontId="6" fillId="0" borderId="0" xfId="1" applyFont="1" applyAlignment="1">
      <alignment horizontal="right"/>
    </xf>
    <xf numFmtId="175" fontId="6" fillId="0" borderId="0" xfId="5" applyNumberFormat="1" applyFont="1" applyFill="1" applyAlignment="1">
      <alignment horizontal="center"/>
    </xf>
    <xf numFmtId="0" fontId="32" fillId="0" borderId="0" xfId="1" applyFont="1" applyAlignment="1">
      <alignment horizontal="center"/>
    </xf>
    <xf numFmtId="0" fontId="31" fillId="0" borderId="0" xfId="1" applyFont="1" applyAlignment="1">
      <alignment horizontal="left"/>
    </xf>
    <xf numFmtId="0" fontId="21" fillId="2" borderId="1" xfId="1" applyFont="1" applyFill="1" applyBorder="1" applyAlignment="1">
      <alignment horizontal="center" vertical="center" wrapText="1"/>
    </xf>
    <xf numFmtId="9" fontId="4" fillId="2" borderId="1" xfId="1" applyNumberFormat="1" applyFont="1" applyFill="1" applyBorder="1" applyAlignment="1">
      <alignment horizontal="center" vertical="center" wrapText="1"/>
    </xf>
    <xf numFmtId="10" fontId="6" fillId="0" borderId="0" xfId="1" applyNumberFormat="1" applyFont="1"/>
    <xf numFmtId="10" fontId="6" fillId="0" borderId="5" xfId="1" applyNumberFormat="1" applyFont="1" applyBorder="1" applyAlignment="1">
      <alignment horizontal="center"/>
    </xf>
    <xf numFmtId="14" fontId="6" fillId="0" borderId="0" xfId="1" applyNumberFormat="1" applyFont="1" applyAlignment="1">
      <alignment horizontal="center"/>
    </xf>
    <xf numFmtId="170" fontId="6" fillId="0" borderId="0" xfId="1" applyNumberFormat="1" applyFont="1" applyAlignment="1">
      <alignment horizontal="center"/>
    </xf>
    <xf numFmtId="0" fontId="33" fillId="0" borderId="0" xfId="1" applyFont="1"/>
    <xf numFmtId="0" fontId="33" fillId="0" borderId="0" xfId="1" applyFont="1" applyAlignment="1">
      <alignment horizontal="center"/>
    </xf>
    <xf numFmtId="0" fontId="8" fillId="2" borderId="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4" xfId="1" applyFont="1" applyFill="1" applyBorder="1" applyAlignment="1">
      <alignment horizontal="center" vertical="center"/>
    </xf>
    <xf numFmtId="164" fontId="4" fillId="2" borderId="4" xfId="1" applyNumberFormat="1" applyFont="1" applyFill="1" applyBorder="1" applyAlignment="1">
      <alignment horizontal="center" vertical="center"/>
    </xf>
    <xf numFmtId="164" fontId="4" fillId="2" borderId="1" xfId="1" applyNumberFormat="1" applyFont="1" applyFill="1" applyBorder="1" applyAlignment="1">
      <alignment horizontal="center" vertical="center"/>
    </xf>
    <xf numFmtId="0" fontId="27" fillId="0" borderId="0" xfId="1" applyFont="1"/>
    <xf numFmtId="0" fontId="34" fillId="0" borderId="0" xfId="1" applyFont="1"/>
    <xf numFmtId="177" fontId="7" fillId="0" borderId="0" xfId="1" applyNumberFormat="1" applyFont="1" applyAlignment="1">
      <alignment horizontal="center"/>
    </xf>
    <xf numFmtId="0" fontId="34" fillId="0" borderId="0" xfId="1" quotePrefix="1" applyFont="1"/>
    <xf numFmtId="0" fontId="6" fillId="0" borderId="5" xfId="1" applyFont="1" applyBorder="1" applyAlignment="1">
      <alignment horizontal="centerContinuous"/>
    </xf>
    <xf numFmtId="10" fontId="7" fillId="0" borderId="5" xfId="1" applyNumberFormat="1" applyFont="1" applyBorder="1" applyAlignment="1">
      <alignment horizontal="center"/>
    </xf>
    <xf numFmtId="170" fontId="6" fillId="0" borderId="5" xfId="1" applyNumberFormat="1" applyFont="1" applyBorder="1" applyAlignment="1">
      <alignment horizontal="center"/>
    </xf>
    <xf numFmtId="2" fontId="6" fillId="0" borderId="0" xfId="1" applyNumberFormat="1" applyFont="1" applyAlignment="1">
      <alignment horizontal="center"/>
    </xf>
    <xf numFmtId="10" fontId="6" fillId="0" borderId="0" xfId="5" applyNumberFormat="1" applyFont="1" applyFill="1" applyAlignment="1">
      <alignment horizontal="center"/>
    </xf>
    <xf numFmtId="2" fontId="6" fillId="0" borderId="5" xfId="1" applyNumberFormat="1" applyFont="1" applyBorder="1" applyAlignment="1">
      <alignment horizontal="center"/>
    </xf>
    <xf numFmtId="10" fontId="6" fillId="0" borderId="5" xfId="5" applyNumberFormat="1" applyFont="1" applyFill="1" applyBorder="1" applyAlignment="1">
      <alignment horizontal="center"/>
    </xf>
    <xf numFmtId="0" fontId="34" fillId="0" borderId="0" xfId="1" applyFont="1" applyAlignment="1">
      <alignment horizontal="center"/>
    </xf>
    <xf numFmtId="9" fontId="7" fillId="0" borderId="0" xfId="1" applyNumberFormat="1" applyFont="1" applyAlignment="1">
      <alignment horizontal="center"/>
    </xf>
    <xf numFmtId="0" fontId="34" fillId="0" borderId="5" xfId="1" applyFont="1" applyBorder="1" applyAlignment="1">
      <alignment horizontal="center"/>
    </xf>
    <xf numFmtId="9" fontId="7" fillId="0" borderId="5" xfId="1" applyNumberFormat="1" applyFont="1" applyBorder="1" applyAlignment="1">
      <alignment horizontal="center"/>
    </xf>
    <xf numFmtId="170" fontId="4" fillId="2" borderId="1" xfId="1" applyNumberFormat="1" applyFont="1" applyFill="1" applyBorder="1" applyAlignment="1">
      <alignment horizontal="center" vertical="center"/>
    </xf>
    <xf numFmtId="0" fontId="7" fillId="0" borderId="0" xfId="1" applyFont="1" applyAlignment="1">
      <alignment horizontal="center" wrapText="1"/>
    </xf>
    <xf numFmtId="3" fontId="20" fillId="0" borderId="0" xfId="1" applyNumberFormat="1" applyFont="1" applyAlignment="1">
      <alignment horizontal="center"/>
    </xf>
    <xf numFmtId="0" fontId="8" fillId="2" borderId="4" xfId="1" applyFont="1" applyFill="1" applyBorder="1" applyAlignment="1">
      <alignment horizontal="center" wrapText="1"/>
    </xf>
    <xf numFmtId="0" fontId="4" fillId="2" borderId="0" xfId="1" applyFont="1" applyFill="1" applyAlignment="1">
      <alignment vertical="center" wrapText="1"/>
    </xf>
    <xf numFmtId="0" fontId="4" fillId="2" borderId="0" xfId="1" applyFont="1" applyFill="1" applyAlignment="1">
      <alignment horizontal="center" vertical="center" wrapText="1"/>
    </xf>
    <xf numFmtId="3" fontId="4" fillId="2" borderId="0" xfId="1" applyNumberFormat="1" applyFont="1" applyFill="1" applyAlignment="1">
      <alignment horizontal="center" vertical="center" wrapText="1"/>
    </xf>
    <xf numFmtId="0" fontId="36" fillId="0" borderId="0" xfId="1" applyFont="1" applyAlignment="1">
      <alignment horizontal="center"/>
    </xf>
    <xf numFmtId="0" fontId="8" fillId="2" borderId="10"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5" xfId="1" applyFont="1" applyFill="1" applyBorder="1" applyAlignment="1">
      <alignment horizontal="center" vertical="center"/>
    </xf>
    <xf numFmtId="3" fontId="8" fillId="2" borderId="3" xfId="1" applyNumberFormat="1" applyFont="1" applyFill="1" applyBorder="1" applyAlignment="1">
      <alignment horizontal="center" vertical="center"/>
    </xf>
    <xf numFmtId="3" fontId="8" fillId="2" borderId="1" xfId="1" applyNumberFormat="1" applyFont="1" applyFill="1" applyBorder="1" applyAlignment="1">
      <alignment horizontal="center" vertical="center"/>
    </xf>
    <xf numFmtId="0" fontId="4" fillId="2" borderId="4" xfId="1" applyFont="1" applyFill="1" applyBorder="1" applyAlignment="1">
      <alignment horizontal="center" vertical="center"/>
    </xf>
    <xf numFmtId="3" fontId="4" fillId="2" borderId="0" xfId="1" applyNumberFormat="1" applyFont="1" applyFill="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2" fontId="4" fillId="2" borderId="1" xfId="1" applyNumberFormat="1" applyFont="1" applyFill="1" applyBorder="1" applyAlignment="1">
      <alignment horizontal="center" vertical="center"/>
    </xf>
    <xf numFmtId="178" fontId="7" fillId="0" borderId="0" xfId="5" applyNumberFormat="1" applyFont="1" applyFill="1" applyBorder="1" applyAlignment="1">
      <alignment horizontal="center"/>
    </xf>
    <xf numFmtId="168" fontId="7" fillId="0" borderId="0" xfId="1" applyNumberFormat="1" applyFont="1"/>
    <xf numFmtId="0" fontId="4" fillId="2" borderId="0" xfId="1" applyFont="1" applyFill="1" applyAlignment="1">
      <alignment horizontal="left" vertical="center"/>
    </xf>
    <xf numFmtId="0" fontId="4" fillId="2" borderId="0" xfId="1" applyFont="1" applyFill="1" applyAlignment="1">
      <alignment horizontal="left" vertical="center" indent="5"/>
    </xf>
    <xf numFmtId="0" fontId="4" fillId="2" borderId="2" xfId="1" applyFont="1" applyFill="1" applyBorder="1"/>
    <xf numFmtId="0" fontId="6" fillId="3" borderId="9" xfId="1" applyFont="1" applyFill="1" applyBorder="1"/>
    <xf numFmtId="0" fontId="6" fillId="3" borderId="11" xfId="1" applyFont="1" applyFill="1" applyBorder="1"/>
    <xf numFmtId="0" fontId="6" fillId="3" borderId="10" xfId="1" applyFont="1" applyFill="1" applyBorder="1"/>
    <xf numFmtId="0" fontId="6" fillId="3" borderId="12" xfId="1" applyFont="1" applyFill="1" applyBorder="1"/>
    <xf numFmtId="0" fontId="6" fillId="3" borderId="0" xfId="1" applyFont="1" applyFill="1"/>
    <xf numFmtId="0" fontId="6" fillId="3" borderId="13" xfId="1" applyFont="1" applyFill="1" applyBorder="1"/>
    <xf numFmtId="0" fontId="6" fillId="3" borderId="14" xfId="1" applyFont="1" applyFill="1" applyBorder="1"/>
    <xf numFmtId="0" fontId="6" fillId="3" borderId="5" xfId="1" applyFont="1" applyFill="1" applyBorder="1"/>
    <xf numFmtId="0" fontId="6" fillId="3" borderId="15" xfId="1" applyFont="1" applyFill="1" applyBorder="1"/>
    <xf numFmtId="9" fontId="6" fillId="0" borderId="0" xfId="5" applyFont="1" applyFill="1"/>
    <xf numFmtId="164" fontId="6" fillId="0" borderId="0" xfId="5" applyNumberFormat="1" applyFont="1" applyFill="1"/>
    <xf numFmtId="3" fontId="6" fillId="0" borderId="0" xfId="1" applyNumberFormat="1" applyFont="1" applyAlignment="1">
      <alignment horizontal="left"/>
    </xf>
    <xf numFmtId="18" fontId="6" fillId="0" borderId="0" xfId="1" quotePrefix="1" applyNumberFormat="1" applyFont="1"/>
    <xf numFmtId="0" fontId="8" fillId="2" borderId="2" xfId="1" applyFont="1" applyFill="1" applyBorder="1" applyAlignment="1">
      <alignment horizontal="center"/>
    </xf>
    <xf numFmtId="0" fontId="8" fillId="2" borderId="8" xfId="1" applyFont="1" applyFill="1" applyBorder="1" applyAlignment="1">
      <alignment horizontal="centerContinuous"/>
    </xf>
    <xf numFmtId="0" fontId="8" fillId="2" borderId="3" xfId="1" applyFont="1" applyFill="1" applyBorder="1" applyAlignment="1">
      <alignment horizontal="centerContinuous"/>
    </xf>
    <xf numFmtId="0" fontId="8" fillId="2" borderId="4" xfId="1" applyFont="1" applyFill="1" applyBorder="1" applyAlignment="1">
      <alignment horizontal="center"/>
    </xf>
    <xf numFmtId="1" fontId="8" fillId="2" borderId="3" xfId="1" applyNumberFormat="1" applyFont="1" applyFill="1" applyBorder="1" applyAlignment="1">
      <alignment horizontal="center"/>
    </xf>
    <xf numFmtId="1" fontId="8" fillId="2" borderId="1" xfId="1" applyNumberFormat="1" applyFont="1" applyFill="1" applyBorder="1" applyAlignment="1">
      <alignment horizontal="center"/>
    </xf>
    <xf numFmtId="0" fontId="4" fillId="2" borderId="4" xfId="1" applyFont="1" applyFill="1" applyBorder="1" applyAlignment="1">
      <alignment horizontal="center"/>
    </xf>
    <xf numFmtId="173" fontId="4" fillId="2" borderId="1" xfId="5" applyNumberFormat="1" applyFont="1" applyFill="1" applyBorder="1" applyAlignment="1">
      <alignment horizontal="center"/>
    </xf>
    <xf numFmtId="0" fontId="4" fillId="2" borderId="1" xfId="1" applyFont="1" applyFill="1" applyBorder="1" applyAlignment="1">
      <alignment horizontal="center"/>
    </xf>
    <xf numFmtId="3" fontId="4" fillId="2" borderId="1" xfId="5" applyNumberFormat="1" applyFont="1" applyFill="1" applyBorder="1" applyAlignment="1">
      <alignment horizontal="center"/>
    </xf>
    <xf numFmtId="0" fontId="6" fillId="0" borderId="0" xfId="1" applyFont="1" applyAlignment="1">
      <alignment horizontal="left" vertical="center"/>
    </xf>
    <xf numFmtId="3" fontId="4" fillId="2" borderId="1" xfId="1" applyNumberFormat="1" applyFont="1" applyFill="1" applyBorder="1" applyAlignment="1">
      <alignment horizontal="center"/>
    </xf>
    <xf numFmtId="0" fontId="8" fillId="2" borderId="1" xfId="1" applyFont="1" applyFill="1" applyBorder="1" applyAlignment="1">
      <alignment horizontal="center"/>
    </xf>
    <xf numFmtId="3" fontId="8" fillId="2" borderId="1" xfId="1" applyNumberFormat="1" applyFont="1" applyFill="1" applyBorder="1" applyAlignment="1">
      <alignment horizontal="center"/>
    </xf>
    <xf numFmtId="179" fontId="6" fillId="0" borderId="0" xfId="1" applyNumberFormat="1" applyFont="1" applyAlignment="1">
      <alignment horizontal="center"/>
    </xf>
    <xf numFmtId="0" fontId="37" fillId="0" borderId="0" xfId="1" applyFont="1" applyAlignment="1">
      <alignment horizontal="center"/>
    </xf>
    <xf numFmtId="178" fontId="6" fillId="0" borderId="0" xfId="1" applyNumberFormat="1" applyFont="1" applyAlignment="1">
      <alignment horizontal="center"/>
    </xf>
    <xf numFmtId="4" fontId="6" fillId="0" borderId="0" xfId="1" applyNumberFormat="1" applyFont="1" applyAlignment="1">
      <alignment horizontal="center"/>
    </xf>
    <xf numFmtId="0" fontId="38" fillId="0" borderId="0" xfId="1" applyFont="1" applyAlignment="1">
      <alignment horizontal="center"/>
    </xf>
    <xf numFmtId="178" fontId="7" fillId="0" borderId="0" xfId="1" applyNumberFormat="1" applyFont="1" applyAlignment="1">
      <alignment horizontal="center"/>
    </xf>
    <xf numFmtId="4" fontId="7" fillId="0" borderId="0" xfId="1" applyNumberFormat="1" applyFont="1" applyAlignment="1">
      <alignment horizontal="center"/>
    </xf>
    <xf numFmtId="4" fontId="6" fillId="0" borderId="5" xfId="1" applyNumberFormat="1" applyFont="1" applyBorder="1" applyAlignment="1">
      <alignment horizontal="center"/>
    </xf>
    <xf numFmtId="0" fontId="4" fillId="2" borderId="7" xfId="1" applyFont="1" applyFill="1" applyBorder="1"/>
    <xf numFmtId="0" fontId="4" fillId="2" borderId="8" xfId="1" applyFont="1" applyFill="1" applyBorder="1"/>
    <xf numFmtId="0" fontId="8" fillId="2" borderId="7" xfId="1" applyFont="1" applyFill="1" applyBorder="1" applyAlignment="1">
      <alignment horizontal="center"/>
    </xf>
    <xf numFmtId="0" fontId="8" fillId="2" borderId="3" xfId="1" applyFont="1" applyFill="1" applyBorder="1" applyAlignment="1">
      <alignment horizontal="center"/>
    </xf>
    <xf numFmtId="0" fontId="4" fillId="2" borderId="10" xfId="1" applyFont="1" applyFill="1" applyBorder="1"/>
    <xf numFmtId="170" fontId="4" fillId="2" borderId="14" xfId="1" applyNumberFormat="1" applyFont="1" applyFill="1" applyBorder="1" applyAlignment="1">
      <alignment horizontal="center"/>
    </xf>
    <xf numFmtId="170" fontId="4" fillId="2" borderId="4" xfId="1" applyNumberFormat="1" applyFont="1" applyFill="1" applyBorder="1" applyAlignment="1">
      <alignment horizontal="center"/>
    </xf>
    <xf numFmtId="170" fontId="4" fillId="2" borderId="15" xfId="1" applyNumberFormat="1" applyFont="1" applyFill="1" applyBorder="1" applyAlignment="1">
      <alignment horizontal="center"/>
    </xf>
    <xf numFmtId="3" fontId="4" fillId="2" borderId="4" xfId="1" applyNumberFormat="1" applyFont="1" applyFill="1" applyBorder="1" applyAlignment="1">
      <alignment horizontal="center"/>
    </xf>
    <xf numFmtId="3" fontId="4" fillId="2" borderId="0" xfId="1" applyNumberFormat="1" applyFont="1" applyFill="1"/>
    <xf numFmtId="0" fontId="7" fillId="0" borderId="1" xfId="1" applyFont="1" applyBorder="1"/>
    <xf numFmtId="0" fontId="38" fillId="0" borderId="1" xfId="1" applyFont="1" applyBorder="1" applyAlignment="1">
      <alignment horizontal="center"/>
    </xf>
    <xf numFmtId="0" fontId="6" fillId="0" borderId="1" xfId="1" applyFont="1" applyBorder="1"/>
    <xf numFmtId="164" fontId="6" fillId="0" borderId="1" xfId="5" applyNumberFormat="1" applyFont="1" applyFill="1" applyBorder="1" applyAlignment="1">
      <alignment horizontal="center"/>
    </xf>
    <xf numFmtId="164" fontId="6" fillId="0" borderId="1" xfId="1" applyNumberFormat="1" applyFont="1" applyBorder="1" applyAlignment="1">
      <alignment horizontal="center"/>
    </xf>
    <xf numFmtId="164" fontId="6" fillId="0" borderId="0" xfId="1" applyNumberFormat="1" applyFont="1"/>
    <xf numFmtId="10" fontId="7" fillId="0" borderId="0" xfId="5" applyNumberFormat="1" applyFont="1" applyFill="1" applyBorder="1" applyAlignment="1">
      <alignment horizontal="center"/>
    </xf>
    <xf numFmtId="10" fontId="7" fillId="0" borderId="0" xfId="5" applyNumberFormat="1" applyFont="1" applyFill="1"/>
    <xf numFmtId="0" fontId="4" fillId="2" borderId="0" xfId="1" applyFont="1" applyFill="1" applyAlignment="1">
      <alignment vertical="center"/>
    </xf>
    <xf numFmtId="0" fontId="26" fillId="0" borderId="5" xfId="1" applyFont="1" applyBorder="1" applyAlignment="1">
      <alignment horizontal="center" wrapText="1"/>
    </xf>
    <xf numFmtId="174" fontId="26" fillId="0" borderId="0" xfId="4" applyNumberFormat="1" applyFont="1" applyFill="1" applyBorder="1" applyAlignment="1">
      <alignment horizontal="center" vertical="center" wrapText="1"/>
    </xf>
    <xf numFmtId="164" fontId="26" fillId="0" borderId="0" xfId="5" applyNumberFormat="1" applyFont="1" applyFill="1" applyBorder="1" applyAlignment="1">
      <alignment horizontal="center" vertical="center" wrapText="1"/>
    </xf>
    <xf numFmtId="4" fontId="6" fillId="0" borderId="0" xfId="4" applyNumberFormat="1" applyFont="1" applyFill="1" applyAlignment="1">
      <alignment horizontal="center"/>
    </xf>
    <xf numFmtId="170" fontId="6" fillId="0" borderId="0" xfId="4" applyNumberFormat="1" applyFont="1" applyFill="1" applyAlignment="1">
      <alignment horizontal="center"/>
    </xf>
    <xf numFmtId="170" fontId="6" fillId="0" borderId="5" xfId="4" applyNumberFormat="1" applyFont="1" applyFill="1" applyBorder="1" applyAlignment="1">
      <alignment horizontal="center"/>
    </xf>
    <xf numFmtId="180" fontId="6" fillId="0" borderId="0" xfId="1" applyNumberFormat="1" applyFont="1"/>
    <xf numFmtId="0" fontId="7" fillId="0" borderId="0" xfId="1" applyFont="1" applyAlignment="1">
      <alignment horizontal="center" vertical="center"/>
    </xf>
    <xf numFmtId="2" fontId="7" fillId="0" borderId="0" xfId="1" applyNumberFormat="1" applyFont="1" applyAlignment="1">
      <alignment horizontal="center"/>
    </xf>
    <xf numFmtId="10" fontId="7" fillId="0" borderId="0" xfId="5" applyNumberFormat="1" applyFont="1" applyAlignment="1">
      <alignment horizontal="center"/>
    </xf>
    <xf numFmtId="0" fontId="7" fillId="0" borderId="5" xfId="1" applyFont="1" applyBorder="1" applyAlignment="1">
      <alignment horizontal="center" vertical="center"/>
    </xf>
    <xf numFmtId="2" fontId="7" fillId="0" borderId="5" xfId="1" applyNumberFormat="1" applyFont="1" applyBorder="1" applyAlignment="1">
      <alignment horizontal="center"/>
    </xf>
    <xf numFmtId="10" fontId="7" fillId="0" borderId="5" xfId="5" applyNumberFormat="1" applyFont="1" applyBorder="1" applyAlignment="1">
      <alignment horizontal="center"/>
    </xf>
    <xf numFmtId="0" fontId="7" fillId="0" borderId="0" xfId="1" applyFont="1" applyAlignment="1">
      <alignment horizontal="left"/>
    </xf>
    <xf numFmtId="0" fontId="7" fillId="0" borderId="0" xfId="1" quotePrefix="1" applyFont="1" applyAlignment="1">
      <alignment horizontal="right"/>
    </xf>
    <xf numFmtId="9" fontId="7" fillId="0" borderId="0" xfId="1" applyNumberFormat="1" applyFont="1"/>
    <xf numFmtId="164" fontId="7" fillId="0" borderId="0" xfId="1" applyNumberFormat="1" applyFont="1"/>
    <xf numFmtId="15" fontId="4" fillId="2" borderId="1" xfId="1" applyNumberFormat="1" applyFont="1" applyFill="1" applyBorder="1" applyAlignment="1">
      <alignment horizontal="center" vertical="center" wrapText="1"/>
    </xf>
    <xf numFmtId="0" fontId="7" fillId="3" borderId="12" xfId="1" applyFont="1" applyFill="1" applyBorder="1" applyAlignment="1">
      <alignment horizontal="center"/>
    </xf>
    <xf numFmtId="0" fontId="7" fillId="3" borderId="12" xfId="1" applyFont="1" applyFill="1" applyBorder="1" applyAlignment="1">
      <alignment horizontal="right"/>
    </xf>
    <xf numFmtId="0" fontId="7" fillId="3" borderId="0" xfId="1" quotePrefix="1" applyFont="1" applyFill="1"/>
    <xf numFmtId="0" fontId="39" fillId="0" borderId="5" xfId="1" applyFont="1" applyBorder="1" applyAlignment="1">
      <alignment horizontal="centerContinuous"/>
    </xf>
    <xf numFmtId="0" fontId="39" fillId="0" borderId="0" xfId="1" applyFont="1"/>
    <xf numFmtId="0" fontId="39" fillId="0" borderId="0" xfId="1" applyFont="1" applyAlignment="1">
      <alignment horizontal="center"/>
    </xf>
    <xf numFmtId="0" fontId="39" fillId="0" borderId="5" xfId="1" applyFont="1" applyBorder="1" applyAlignment="1">
      <alignment horizontal="center"/>
    </xf>
    <xf numFmtId="166" fontId="39" fillId="0" borderId="0" xfId="1" applyNumberFormat="1" applyFont="1" applyAlignment="1">
      <alignment horizontal="center"/>
    </xf>
    <xf numFmtId="164" fontId="39" fillId="0" borderId="0" xfId="1" applyNumberFormat="1" applyFont="1" applyAlignment="1">
      <alignment horizontal="center"/>
    </xf>
    <xf numFmtId="171" fontId="39" fillId="0" borderId="0" xfId="1" applyNumberFormat="1" applyFont="1" applyAlignment="1">
      <alignment horizontal="center"/>
    </xf>
    <xf numFmtId="181" fontId="39" fillId="0" borderId="0" xfId="5" applyNumberFormat="1" applyFont="1" applyFill="1" applyAlignment="1">
      <alignment horizontal="center"/>
    </xf>
    <xf numFmtId="166" fontId="39" fillId="0" borderId="5" xfId="1" applyNumberFormat="1" applyFont="1" applyBorder="1" applyAlignment="1">
      <alignment horizontal="center"/>
    </xf>
    <xf numFmtId="164" fontId="39" fillId="0" borderId="5" xfId="1" applyNumberFormat="1" applyFont="1" applyBorder="1" applyAlignment="1">
      <alignment horizontal="center"/>
    </xf>
    <xf numFmtId="171" fontId="39" fillId="0" borderId="5" xfId="1" applyNumberFormat="1" applyFont="1" applyBorder="1" applyAlignment="1">
      <alignment horizontal="center"/>
    </xf>
    <xf numFmtId="181" fontId="39" fillId="0" borderId="5" xfId="5" applyNumberFormat="1" applyFont="1" applyFill="1" applyBorder="1" applyAlignment="1">
      <alignment horizontal="center"/>
    </xf>
    <xf numFmtId="9" fontId="39" fillId="0" borderId="0" xfId="1" applyNumberFormat="1" applyFont="1" applyAlignment="1">
      <alignment horizontal="left"/>
    </xf>
    <xf numFmtId="0" fontId="7" fillId="0" borderId="5" xfId="1" applyFont="1" applyBorder="1"/>
    <xf numFmtId="164" fontId="6" fillId="0" borderId="0" xfId="5" applyNumberFormat="1" applyFont="1" applyFill="1" applyAlignment="1">
      <alignment horizontal="center"/>
    </xf>
    <xf numFmtId="171" fontId="6" fillId="0" borderId="5" xfId="1" applyNumberFormat="1" applyFont="1" applyBorder="1" applyAlignment="1">
      <alignment horizontal="center"/>
    </xf>
    <xf numFmtId="164" fontId="6" fillId="0" borderId="5" xfId="5" applyNumberFormat="1" applyFont="1" applyFill="1" applyBorder="1" applyAlignment="1">
      <alignment horizontal="center"/>
    </xf>
    <xf numFmtId="164" fontId="6" fillId="0" borderId="0" xfId="1" applyNumberFormat="1" applyFont="1" applyAlignment="1">
      <alignment horizontal="center"/>
    </xf>
    <xf numFmtId="3" fontId="6" fillId="0" borderId="0" xfId="1" applyNumberFormat="1" applyFont="1" applyAlignment="1">
      <alignment horizontal="right"/>
    </xf>
    <xf numFmtId="14" fontId="7" fillId="0" borderId="0" xfId="1" applyNumberFormat="1" applyFont="1"/>
    <xf numFmtId="3" fontId="7" fillId="0" borderId="5" xfId="1" applyNumberFormat="1" applyFont="1" applyBorder="1" applyAlignment="1">
      <alignment horizontal="center" wrapText="1"/>
    </xf>
    <xf numFmtId="1" fontId="7" fillId="0" borderId="0" xfId="1" applyNumberFormat="1" applyFont="1" applyAlignment="1">
      <alignment horizontal="center" vertical="center"/>
    </xf>
    <xf numFmtId="170" fontId="7" fillId="0" borderId="0" xfId="1" applyNumberFormat="1" applyFont="1" applyAlignment="1">
      <alignment horizontal="center" vertical="center"/>
    </xf>
    <xf numFmtId="3" fontId="7" fillId="0" borderId="0" xfId="1" applyNumberFormat="1" applyFont="1" applyAlignment="1">
      <alignment horizontal="center" vertical="center"/>
    </xf>
    <xf numFmtId="173" fontId="7" fillId="0" borderId="0" xfId="1" applyNumberFormat="1" applyFont="1" applyAlignment="1">
      <alignment horizontal="center" vertical="center"/>
    </xf>
    <xf numFmtId="1" fontId="7" fillId="0" borderId="5" xfId="1" applyNumberFormat="1" applyFont="1" applyBorder="1" applyAlignment="1">
      <alignment horizontal="center" vertical="center"/>
    </xf>
    <xf numFmtId="170" fontId="7" fillId="0" borderId="5" xfId="1" applyNumberFormat="1" applyFont="1" applyBorder="1" applyAlignment="1">
      <alignment horizontal="center" vertical="center"/>
    </xf>
    <xf numFmtId="3" fontId="7" fillId="0" borderId="5" xfId="1" applyNumberFormat="1" applyFont="1" applyBorder="1" applyAlignment="1">
      <alignment horizontal="center" vertical="center"/>
    </xf>
    <xf numFmtId="173" fontId="7" fillId="0" borderId="5" xfId="1" applyNumberFormat="1" applyFont="1" applyBorder="1" applyAlignment="1">
      <alignment horizontal="center" vertical="center"/>
    </xf>
    <xf numFmtId="173" fontId="7" fillId="0" borderId="0" xfId="1" applyNumberFormat="1" applyFont="1" applyAlignment="1">
      <alignment horizontal="center"/>
    </xf>
    <xf numFmtId="0" fontId="4" fillId="2" borderId="0" xfId="1" quotePrefix="1" applyFont="1" applyFill="1" applyAlignment="1">
      <alignment horizontal="right"/>
    </xf>
    <xf numFmtId="0" fontId="40" fillId="0" borderId="0" xfId="1" applyFont="1"/>
    <xf numFmtId="0" fontId="41" fillId="0" borderId="0" xfId="1" applyFont="1"/>
    <xf numFmtId="0" fontId="7" fillId="0" borderId="0" xfId="1" applyFont="1" applyAlignment="1">
      <alignment vertical="center" wrapText="1"/>
    </xf>
    <xf numFmtId="0" fontId="41" fillId="0" borderId="0" xfId="1" applyFont="1" applyAlignment="1">
      <alignment vertical="center" wrapText="1"/>
    </xf>
    <xf numFmtId="0" fontId="41" fillId="0" borderId="0" xfId="1" applyFont="1" applyAlignment="1">
      <alignment horizontal="center" vertical="center"/>
    </xf>
    <xf numFmtId="0" fontId="7" fillId="0" borderId="5" xfId="1" applyFont="1" applyBorder="1" applyAlignment="1">
      <alignment vertical="center" wrapText="1"/>
    </xf>
    <xf numFmtId="0" fontId="6" fillId="0" borderId="5" xfId="1" applyFont="1" applyBorder="1"/>
    <xf numFmtId="0" fontId="41" fillId="0" borderId="5" xfId="1" applyFont="1" applyBorder="1" applyAlignment="1">
      <alignment vertical="center" wrapText="1"/>
    </xf>
    <xf numFmtId="0" fontId="41" fillId="0" borderId="5" xfId="1" applyFont="1" applyBorder="1"/>
    <xf numFmtId="0" fontId="41" fillId="0" borderId="5" xfId="1" applyFont="1" applyBorder="1" applyAlignment="1">
      <alignment horizontal="center" vertical="center" wrapText="1"/>
    </xf>
    <xf numFmtId="0" fontId="7" fillId="0" borderId="0" xfId="1" applyFont="1" applyAlignment="1">
      <alignment horizontal="left" vertical="center"/>
    </xf>
    <xf numFmtId="0" fontId="41" fillId="0" borderId="0" xfId="1" applyFont="1" applyAlignment="1">
      <alignment horizontal="left" vertical="center"/>
    </xf>
    <xf numFmtId="173" fontId="41" fillId="0" borderId="0" xfId="1" applyNumberFormat="1" applyFont="1" applyAlignment="1">
      <alignment horizontal="center" vertical="center"/>
    </xf>
    <xf numFmtId="173" fontId="41" fillId="0" borderId="0" xfId="1" applyNumberFormat="1" applyFont="1" applyAlignment="1">
      <alignment horizontal="center"/>
    </xf>
    <xf numFmtId="164" fontId="41" fillId="0" borderId="5" xfId="5" applyNumberFormat="1" applyFont="1" applyFill="1" applyBorder="1" applyAlignment="1">
      <alignment horizontal="center"/>
    </xf>
    <xf numFmtId="0" fontId="41" fillId="0" borderId="5" xfId="1" applyFont="1" applyBorder="1" applyAlignment="1">
      <alignment horizontal="center"/>
    </xf>
    <xf numFmtId="171" fontId="41" fillId="0" borderId="0" xfId="1" applyNumberFormat="1" applyFont="1" applyAlignment="1">
      <alignment horizontal="center"/>
    </xf>
    <xf numFmtId="3" fontId="41" fillId="0" borderId="5" xfId="1" applyNumberFormat="1" applyFont="1" applyBorder="1" applyAlignment="1">
      <alignment horizontal="center" wrapText="1"/>
    </xf>
    <xf numFmtId="3" fontId="41" fillId="0" borderId="5" xfId="1" applyNumberFormat="1" applyFont="1" applyBorder="1" applyAlignment="1">
      <alignment horizontal="center"/>
    </xf>
    <xf numFmtId="170" fontId="7" fillId="0" borderId="0" xfId="1" applyNumberFormat="1" applyFont="1" applyAlignment="1">
      <alignment horizontal="center"/>
    </xf>
    <xf numFmtId="170" fontId="41" fillId="0" borderId="0" xfId="1" applyNumberFormat="1" applyFont="1" applyAlignment="1">
      <alignment horizontal="center"/>
    </xf>
    <xf numFmtId="3" fontId="41" fillId="0" borderId="0" xfId="1" applyNumberFormat="1" applyFont="1" applyAlignment="1">
      <alignment horizontal="center"/>
    </xf>
    <xf numFmtId="170" fontId="7" fillId="0" borderId="5" xfId="1" applyNumberFormat="1" applyFont="1" applyBorder="1" applyAlignment="1">
      <alignment horizontal="center"/>
    </xf>
    <xf numFmtId="0" fontId="41" fillId="0" borderId="5" xfId="1" applyFont="1" applyBorder="1" applyAlignment="1">
      <alignment horizontal="center" vertical="center"/>
    </xf>
    <xf numFmtId="170" fontId="41" fillId="0" borderId="5" xfId="1" applyNumberFormat="1" applyFont="1" applyBorder="1" applyAlignment="1">
      <alignment horizontal="center"/>
    </xf>
    <xf numFmtId="0" fontId="41" fillId="0" borderId="0" xfId="1" applyFont="1" applyAlignment="1">
      <alignment horizontal="center"/>
    </xf>
    <xf numFmtId="0" fontId="4" fillId="2" borderId="1" xfId="1" applyFont="1" applyFill="1" applyBorder="1" applyAlignment="1">
      <alignment vertical="center" wrapText="1"/>
    </xf>
    <xf numFmtId="0" fontId="4" fillId="2" borderId="1" xfId="1" applyFont="1" applyFill="1" applyBorder="1" applyAlignment="1">
      <alignment vertical="center"/>
    </xf>
    <xf numFmtId="20" fontId="7" fillId="0" borderId="5" xfId="1" quotePrefix="1" applyNumberFormat="1" applyFont="1" applyBorder="1" applyAlignment="1">
      <alignment horizontal="center"/>
    </xf>
    <xf numFmtId="20" fontId="7" fillId="0" borderId="5" xfId="1" applyNumberFormat="1" applyFont="1" applyBorder="1" applyAlignment="1">
      <alignment horizontal="center"/>
    </xf>
    <xf numFmtId="3" fontId="7" fillId="0" borderId="0" xfId="4" applyNumberFormat="1" applyFont="1" applyFill="1"/>
    <xf numFmtId="182" fontId="7" fillId="0" borderId="0" xfId="1" applyNumberFormat="1" applyFont="1" applyAlignment="1">
      <alignment horizontal="center"/>
    </xf>
    <xf numFmtId="164" fontId="7" fillId="0" borderId="0" xfId="5" applyNumberFormat="1" applyFont="1" applyFill="1" applyAlignment="1"/>
    <xf numFmtId="3" fontId="7" fillId="0" borderId="5" xfId="4" applyNumberFormat="1" applyFont="1" applyFill="1" applyBorder="1"/>
    <xf numFmtId="182" fontId="7" fillId="0" borderId="5" xfId="1" applyNumberFormat="1" applyFont="1" applyBorder="1" applyAlignment="1">
      <alignment horizontal="center"/>
    </xf>
    <xf numFmtId="3" fontId="7" fillId="0" borderId="5" xfId="1" applyNumberFormat="1" applyFont="1" applyBorder="1"/>
    <xf numFmtId="164" fontId="7" fillId="0" borderId="5" xfId="5" applyNumberFormat="1" applyFont="1" applyFill="1" applyBorder="1" applyAlignment="1"/>
    <xf numFmtId="174" fontId="7" fillId="0" borderId="0" xfId="4" applyNumberFormat="1" applyFont="1" applyFill="1"/>
    <xf numFmtId="9" fontId="7" fillId="0" borderId="0" xfId="5" applyFont="1" applyFill="1" applyAlignment="1">
      <alignment horizontal="center"/>
    </xf>
    <xf numFmtId="3" fontId="7" fillId="0" borderId="5" xfId="4" applyNumberFormat="1" applyFont="1" applyFill="1" applyBorder="1" applyAlignment="1">
      <alignment horizontal="center"/>
    </xf>
    <xf numFmtId="9" fontId="7" fillId="0" borderId="5" xfId="5" applyFont="1" applyFill="1" applyBorder="1" applyAlignment="1">
      <alignment horizontal="center"/>
    </xf>
    <xf numFmtId="180" fontId="7" fillId="0" borderId="0" xfId="4" applyNumberFormat="1" applyFont="1" applyFill="1" applyAlignment="1"/>
    <xf numFmtId="9" fontId="7" fillId="0" borderId="0" xfId="5" applyFont="1" applyFill="1" applyAlignment="1"/>
    <xf numFmtId="183" fontId="7" fillId="0" borderId="0" xfId="1" applyNumberFormat="1" applyFont="1"/>
    <xf numFmtId="0" fontId="7" fillId="0" borderId="11" xfId="1" applyFont="1" applyBorder="1" applyAlignment="1">
      <alignment horizontal="center"/>
    </xf>
    <xf numFmtId="9" fontId="4" fillId="2" borderId="0" xfId="1" applyNumberFormat="1" applyFont="1" applyFill="1"/>
    <xf numFmtId="0" fontId="4" fillId="2" borderId="1" xfId="1" applyFont="1" applyFill="1" applyBorder="1" applyAlignment="1">
      <alignment horizontal="left" vertical="center"/>
    </xf>
    <xf numFmtId="0" fontId="8" fillId="2" borderId="3" xfId="1" applyFont="1" applyFill="1" applyBorder="1" applyAlignment="1">
      <alignment horizontal="center" wrapText="1"/>
    </xf>
    <xf numFmtId="3" fontId="4" fillId="2" borderId="1" xfId="1" applyNumberFormat="1" applyFont="1" applyFill="1" applyBorder="1" applyAlignment="1">
      <alignment horizontal="left" indent="3"/>
    </xf>
    <xf numFmtId="0" fontId="4" fillId="2" borderId="0" xfId="1" applyFont="1" applyFill="1" applyAlignment="1">
      <alignment horizontal="left"/>
    </xf>
    <xf numFmtId="0" fontId="4" fillId="2" borderId="0" xfId="1" applyFont="1" applyFill="1" applyAlignment="1">
      <alignment horizontal="left" indent="5"/>
    </xf>
    <xf numFmtId="0" fontId="4" fillId="2" borderId="1" xfId="1" applyFont="1" applyFill="1" applyBorder="1" applyAlignment="1">
      <alignment horizontal="left" indent="4"/>
    </xf>
    <xf numFmtId="0" fontId="7" fillId="0" borderId="8" xfId="1" applyFont="1" applyBorder="1" applyAlignment="1">
      <alignment horizontal="center"/>
    </xf>
    <xf numFmtId="0" fontId="6" fillId="0" borderId="8" xfId="1" applyFont="1" applyBorder="1"/>
    <xf numFmtId="3" fontId="6" fillId="0" borderId="8" xfId="1" applyNumberFormat="1" applyFont="1" applyBorder="1" applyAlignment="1">
      <alignment horizontal="center"/>
    </xf>
    <xf numFmtId="0" fontId="6" fillId="0" borderId="8" xfId="1" applyFont="1" applyBorder="1" applyAlignment="1">
      <alignment horizontal="center"/>
    </xf>
    <xf numFmtId="4" fontId="6" fillId="0" borderId="8" xfId="1" applyNumberFormat="1" applyFont="1" applyBorder="1" applyAlignment="1">
      <alignment horizontal="center"/>
    </xf>
    <xf numFmtId="4" fontId="7" fillId="0" borderId="5" xfId="1" applyNumberFormat="1" applyFont="1" applyBorder="1" applyAlignment="1">
      <alignment horizontal="center"/>
    </xf>
    <xf numFmtId="0" fontId="7" fillId="0" borderId="8" xfId="1" applyFont="1" applyBorder="1"/>
    <xf numFmtId="4" fontId="7" fillId="0" borderId="8" xfId="1" applyNumberFormat="1" applyFont="1" applyBorder="1" applyAlignment="1">
      <alignment horizontal="center"/>
    </xf>
    <xf numFmtId="0" fontId="8" fillId="2" borderId="2" xfId="1" applyFont="1" applyFill="1" applyBorder="1" applyAlignment="1">
      <alignment horizontal="center" wrapText="1"/>
    </xf>
    <xf numFmtId="3" fontId="8" fillId="2" borderId="1" xfId="1" applyNumberFormat="1" applyFont="1" applyFill="1" applyBorder="1" applyAlignment="1">
      <alignment horizontal="center" vertical="center" wrapText="1"/>
    </xf>
    <xf numFmtId="0" fontId="4" fillId="2" borderId="7" xfId="1" applyFont="1" applyFill="1" applyBorder="1" applyAlignment="1">
      <alignment horizontal="left" indent="1"/>
    </xf>
    <xf numFmtId="0" fontId="4" fillId="2" borderId="3" xfId="1" applyFont="1" applyFill="1" applyBorder="1"/>
    <xf numFmtId="9" fontId="4" fillId="2" borderId="1" xfId="1" applyNumberFormat="1" applyFont="1" applyFill="1" applyBorder="1" applyAlignment="1">
      <alignment horizontal="center"/>
    </xf>
    <xf numFmtId="9" fontId="4" fillId="2" borderId="0" xfId="1" applyNumberFormat="1" applyFont="1" applyFill="1" applyAlignment="1">
      <alignment horizontal="left"/>
    </xf>
    <xf numFmtId="4" fontId="7" fillId="0" borderId="0" xfId="1" applyNumberFormat="1" applyFont="1"/>
    <xf numFmtId="4" fontId="7" fillId="0" borderId="0" xfId="1" applyNumberFormat="1" applyFont="1" applyAlignment="1">
      <alignment horizontal="right" indent="2"/>
    </xf>
    <xf numFmtId="3" fontId="7" fillId="0" borderId="0" xfId="1" applyNumberFormat="1" applyFont="1" applyAlignment="1">
      <alignment horizontal="right" indent="2"/>
    </xf>
    <xf numFmtId="4" fontId="7" fillId="0" borderId="5" xfId="1" applyNumberFormat="1" applyFont="1" applyBorder="1"/>
    <xf numFmtId="4" fontId="7" fillId="0" borderId="5" xfId="1" applyNumberFormat="1" applyFont="1" applyBorder="1" applyAlignment="1">
      <alignment horizontal="right" indent="2"/>
    </xf>
    <xf numFmtId="3" fontId="7" fillId="0" borderId="5" xfId="1" applyNumberFormat="1" applyFont="1" applyBorder="1" applyAlignment="1">
      <alignment horizontal="right" indent="2"/>
    </xf>
    <xf numFmtId="164" fontId="7" fillId="0" borderId="0" xfId="5" applyNumberFormat="1" applyFont="1" applyFill="1" applyBorder="1" applyAlignment="1">
      <alignment horizontal="center"/>
    </xf>
    <xf numFmtId="176" fontId="6" fillId="0" borderId="0" xfId="1" quotePrefix="1" applyNumberFormat="1" applyFont="1" applyAlignment="1">
      <alignment horizontal="left"/>
    </xf>
    <xf numFmtId="171" fontId="6" fillId="0" borderId="0" xfId="1" applyNumberFormat="1" applyFont="1" applyAlignment="1">
      <alignment horizontal="left"/>
    </xf>
    <xf numFmtId="4" fontId="6" fillId="0" borderId="0" xfId="1" applyNumberFormat="1" applyFont="1" applyAlignment="1">
      <alignment horizontal="left"/>
    </xf>
    <xf numFmtId="2" fontId="6" fillId="0" borderId="0" xfId="1" applyNumberFormat="1" applyFont="1" applyAlignment="1">
      <alignment horizontal="left"/>
    </xf>
    <xf numFmtId="2" fontId="7" fillId="0" borderId="0" xfId="1" applyNumberFormat="1" applyFont="1" applyAlignment="1">
      <alignment horizontal="left"/>
    </xf>
    <xf numFmtId="10" fontId="4" fillId="2" borderId="1" xfId="1" applyNumberFormat="1" applyFont="1" applyFill="1" applyBorder="1"/>
    <xf numFmtId="10" fontId="4" fillId="2" borderId="0" xfId="1" applyNumberFormat="1" applyFont="1" applyFill="1"/>
    <xf numFmtId="15" fontId="34" fillId="0" borderId="0" xfId="1" applyNumberFormat="1" applyFont="1"/>
    <xf numFmtId="0" fontId="43" fillId="0" borderId="0" xfId="1" applyFont="1"/>
    <xf numFmtId="171" fontId="34" fillId="0" borderId="0" xfId="1" applyNumberFormat="1" applyFont="1"/>
    <xf numFmtId="0" fontId="42" fillId="0" borderId="0" xfId="1" applyFont="1"/>
    <xf numFmtId="0" fontId="9" fillId="2" borderId="0" xfId="1" applyFont="1" applyFill="1"/>
    <xf numFmtId="10" fontId="4" fillId="2" borderId="1" xfId="1" applyNumberFormat="1" applyFont="1" applyFill="1" applyBorder="1" applyAlignment="1">
      <alignment horizontal="center"/>
    </xf>
    <xf numFmtId="169" fontId="6" fillId="0" borderId="0" xfId="4" applyNumberFormat="1" applyFont="1" applyFill="1" applyAlignment="1">
      <alignment horizontal="center"/>
    </xf>
    <xf numFmtId="169" fontId="6" fillId="0" borderId="5" xfId="4" applyNumberFormat="1" applyFont="1" applyFill="1" applyBorder="1" applyAlignment="1">
      <alignment horizontal="center"/>
    </xf>
    <xf numFmtId="4" fontId="6" fillId="0" borderId="5" xfId="4" applyNumberFormat="1" applyFont="1" applyFill="1" applyBorder="1" applyAlignment="1">
      <alignment horizontal="center"/>
    </xf>
    <xf numFmtId="10" fontId="6" fillId="0" borderId="0" xfId="5" applyNumberFormat="1" applyFont="1"/>
    <xf numFmtId="164" fontId="6" fillId="0" borderId="0" xfId="5" applyNumberFormat="1" applyFont="1"/>
    <xf numFmtId="0" fontId="8" fillId="2" borderId="1" xfId="1" applyFont="1" applyFill="1" applyBorder="1" applyAlignment="1">
      <alignment vertical="center"/>
    </xf>
    <xf numFmtId="4" fontId="6" fillId="0" borderId="0" xfId="4" applyNumberFormat="1" applyFont="1" applyFill="1"/>
    <xf numFmtId="10" fontId="6" fillId="0" borderId="0" xfId="5" applyNumberFormat="1" applyFont="1" applyFill="1"/>
    <xf numFmtId="0" fontId="6" fillId="0" borderId="13" xfId="1" applyFont="1" applyBorder="1" applyAlignment="1">
      <alignment horizontal="center"/>
    </xf>
    <xf numFmtId="184" fontId="6" fillId="0" borderId="0" xfId="1" applyNumberFormat="1" applyFont="1" applyAlignment="1">
      <alignment horizontal="center"/>
    </xf>
    <xf numFmtId="185" fontId="6" fillId="0" borderId="0" xfId="1" applyNumberFormat="1" applyFont="1" applyAlignment="1">
      <alignment horizontal="center"/>
    </xf>
    <xf numFmtId="0" fontId="38" fillId="0" borderId="0" xfId="1" applyFont="1" applyAlignment="1">
      <alignment horizontal="left"/>
    </xf>
    <xf numFmtId="0" fontId="44" fillId="0" borderId="0" xfId="1" applyFont="1" applyAlignment="1">
      <alignment horizontal="right"/>
    </xf>
    <xf numFmtId="0" fontId="38" fillId="0" borderId="5" xfId="1" applyFont="1" applyBorder="1" applyAlignment="1">
      <alignment horizontal="center" wrapText="1"/>
    </xf>
    <xf numFmtId="0" fontId="38" fillId="0" borderId="5" xfId="1" applyFont="1" applyBorder="1" applyAlignment="1">
      <alignment horizontal="center"/>
    </xf>
    <xf numFmtId="0" fontId="37" fillId="0" borderId="0" xfId="1" applyFont="1" applyAlignment="1">
      <alignment horizontal="left" vertical="center"/>
    </xf>
    <xf numFmtId="0" fontId="23" fillId="0" borderId="0" xfId="1" applyFont="1" applyAlignment="1">
      <alignment horizontal="left" vertical="center"/>
    </xf>
    <xf numFmtId="0" fontId="6" fillId="0" borderId="0" xfId="1" applyFont="1" applyAlignment="1">
      <alignment vertical="center"/>
    </xf>
    <xf numFmtId="0" fontId="45" fillId="0" borderId="0" xfId="1" applyFont="1" applyAlignment="1">
      <alignment vertical="center"/>
    </xf>
    <xf numFmtId="0" fontId="47" fillId="0" borderId="0" xfId="1" applyFont="1" applyAlignment="1">
      <alignment vertical="center"/>
    </xf>
    <xf numFmtId="16" fontId="8" fillId="2" borderId="1" xfId="1" quotePrefix="1" applyNumberFormat="1" applyFont="1" applyFill="1" applyBorder="1" applyAlignment="1">
      <alignment horizontal="center"/>
    </xf>
    <xf numFmtId="0" fontId="34" fillId="0" borderId="5" xfId="1" applyFont="1" applyBorder="1" applyAlignment="1">
      <alignment horizontal="center" wrapText="1"/>
    </xf>
    <xf numFmtId="0" fontId="34" fillId="0" borderId="5" xfId="1" quotePrefix="1" applyFont="1" applyBorder="1" applyAlignment="1">
      <alignment horizontal="center"/>
    </xf>
    <xf numFmtId="170" fontId="34" fillId="0" borderId="0" xfId="1" applyNumberFormat="1" applyFont="1" applyAlignment="1">
      <alignment horizontal="center"/>
    </xf>
    <xf numFmtId="170" fontId="48" fillId="0" borderId="0" xfId="1" applyNumberFormat="1" applyFont="1" applyAlignment="1">
      <alignment horizontal="center"/>
    </xf>
    <xf numFmtId="170" fontId="34" fillId="0" borderId="0" xfId="1" applyNumberFormat="1" applyFont="1"/>
    <xf numFmtId="0" fontId="34" fillId="0" borderId="0" xfId="1" applyFont="1" applyAlignment="1">
      <alignment horizontal="right"/>
    </xf>
    <xf numFmtId="0" fontId="34" fillId="0" borderId="5" xfId="1" applyFont="1" applyBorder="1" applyAlignment="1">
      <alignment horizontal="right"/>
    </xf>
    <xf numFmtId="170" fontId="34" fillId="0" borderId="5" xfId="1" applyNumberFormat="1" applyFont="1" applyBorder="1" applyAlignment="1">
      <alignment horizontal="center"/>
    </xf>
    <xf numFmtId="3" fontId="34" fillId="0" borderId="0" xfId="1" applyNumberFormat="1" applyFont="1" applyAlignment="1">
      <alignment horizontal="center"/>
    </xf>
    <xf numFmtId="3" fontId="49" fillId="0" borderId="0" xfId="1" applyNumberFormat="1" applyFont="1" applyAlignment="1">
      <alignment horizontal="center"/>
    </xf>
    <xf numFmtId="3" fontId="34" fillId="0" borderId="5" xfId="1" applyNumberFormat="1" applyFont="1" applyBorder="1" applyAlignment="1">
      <alignment horizontal="center"/>
    </xf>
    <xf numFmtId="174" fontId="34" fillId="0" borderId="0" xfId="1" applyNumberFormat="1" applyFont="1" applyAlignment="1">
      <alignment horizontal="center"/>
    </xf>
    <xf numFmtId="174" fontId="34" fillId="0" borderId="0" xfId="4" applyNumberFormat="1" applyFont="1" applyFill="1"/>
    <xf numFmtId="0" fontId="6" fillId="0" borderId="0" xfId="1" applyFont="1" applyAlignment="1">
      <alignment horizontal="center" wrapText="1"/>
    </xf>
    <xf numFmtId="186" fontId="7" fillId="0" borderId="0" xfId="1" applyNumberFormat="1" applyFont="1" applyAlignment="1">
      <alignment horizontal="center"/>
    </xf>
    <xf numFmtId="9" fontId="4" fillId="2" borderId="1" xfId="1" applyNumberFormat="1" applyFont="1" applyFill="1" applyBorder="1" applyAlignment="1">
      <alignment horizontal="left"/>
    </xf>
    <xf numFmtId="3" fontId="4" fillId="2" borderId="1" xfId="1" quotePrefix="1" applyNumberFormat="1" applyFont="1" applyFill="1" applyBorder="1" applyAlignment="1">
      <alignment horizontal="center"/>
    </xf>
    <xf numFmtId="3" fontId="4" fillId="2" borderId="1" xfId="1" applyNumberFormat="1" applyFont="1" applyFill="1" applyBorder="1"/>
    <xf numFmtId="164" fontId="4" fillId="2" borderId="1" xfId="1" applyNumberFormat="1" applyFont="1" applyFill="1" applyBorder="1"/>
    <xf numFmtId="0" fontId="4" fillId="2" borderId="1" xfId="1" applyFont="1" applyFill="1" applyBorder="1"/>
    <xf numFmtId="0" fontId="4" fillId="2" borderId="0" xfId="1" applyFont="1" applyFill="1" applyAlignment="1">
      <alignment horizontal="left" indent="1"/>
    </xf>
    <xf numFmtId="0" fontId="12" fillId="0" borderId="0" xfId="1" applyFont="1" applyAlignment="1">
      <alignment horizontal="left"/>
    </xf>
    <xf numFmtId="187" fontId="4" fillId="2" borderId="1" xfId="1" applyNumberFormat="1" applyFont="1" applyFill="1" applyBorder="1" applyAlignment="1">
      <alignment horizontal="center" vertical="center"/>
    </xf>
    <xf numFmtId="166" fontId="7" fillId="0" borderId="0" xfId="1" applyNumberFormat="1" applyFont="1" applyAlignment="1">
      <alignment horizontal="center"/>
    </xf>
    <xf numFmtId="181" fontId="6" fillId="0" borderId="0" xfId="5" applyNumberFormat="1" applyFont="1" applyFill="1" applyAlignment="1">
      <alignment horizontal="center"/>
    </xf>
    <xf numFmtId="166" fontId="7" fillId="0" borderId="5" xfId="1" applyNumberFormat="1" applyFont="1" applyBorder="1" applyAlignment="1">
      <alignment horizontal="center"/>
    </xf>
    <xf numFmtId="181" fontId="6" fillId="0" borderId="5" xfId="5" applyNumberFormat="1" applyFont="1" applyFill="1" applyBorder="1" applyAlignment="1">
      <alignment horizontal="center"/>
    </xf>
    <xf numFmtId="166" fontId="30" fillId="0" borderId="0" xfId="1" applyNumberFormat="1" applyFont="1" applyAlignment="1">
      <alignment horizontal="center"/>
    </xf>
    <xf numFmtId="9" fontId="30" fillId="0" borderId="0" xfId="1" applyNumberFormat="1" applyFont="1" applyAlignment="1">
      <alignment horizontal="center"/>
    </xf>
    <xf numFmtId="9" fontId="7" fillId="0" borderId="0" xfId="1" applyNumberFormat="1" applyFont="1" applyAlignment="1">
      <alignment horizontal="left"/>
    </xf>
    <xf numFmtId="169" fontId="7" fillId="0" borderId="0" xfId="1" applyNumberFormat="1" applyFont="1" applyAlignment="1">
      <alignment horizontal="center" vertical="center"/>
    </xf>
    <xf numFmtId="166" fontId="4" fillId="2" borderId="1" xfId="1" applyNumberFormat="1" applyFont="1" applyFill="1" applyBorder="1" applyAlignment="1">
      <alignment horizontal="center"/>
    </xf>
    <xf numFmtId="166" fontId="4" fillId="2" borderId="4" xfId="1" applyNumberFormat="1" applyFont="1" applyFill="1" applyBorder="1" applyAlignment="1">
      <alignment horizontal="center"/>
    </xf>
    <xf numFmtId="166" fontId="4" fillId="2" borderId="1" xfId="1" applyNumberFormat="1" applyFont="1" applyFill="1" applyBorder="1" applyAlignment="1">
      <alignment horizontal="center" vertical="center" wrapText="1"/>
    </xf>
    <xf numFmtId="3" fontId="7" fillId="0" borderId="0" xfId="1" applyNumberFormat="1" applyFont="1" applyAlignment="1">
      <alignment horizontal="center" vertical="center" wrapText="1"/>
    </xf>
    <xf numFmtId="0" fontId="52" fillId="0" borderId="0" xfId="1" applyFont="1" applyAlignment="1">
      <alignment horizontal="center" vertical="center" wrapText="1"/>
    </xf>
    <xf numFmtId="0" fontId="53" fillId="0" borderId="0" xfId="1" applyFont="1" applyAlignment="1">
      <alignment horizontal="center" vertical="center" wrapText="1"/>
    </xf>
    <xf numFmtId="0" fontId="54" fillId="0" borderId="0" xfId="1" applyFont="1"/>
    <xf numFmtId="37" fontId="6" fillId="0" borderId="0" xfId="1" applyNumberFormat="1" applyFont="1" applyAlignment="1">
      <alignment horizontal="center"/>
    </xf>
    <xf numFmtId="164" fontId="7" fillId="0" borderId="0" xfId="5" applyNumberFormat="1" applyFont="1" applyFill="1"/>
    <xf numFmtId="0" fontId="7" fillId="0" borderId="1" xfId="1" applyFont="1" applyBorder="1" applyAlignment="1">
      <alignment horizontal="center"/>
    </xf>
    <xf numFmtId="173" fontId="7" fillId="0" borderId="1" xfId="1" applyNumberFormat="1" applyFont="1" applyBorder="1" applyAlignment="1">
      <alignment horizontal="center"/>
    </xf>
    <xf numFmtId="9" fontId="4" fillId="2" borderId="1" xfId="1" applyNumberFormat="1" applyFont="1" applyFill="1" applyBorder="1" applyAlignment="1">
      <alignment horizontal="center" vertical="center"/>
    </xf>
    <xf numFmtId="3" fontId="7" fillId="0" borderId="0" xfId="4" applyNumberFormat="1" applyFont="1" applyFill="1" applyBorder="1" applyAlignment="1">
      <alignment horizontal="center"/>
    </xf>
    <xf numFmtId="37" fontId="7" fillId="0" borderId="0" xfId="4" applyNumberFormat="1" applyFont="1" applyFill="1" applyAlignment="1">
      <alignment horizontal="center"/>
    </xf>
    <xf numFmtId="0" fontId="20" fillId="0" borderId="0" xfId="1" applyFont="1"/>
    <xf numFmtId="9" fontId="4" fillId="2" borderId="4" xfId="1" applyNumberFormat="1" applyFont="1" applyFill="1" applyBorder="1" applyAlignment="1">
      <alignment horizontal="center"/>
    </xf>
    <xf numFmtId="3" fontId="55" fillId="0" borderId="0" xfId="1" applyNumberFormat="1" applyFont="1" applyAlignment="1">
      <alignment horizontal="right"/>
    </xf>
    <xf numFmtId="3" fontId="55" fillId="0" borderId="0" xfId="1" applyNumberFormat="1" applyFont="1" applyAlignment="1">
      <alignment horizontal="center"/>
    </xf>
    <xf numFmtId="0" fontId="55" fillId="0" borderId="0" xfId="1" applyFont="1" applyAlignment="1">
      <alignment horizontal="center"/>
    </xf>
    <xf numFmtId="0" fontId="4" fillId="2" borderId="0" xfId="1" applyFont="1" applyFill="1" applyAlignment="1">
      <alignment horizontal="center"/>
    </xf>
    <xf numFmtId="174" fontId="7" fillId="0" borderId="0" xfId="1" applyNumberFormat="1" applyFont="1" applyAlignment="1">
      <alignment horizontal="center"/>
    </xf>
    <xf numFmtId="189" fontId="7" fillId="0" borderId="0" xfId="1" applyNumberFormat="1" applyFont="1"/>
    <xf numFmtId="189" fontId="7" fillId="0" borderId="0" xfId="1" applyNumberFormat="1" applyFont="1" applyAlignment="1">
      <alignment horizontal="center"/>
    </xf>
    <xf numFmtId="176" fontId="4" fillId="2" borderId="1" xfId="1" applyNumberFormat="1" applyFont="1" applyFill="1" applyBorder="1" applyAlignment="1">
      <alignment horizontal="center"/>
    </xf>
    <xf numFmtId="14" fontId="7" fillId="0" borderId="0" xfId="1" applyNumberFormat="1" applyFont="1" applyAlignment="1">
      <alignment horizontal="left"/>
    </xf>
    <xf numFmtId="3" fontId="7" fillId="0" borderId="0" xfId="1" applyNumberFormat="1" applyFont="1" applyAlignment="1">
      <alignment horizontal="left"/>
    </xf>
    <xf numFmtId="10" fontId="7" fillId="0" borderId="0" xfId="1" applyNumberFormat="1" applyFont="1" applyAlignment="1">
      <alignment horizontal="left"/>
    </xf>
    <xf numFmtId="0" fontId="7" fillId="0" borderId="5" xfId="1" quotePrefix="1" applyFont="1" applyBorder="1" applyAlignment="1">
      <alignment horizontal="center"/>
    </xf>
    <xf numFmtId="1" fontId="7" fillId="0" borderId="0" xfId="1" applyNumberFormat="1" applyFont="1" applyAlignment="1">
      <alignment horizontal="center"/>
    </xf>
    <xf numFmtId="179" fontId="7" fillId="0" borderId="0" xfId="1" applyNumberFormat="1" applyFont="1" applyAlignment="1">
      <alignment horizontal="center"/>
    </xf>
    <xf numFmtId="1" fontId="7" fillId="0" borderId="5" xfId="1" applyNumberFormat="1" applyFont="1" applyBorder="1" applyAlignment="1">
      <alignment horizontal="center"/>
    </xf>
    <xf numFmtId="179" fontId="7" fillId="0" borderId="5" xfId="1" applyNumberFormat="1" applyFont="1" applyBorder="1" applyAlignment="1">
      <alignment horizontal="center"/>
    </xf>
    <xf numFmtId="37" fontId="7" fillId="0" borderId="0" xfId="4" applyNumberFormat="1" applyFont="1" applyFill="1" applyBorder="1" applyAlignment="1">
      <alignment horizontal="center"/>
    </xf>
    <xf numFmtId="4" fontId="4" fillId="2" borderId="0" xfId="1" applyNumberFormat="1" applyFont="1" applyFill="1"/>
    <xf numFmtId="164" fontId="4" fillId="2" borderId="1" xfId="1" applyNumberFormat="1" applyFont="1" applyFill="1" applyBorder="1" applyAlignment="1">
      <alignment horizontal="center"/>
    </xf>
    <xf numFmtId="0" fontId="38" fillId="0" borderId="5" xfId="1" applyFont="1" applyBorder="1" applyAlignment="1">
      <alignment horizontal="center" vertical="center"/>
    </xf>
    <xf numFmtId="9" fontId="7" fillId="0" borderId="0" xfId="1" quotePrefix="1" applyNumberFormat="1" applyFont="1" applyAlignment="1">
      <alignment horizontal="center"/>
    </xf>
    <xf numFmtId="4" fontId="7" fillId="0" borderId="0" xfId="4" applyNumberFormat="1" applyFont="1" applyFill="1" applyAlignment="1">
      <alignment horizontal="center"/>
    </xf>
    <xf numFmtId="9" fontId="7" fillId="0" borderId="5" xfId="1" quotePrefix="1" applyNumberFormat="1" applyFont="1" applyBorder="1" applyAlignment="1">
      <alignment horizontal="center"/>
    </xf>
    <xf numFmtId="4" fontId="7" fillId="0" borderId="5" xfId="4" applyNumberFormat="1" applyFont="1" applyFill="1" applyBorder="1" applyAlignment="1">
      <alignment horizontal="center"/>
    </xf>
    <xf numFmtId="176" fontId="4" fillId="2" borderId="1" xfId="1" applyNumberFormat="1" applyFont="1" applyFill="1" applyBorder="1" applyAlignment="1">
      <alignment horizontal="center" vertical="center" wrapText="1"/>
    </xf>
    <xf numFmtId="0" fontId="56" fillId="2" borderId="0" xfId="1" applyFont="1" applyFill="1" applyAlignment="1">
      <alignment vertical="center"/>
    </xf>
    <xf numFmtId="0" fontId="4" fillId="4" borderId="0" xfId="1" applyFont="1" applyFill="1"/>
    <xf numFmtId="0" fontId="2" fillId="4" borderId="9" xfId="1" applyFill="1" applyBorder="1"/>
    <xf numFmtId="0" fontId="2" fillId="4" borderId="11" xfId="1" applyFill="1" applyBorder="1"/>
    <xf numFmtId="0" fontId="2" fillId="4" borderId="10" xfId="1" applyFill="1" applyBorder="1"/>
    <xf numFmtId="0" fontId="6" fillId="4" borderId="0" xfId="1" applyFont="1" applyFill="1"/>
    <xf numFmtId="0" fontId="2" fillId="4" borderId="12" xfId="1" applyFill="1" applyBorder="1"/>
    <xf numFmtId="0" fontId="2" fillId="4" borderId="0" xfId="1" applyFill="1"/>
    <xf numFmtId="0" fontId="2" fillId="4" borderId="13" xfId="1" applyFill="1" applyBorder="1"/>
    <xf numFmtId="15" fontId="6" fillId="0" borderId="5" xfId="1" applyNumberFormat="1" applyFont="1" applyBorder="1" applyAlignment="1">
      <alignment horizontal="center"/>
    </xf>
    <xf numFmtId="9" fontId="6" fillId="0" borderId="5" xfId="1" applyNumberFormat="1" applyFont="1" applyBorder="1" applyAlignment="1">
      <alignment horizontal="center"/>
    </xf>
    <xf numFmtId="168" fontId="6" fillId="0" borderId="8" xfId="1" applyNumberFormat="1" applyFont="1" applyBorder="1" applyAlignment="1">
      <alignment horizontal="center"/>
    </xf>
    <xf numFmtId="0" fontId="2" fillId="4" borderId="14" xfId="1" applyFill="1" applyBorder="1"/>
    <xf numFmtId="0" fontId="2" fillId="4" borderId="5" xfId="1" applyFill="1" applyBorder="1"/>
    <xf numFmtId="0" fontId="2" fillId="4" borderId="15" xfId="1" applyFill="1" applyBorder="1"/>
    <xf numFmtId="0" fontId="6" fillId="4" borderId="0" xfId="1" quotePrefix="1" applyFont="1" applyFill="1"/>
    <xf numFmtId="0" fontId="2" fillId="0" borderId="9" xfId="1" applyBorder="1"/>
    <xf numFmtId="0" fontId="2" fillId="0" borderId="11" xfId="1" applyBorder="1"/>
    <xf numFmtId="0" fontId="2" fillId="0" borderId="10" xfId="1" applyBorder="1"/>
    <xf numFmtId="0" fontId="2" fillId="0" borderId="12" xfId="1" applyBorder="1"/>
    <xf numFmtId="0" fontId="2" fillId="0" borderId="13" xfId="1" applyBorder="1"/>
    <xf numFmtId="0" fontId="37" fillId="0" borderId="0" xfId="1" applyFont="1"/>
    <xf numFmtId="0" fontId="2" fillId="0" borderId="14" xfId="1" applyBorder="1"/>
    <xf numFmtId="0" fontId="2" fillId="0" borderId="5" xfId="1" applyBorder="1"/>
    <xf numFmtId="0" fontId="2" fillId="0" borderId="15" xfId="1" applyBorder="1"/>
    <xf numFmtId="175" fontId="7" fillId="0" borderId="0" xfId="5" applyNumberFormat="1" applyFont="1" applyFill="1" applyAlignment="1">
      <alignment horizontal="center"/>
    </xf>
    <xf numFmtId="175" fontId="7" fillId="0" borderId="0" xfId="1" applyNumberFormat="1" applyFont="1"/>
    <xf numFmtId="0" fontId="56" fillId="2" borderId="0" xfId="1" applyFont="1" applyFill="1" applyAlignment="1">
      <alignment horizontal="left" vertical="center"/>
    </xf>
    <xf numFmtId="176" fontId="7" fillId="0" borderId="0" xfId="1" applyNumberFormat="1" applyFont="1" applyAlignment="1">
      <alignment horizontal="center"/>
    </xf>
    <xf numFmtId="0" fontId="28" fillId="0" borderId="0" xfId="1" applyFont="1" applyAlignment="1">
      <alignment horizontal="centerContinuous"/>
    </xf>
    <xf numFmtId="176" fontId="7" fillId="0" borderId="5" xfId="1" applyNumberFormat="1" applyFont="1" applyBorder="1" applyAlignment="1">
      <alignment horizontal="center"/>
    </xf>
    <xf numFmtId="10" fontId="4" fillId="2" borderId="0" xfId="1" applyNumberFormat="1" applyFont="1" applyFill="1" applyAlignment="1">
      <alignment horizontal="center"/>
    </xf>
    <xf numFmtId="0" fontId="58" fillId="2" borderId="0" xfId="1" applyFont="1" applyFill="1"/>
    <xf numFmtId="0" fontId="6" fillId="0" borderId="1" xfId="1" applyFont="1" applyBorder="1" applyAlignment="1">
      <alignment horizontal="center" wrapText="1"/>
    </xf>
    <xf numFmtId="0" fontId="6" fillId="0" borderId="1" xfId="1" applyFont="1" applyBorder="1" applyAlignment="1">
      <alignment horizontal="center"/>
    </xf>
    <xf numFmtId="4" fontId="6" fillId="0" borderId="1" xfId="1" applyNumberFormat="1" applyFont="1" applyBorder="1" applyAlignment="1">
      <alignment horizontal="center"/>
    </xf>
    <xf numFmtId="4" fontId="23" fillId="0" borderId="1" xfId="1" applyNumberFormat="1" applyFont="1" applyBorder="1" applyAlignment="1">
      <alignment horizontal="center"/>
    </xf>
    <xf numFmtId="3" fontId="6" fillId="0" borderId="1" xfId="1" applyNumberFormat="1" applyFont="1" applyBorder="1" applyAlignment="1">
      <alignment horizontal="center"/>
    </xf>
    <xf numFmtId="3" fontId="23" fillId="0" borderId="1" xfId="1" applyNumberFormat="1" applyFont="1" applyBorder="1" applyAlignment="1">
      <alignment horizontal="center"/>
    </xf>
    <xf numFmtId="4" fontId="4" fillId="2" borderId="1" xfId="1" applyNumberFormat="1" applyFont="1" applyFill="1" applyBorder="1" applyAlignment="1">
      <alignment horizontal="center" vertical="center"/>
    </xf>
    <xf numFmtId="0" fontId="2" fillId="2" borderId="0" xfId="1" applyFill="1"/>
    <xf numFmtId="164" fontId="7" fillId="0" borderId="0" xfId="5" applyNumberFormat="1" applyFont="1"/>
    <xf numFmtId="0" fontId="4" fillId="0" borderId="0" xfId="1" applyFont="1" applyAlignment="1">
      <alignment horizontal="center"/>
    </xf>
    <xf numFmtId="0" fontId="4" fillId="0" borderId="9" xfId="1" applyFont="1" applyBorder="1"/>
    <xf numFmtId="0" fontId="4" fillId="0" borderId="11" xfId="1" applyFont="1" applyBorder="1"/>
    <xf numFmtId="0" fontId="4" fillId="0" borderId="10" xfId="1" applyFont="1" applyBorder="1"/>
    <xf numFmtId="0" fontId="4" fillId="0" borderId="12" xfId="1" applyFont="1" applyBorder="1"/>
    <xf numFmtId="0" fontId="4" fillId="0" borderId="13" xfId="1" applyFont="1" applyBorder="1"/>
    <xf numFmtId="0" fontId="4" fillId="0" borderId="14" xfId="1" applyFont="1" applyBorder="1"/>
    <xf numFmtId="0" fontId="4" fillId="0" borderId="5" xfId="1" applyFont="1" applyBorder="1"/>
    <xf numFmtId="0" fontId="4" fillId="0" borderId="15" xfId="1" applyFont="1" applyBorder="1"/>
    <xf numFmtId="0" fontId="4" fillId="2" borderId="16" xfId="1" applyFont="1" applyFill="1" applyBorder="1" applyAlignment="1">
      <alignment vertical="center"/>
    </xf>
    <xf numFmtId="0" fontId="4" fillId="2" borderId="7" xfId="1" applyFont="1" applyFill="1" applyBorder="1" applyAlignment="1">
      <alignment vertical="center"/>
    </xf>
    <xf numFmtId="0" fontId="37" fillId="0" borderId="0" xfId="1" applyFont="1" applyAlignment="1">
      <alignment vertical="center"/>
    </xf>
    <xf numFmtId="0" fontId="23" fillId="0" borderId="0" xfId="1" applyFont="1" applyAlignment="1">
      <alignment vertical="center"/>
    </xf>
    <xf numFmtId="0" fontId="59" fillId="0" borderId="0" xfId="1" applyFont="1" applyAlignment="1">
      <alignment vertical="center"/>
    </xf>
    <xf numFmtId="0" fontId="60" fillId="0" borderId="0" xfId="1" applyFont="1"/>
    <xf numFmtId="0" fontId="61" fillId="0" borderId="0" xfId="1" applyFont="1"/>
    <xf numFmtId="14" fontId="6" fillId="0" borderId="5" xfId="1" applyNumberFormat="1" applyFont="1" applyBorder="1"/>
    <xf numFmtId="0" fontId="2" fillId="0" borderId="0" xfId="1" applyAlignment="1">
      <alignment horizontal="center"/>
    </xf>
    <xf numFmtId="167" fontId="6" fillId="0" borderId="0" xfId="1" applyNumberFormat="1" applyFont="1" applyAlignment="1">
      <alignment horizontal="center"/>
    </xf>
    <xf numFmtId="0" fontId="7" fillId="0" borderId="5" xfId="1" applyFont="1" applyBorder="1" applyAlignment="1">
      <alignment horizontal="centerContinuous"/>
    </xf>
    <xf numFmtId="0" fontId="7" fillId="0" borderId="11" xfId="1" applyFont="1" applyBorder="1"/>
    <xf numFmtId="9" fontId="8" fillId="2" borderId="1" xfId="1" applyNumberFormat="1" applyFont="1" applyFill="1" applyBorder="1" applyAlignment="1">
      <alignment horizontal="center" vertical="center"/>
    </xf>
    <xf numFmtId="16" fontId="8" fillId="2" borderId="3" xfId="1" applyNumberFormat="1" applyFont="1" applyFill="1" applyBorder="1" applyAlignment="1">
      <alignment horizontal="center" vertical="center"/>
    </xf>
    <xf numFmtId="170" fontId="9" fillId="2" borderId="1" xfId="1" applyNumberFormat="1" applyFont="1" applyFill="1" applyBorder="1" applyAlignment="1">
      <alignment vertical="center"/>
    </xf>
    <xf numFmtId="170" fontId="8" fillId="2" borderId="1" xfId="1" applyNumberFormat="1" applyFont="1" applyFill="1" applyBorder="1" applyAlignment="1">
      <alignment horizontal="center" vertical="center"/>
    </xf>
    <xf numFmtId="0" fontId="7" fillId="0" borderId="5" xfId="1" quotePrefix="1" applyFont="1" applyBorder="1" applyAlignment="1">
      <alignment horizontal="center" wrapText="1"/>
    </xf>
    <xf numFmtId="0" fontId="7" fillId="0" borderId="0" xfId="1" quotePrefix="1" applyFont="1" applyAlignment="1">
      <alignment horizontal="center"/>
    </xf>
    <xf numFmtId="0" fontId="23" fillId="0" borderId="0" xfId="1" applyFont="1" applyAlignment="1">
      <alignment horizontal="left"/>
    </xf>
    <xf numFmtId="16" fontId="8" fillId="2" borderId="1" xfId="1" applyNumberFormat="1" applyFont="1" applyFill="1" applyBorder="1" applyAlignment="1">
      <alignment horizontal="center" vertical="center"/>
    </xf>
    <xf numFmtId="0" fontId="4" fillId="2" borderId="1" xfId="1" quotePrefix="1" applyFont="1" applyFill="1" applyBorder="1" applyAlignment="1">
      <alignment horizontal="center" vertical="center"/>
    </xf>
    <xf numFmtId="0" fontId="7" fillId="0" borderId="0" xfId="1" quotePrefix="1" applyFont="1" applyAlignment="1">
      <alignment horizontal="center" vertical="center"/>
    </xf>
    <xf numFmtId="0" fontId="24" fillId="0" borderId="5" xfId="1" applyFont="1" applyBorder="1"/>
    <xf numFmtId="0" fontId="7" fillId="0" borderId="0" xfId="1" applyFont="1" applyAlignment="1">
      <alignment horizontal="left" vertical="center" wrapText="1"/>
    </xf>
    <xf numFmtId="10" fontId="7" fillId="0" borderId="0" xfId="5" applyNumberFormat="1" applyFont="1" applyFill="1" applyBorder="1" applyAlignment="1">
      <alignment horizontal="right" vertical="center"/>
    </xf>
    <xf numFmtId="169" fontId="7" fillId="0" borderId="0" xfId="4" applyNumberFormat="1" applyFont="1" applyFill="1" applyBorder="1" applyAlignment="1">
      <alignment horizontal="center"/>
    </xf>
    <xf numFmtId="4" fontId="7" fillId="0" borderId="0" xfId="4" applyNumberFormat="1" applyFont="1" applyFill="1" applyBorder="1" applyAlignment="1">
      <alignment horizontal="center"/>
    </xf>
    <xf numFmtId="169" fontId="7" fillId="0" borderId="5" xfId="4" applyNumberFormat="1" applyFont="1" applyFill="1" applyBorder="1" applyAlignment="1">
      <alignment horizontal="center"/>
    </xf>
    <xf numFmtId="190" fontId="7" fillId="0" borderId="0" xfId="4" applyNumberFormat="1" applyFont="1" applyFill="1" applyBorder="1" applyAlignment="1">
      <alignment horizontal="center"/>
    </xf>
    <xf numFmtId="190" fontId="7" fillId="0" borderId="5" xfId="4" applyNumberFormat="1" applyFont="1" applyFill="1" applyBorder="1" applyAlignment="1">
      <alignment horizontal="center"/>
    </xf>
    <xf numFmtId="0" fontId="21" fillId="2" borderId="9" xfId="1" applyFont="1" applyFill="1" applyBorder="1" applyAlignment="1">
      <alignment horizontal="center" vertical="center"/>
    </xf>
    <xf numFmtId="191" fontId="6" fillId="0" borderId="1" xfId="4" applyNumberFormat="1" applyFont="1" applyFill="1" applyBorder="1" applyAlignment="1">
      <alignment horizontal="center"/>
    </xf>
    <xf numFmtId="0" fontId="6" fillId="0" borderId="0" xfId="1" quotePrefix="1" applyFont="1" applyAlignment="1">
      <alignment horizontal="center"/>
    </xf>
    <xf numFmtId="166" fontId="4" fillId="2" borderId="1" xfId="1" applyNumberFormat="1" applyFont="1" applyFill="1" applyBorder="1" applyAlignment="1">
      <alignment horizontal="center" vertical="center"/>
    </xf>
    <xf numFmtId="191" fontId="6" fillId="5" borderId="1" xfId="4" applyNumberFormat="1" applyFont="1" applyFill="1" applyBorder="1" applyAlignment="1">
      <alignment horizontal="center"/>
    </xf>
    <xf numFmtId="0" fontId="6" fillId="0" borderId="0" xfId="1" quotePrefix="1" applyFont="1" applyAlignment="1">
      <alignment horizontal="right"/>
    </xf>
    <xf numFmtId="9" fontId="6" fillId="0" borderId="0" xfId="1" quotePrefix="1" applyNumberFormat="1" applyFont="1"/>
    <xf numFmtId="181" fontId="7" fillId="0" borderId="0" xfId="5" applyNumberFormat="1" applyFont="1" applyFill="1" applyAlignment="1">
      <alignment horizontal="center"/>
    </xf>
    <xf numFmtId="15" fontId="7" fillId="0" borderId="0" xfId="1" applyNumberFormat="1" applyFont="1" applyAlignment="1">
      <alignment horizontal="center" vertical="center" wrapText="1"/>
    </xf>
    <xf numFmtId="15" fontId="7" fillId="0" borderId="5" xfId="1" applyNumberFormat="1" applyFont="1" applyBorder="1" applyAlignment="1">
      <alignment horizontal="center" vertical="center" wrapText="1"/>
    </xf>
    <xf numFmtId="181" fontId="7" fillId="0" borderId="5" xfId="5" applyNumberFormat="1" applyFont="1" applyFill="1" applyBorder="1" applyAlignment="1">
      <alignment horizontal="center"/>
    </xf>
    <xf numFmtId="166" fontId="29" fillId="6" borderId="1" xfId="1" applyNumberFormat="1" applyFont="1" applyFill="1" applyBorder="1" applyAlignment="1">
      <alignment horizontal="center" vertical="center" wrapText="1"/>
    </xf>
    <xf numFmtId="3" fontId="29" fillId="6" borderId="1" xfId="1" applyNumberFormat="1" applyFont="1" applyFill="1" applyBorder="1" applyAlignment="1">
      <alignment horizontal="center" vertical="center" wrapText="1"/>
    </xf>
    <xf numFmtId="0" fontId="29" fillId="6" borderId="1" xfId="1" applyFont="1" applyFill="1" applyBorder="1" applyAlignment="1">
      <alignment horizontal="center" vertical="center" wrapText="1"/>
    </xf>
    <xf numFmtId="0" fontId="38" fillId="0" borderId="2" xfId="1" applyFont="1" applyBorder="1" applyAlignment="1">
      <alignment horizontal="center"/>
    </xf>
    <xf numFmtId="0" fontId="38" fillId="0" borderId="3" xfId="1" applyFont="1" applyBorder="1" applyAlignment="1">
      <alignment horizontal="center"/>
    </xf>
    <xf numFmtId="0" fontId="38" fillId="0" borderId="4" xfId="1" applyFont="1" applyBorder="1" applyAlignment="1">
      <alignment horizontal="center"/>
    </xf>
    <xf numFmtId="0" fontId="7" fillId="0" borderId="4" xfId="1" applyFont="1" applyBorder="1" applyAlignment="1">
      <alignment horizontal="center"/>
    </xf>
    <xf numFmtId="3" fontId="7" fillId="0" borderId="1" xfId="1" applyNumberFormat="1" applyFont="1" applyBorder="1" applyAlignment="1">
      <alignment horizontal="center"/>
    </xf>
    <xf numFmtId="0" fontId="20" fillId="0" borderId="1" xfId="1" applyFont="1" applyBorder="1" applyAlignment="1">
      <alignment horizontal="center"/>
    </xf>
    <xf numFmtId="3" fontId="20" fillId="0" borderId="1" xfId="1" applyNumberFormat="1" applyFont="1" applyBorder="1" applyAlignment="1">
      <alignment horizontal="center"/>
    </xf>
    <xf numFmtId="164" fontId="6" fillId="0" borderId="5" xfId="5" applyNumberFormat="1" applyFont="1" applyFill="1" applyBorder="1" applyAlignment="1">
      <alignment horizontal="centerContinuous"/>
    </xf>
    <xf numFmtId="173" fontId="7" fillId="0" borderId="0" xfId="5" applyNumberFormat="1" applyFont="1" applyFill="1" applyBorder="1" applyAlignment="1">
      <alignment horizontal="center"/>
    </xf>
    <xf numFmtId="164" fontId="30" fillId="0" borderId="5" xfId="5" applyNumberFormat="1" applyFont="1" applyFill="1" applyBorder="1" applyAlignment="1">
      <alignment horizontal="center"/>
    </xf>
    <xf numFmtId="173" fontId="6" fillId="0" borderId="0" xfId="1" applyNumberFormat="1" applyFont="1" applyAlignment="1">
      <alignment horizontal="center"/>
    </xf>
    <xf numFmtId="173" fontId="7" fillId="0" borderId="5" xfId="5" applyNumberFormat="1" applyFont="1" applyFill="1" applyBorder="1" applyAlignment="1">
      <alignment horizontal="center"/>
    </xf>
    <xf numFmtId="3" fontId="7" fillId="0" borderId="0" xfId="5" applyNumberFormat="1" applyFont="1" applyFill="1" applyBorder="1" applyAlignment="1">
      <alignment horizontal="center"/>
    </xf>
    <xf numFmtId="3" fontId="7" fillId="0" borderId="5" xfId="5" applyNumberFormat="1" applyFont="1" applyFill="1" applyBorder="1" applyAlignment="1">
      <alignment horizontal="center"/>
    </xf>
    <xf numFmtId="173" fontId="7" fillId="0" borderId="0" xfId="5" applyNumberFormat="1" applyFont="1" applyFill="1" applyBorder="1" applyAlignment="1">
      <alignment horizontal="left"/>
    </xf>
    <xf numFmtId="191" fontId="7" fillId="0" borderId="0" xfId="4" applyNumberFormat="1" applyFont="1" applyFill="1" applyBorder="1" applyAlignment="1">
      <alignment horizontal="center"/>
    </xf>
    <xf numFmtId="191" fontId="7" fillId="0" borderId="0" xfId="4" applyNumberFormat="1" applyFont="1" applyFill="1" applyAlignment="1">
      <alignment horizontal="center"/>
    </xf>
    <xf numFmtId="191" fontId="7" fillId="0" borderId="5" xfId="4" applyNumberFormat="1" applyFont="1" applyFill="1" applyBorder="1" applyAlignment="1">
      <alignment horizontal="center"/>
    </xf>
    <xf numFmtId="173" fontId="7" fillId="0" borderId="5" xfId="1" applyNumberFormat="1" applyFont="1" applyBorder="1" applyAlignment="1">
      <alignment horizontal="center"/>
    </xf>
    <xf numFmtId="191" fontId="7" fillId="0" borderId="0" xfId="1" applyNumberFormat="1" applyFont="1" applyAlignment="1">
      <alignment horizontal="center"/>
    </xf>
    <xf numFmtId="10" fontId="33" fillId="0" borderId="0" xfId="5" applyNumberFormat="1" applyFont="1" applyFill="1" applyAlignment="1">
      <alignment horizontal="center"/>
    </xf>
    <xf numFmtId="0" fontId="8" fillId="2" borderId="9" xfId="1" applyFont="1" applyFill="1" applyBorder="1" applyAlignment="1">
      <alignment vertical="center"/>
    </xf>
    <xf numFmtId="0" fontId="38" fillId="0" borderId="0" xfId="1" applyFont="1"/>
    <xf numFmtId="0" fontId="23" fillId="0" borderId="0" xfId="1" applyFont="1" applyAlignment="1">
      <alignment horizontal="center"/>
    </xf>
    <xf numFmtId="0" fontId="23" fillId="0" borderId="5" xfId="1" applyFont="1" applyBorder="1" applyAlignment="1">
      <alignment horizontal="center"/>
    </xf>
    <xf numFmtId="3" fontId="23" fillId="0" borderId="0" xfId="1" applyNumberFormat="1" applyFont="1" applyAlignment="1">
      <alignment horizontal="center"/>
    </xf>
    <xf numFmtId="10" fontId="23" fillId="0" borderId="0" xfId="5" applyNumberFormat="1" applyFont="1" applyFill="1" applyAlignment="1">
      <alignment horizontal="center"/>
    </xf>
    <xf numFmtId="10" fontId="23" fillId="0" borderId="0" xfId="5" applyNumberFormat="1" applyFont="1" applyFill="1" applyBorder="1" applyAlignment="1">
      <alignment horizontal="center"/>
    </xf>
    <xf numFmtId="0" fontId="28" fillId="0" borderId="0" xfId="1" applyFont="1" applyAlignment="1">
      <alignment horizontal="left"/>
    </xf>
    <xf numFmtId="0" fontId="7" fillId="0" borderId="5" xfId="1" quotePrefix="1" applyFont="1" applyBorder="1"/>
    <xf numFmtId="175" fontId="7" fillId="0" borderId="0" xfId="5" applyNumberFormat="1" applyFont="1" applyFill="1"/>
    <xf numFmtId="167" fontId="7" fillId="0" borderId="0" xfId="1" applyNumberFormat="1" applyFont="1" applyAlignment="1">
      <alignment horizontal="center"/>
    </xf>
    <xf numFmtId="167" fontId="7" fillId="0" borderId="0" xfId="1" quotePrefix="1" applyNumberFormat="1" applyFont="1" applyAlignment="1">
      <alignment horizontal="center"/>
    </xf>
    <xf numFmtId="3" fontId="4" fillId="2" borderId="1" xfId="1" applyNumberFormat="1" applyFont="1" applyFill="1" applyBorder="1" applyAlignment="1">
      <alignment horizontal="left" vertical="center"/>
    </xf>
    <xf numFmtId="176" fontId="4" fillId="2" borderId="1" xfId="1" applyNumberFormat="1" applyFont="1" applyFill="1" applyBorder="1" applyAlignment="1">
      <alignment horizontal="left"/>
    </xf>
    <xf numFmtId="9" fontId="4" fillId="2" borderId="1" xfId="1" applyNumberFormat="1" applyFont="1" applyFill="1" applyBorder="1" applyAlignment="1">
      <alignment horizontal="left" vertical="center"/>
    </xf>
    <xf numFmtId="10" fontId="6" fillId="0" borderId="0" xfId="5" applyNumberFormat="1" applyFont="1" applyFill="1" applyAlignment="1">
      <alignment horizontal="left"/>
    </xf>
    <xf numFmtId="0" fontId="23" fillId="0" borderId="0" xfId="1" applyFont="1" applyAlignment="1">
      <alignment horizontal="left" vertical="center" indent="5"/>
    </xf>
    <xf numFmtId="0" fontId="6" fillId="0" borderId="0" xfId="1" applyFont="1" applyAlignment="1">
      <alignment horizontal="center" vertical="center"/>
    </xf>
    <xf numFmtId="0" fontId="6" fillId="0" borderId="5" xfId="1" applyFont="1" applyBorder="1" applyAlignment="1">
      <alignment horizontal="center" vertical="center"/>
    </xf>
    <xf numFmtId="0" fontId="6" fillId="0" borderId="8" xfId="1" applyFont="1" applyBorder="1" applyAlignment="1">
      <alignment horizontal="center" vertical="center"/>
    </xf>
    <xf numFmtId="192" fontId="6" fillId="0" borderId="0" xfId="1" applyNumberFormat="1" applyFont="1" applyAlignment="1">
      <alignment horizontal="center" vertical="center"/>
    </xf>
    <xf numFmtId="164" fontId="6" fillId="0" borderId="0" xfId="5" applyNumberFormat="1" applyFont="1" applyFill="1" applyAlignment="1">
      <alignment horizontal="center" vertical="center"/>
    </xf>
    <xf numFmtId="164" fontId="6" fillId="0" borderId="5" xfId="5" applyNumberFormat="1" applyFont="1" applyFill="1" applyBorder="1" applyAlignment="1">
      <alignment horizontal="center" vertical="center"/>
    </xf>
    <xf numFmtId="192" fontId="6" fillId="0" borderId="0" xfId="1" applyNumberFormat="1" applyFont="1" applyAlignment="1">
      <alignment horizontal="left"/>
    </xf>
    <xf numFmtId="192" fontId="6" fillId="0" borderId="0" xfId="1" applyNumberFormat="1" applyFont="1" applyAlignment="1">
      <alignment horizontal="center"/>
    </xf>
    <xf numFmtId="37" fontId="6" fillId="0" borderId="0" xfId="4" applyNumberFormat="1" applyFont="1" applyFill="1" applyBorder="1" applyAlignment="1">
      <alignment horizontal="center" vertical="center"/>
    </xf>
    <xf numFmtId="37" fontId="6" fillId="0" borderId="5" xfId="4" applyNumberFormat="1" applyFont="1" applyFill="1" applyBorder="1" applyAlignment="1">
      <alignment horizontal="center" vertical="center"/>
    </xf>
    <xf numFmtId="37" fontId="7" fillId="0" borderId="0" xfId="1" applyNumberFormat="1" applyFont="1" applyAlignment="1">
      <alignment horizontal="center"/>
    </xf>
    <xf numFmtId="0" fontId="6" fillId="0" borderId="11" xfId="1" applyFont="1" applyBorder="1" applyAlignment="1">
      <alignment horizontal="center"/>
    </xf>
    <xf numFmtId="9" fontId="56" fillId="2" borderId="1" xfId="1" applyNumberFormat="1" applyFont="1" applyFill="1" applyBorder="1" applyAlignment="1">
      <alignment horizontal="center" vertical="center"/>
    </xf>
    <xf numFmtId="164" fontId="6" fillId="0" borderId="0" xfId="5" applyNumberFormat="1" applyFont="1" applyFill="1" applyBorder="1" applyAlignment="1">
      <alignment horizontal="center"/>
    </xf>
    <xf numFmtId="3" fontId="7" fillId="0" borderId="0" xfId="1" applyNumberFormat="1" applyFont="1" applyAlignment="1">
      <alignment horizontal="center" wrapText="1"/>
    </xf>
    <xf numFmtId="175" fontId="7" fillId="0" borderId="0" xfId="1" applyNumberFormat="1" applyFont="1" applyAlignment="1">
      <alignment horizontal="center"/>
    </xf>
    <xf numFmtId="175" fontId="6" fillId="0" borderId="0" xfId="1" applyNumberFormat="1" applyFont="1" applyAlignment="1">
      <alignment horizontal="center"/>
    </xf>
    <xf numFmtId="175" fontId="6" fillId="0" borderId="5" xfId="1" applyNumberFormat="1" applyFont="1" applyBorder="1" applyAlignment="1">
      <alignment horizontal="center"/>
    </xf>
    <xf numFmtId="3" fontId="6" fillId="0" borderId="5" xfId="1" applyNumberFormat="1" applyFont="1" applyBorder="1" applyAlignment="1">
      <alignment horizontal="center" wrapText="1"/>
    </xf>
    <xf numFmtId="10" fontId="6" fillId="0" borderId="0" xfId="5" applyNumberFormat="1" applyFont="1" applyFill="1" applyBorder="1" applyAlignment="1">
      <alignment horizontal="center"/>
    </xf>
    <xf numFmtId="3" fontId="6" fillId="0" borderId="0" xfId="1" applyNumberFormat="1" applyFont="1" applyAlignment="1">
      <alignment horizontal="center" wrapText="1"/>
    </xf>
    <xf numFmtId="9" fontId="4" fillId="2" borderId="0" xfId="1" applyNumberFormat="1" applyFont="1" applyFill="1" applyAlignment="1">
      <alignment horizontal="center"/>
    </xf>
    <xf numFmtId="0" fontId="8" fillId="2" borderId="0" xfId="1" applyFont="1" applyFill="1" applyAlignment="1">
      <alignment horizontal="center" vertical="center" wrapText="1"/>
    </xf>
    <xf numFmtId="166" fontId="4" fillId="2" borderId="1" xfId="1" applyNumberFormat="1" applyFont="1" applyFill="1" applyBorder="1" applyAlignment="1">
      <alignment horizontal="center" shrinkToFit="1"/>
    </xf>
    <xf numFmtId="166" fontId="4" fillId="2" borderId="0" xfId="1" applyNumberFormat="1" applyFont="1" applyFill="1" applyAlignment="1">
      <alignment horizontal="center" shrinkToFit="1"/>
    </xf>
    <xf numFmtId="193" fontId="4" fillId="2" borderId="1" xfId="1" applyNumberFormat="1" applyFont="1" applyFill="1" applyBorder="1" applyAlignment="1">
      <alignment horizontal="center"/>
    </xf>
    <xf numFmtId="0" fontId="7" fillId="0" borderId="0" xfId="1" applyFont="1" applyAlignment="1">
      <alignment horizontal="center" shrinkToFit="1"/>
    </xf>
    <xf numFmtId="0" fontId="7" fillId="0" borderId="5" xfId="1" applyFont="1" applyBorder="1" applyAlignment="1">
      <alignment horizontal="centerContinuous" shrinkToFit="1"/>
    </xf>
    <xf numFmtId="0" fontId="7" fillId="0" borderId="0" xfId="1" applyFont="1" applyAlignment="1">
      <alignment horizontal="centerContinuous" shrinkToFit="1"/>
    </xf>
    <xf numFmtId="15" fontId="30" fillId="2" borderId="0" xfId="1" applyNumberFormat="1" applyFont="1" applyFill="1"/>
    <xf numFmtId="176" fontId="6" fillId="0" borderId="0" xfId="1" applyNumberFormat="1" applyFont="1"/>
    <xf numFmtId="164" fontId="6" fillId="0" borderId="5" xfId="5" applyNumberFormat="1" applyFont="1" applyFill="1" applyBorder="1" applyAlignment="1">
      <alignment horizontal="center" wrapText="1"/>
    </xf>
    <xf numFmtId="0" fontId="5" fillId="6" borderId="1" xfId="1" applyFont="1" applyFill="1" applyBorder="1" applyAlignment="1">
      <alignment horizontal="center" vertical="center"/>
    </xf>
    <xf numFmtId="0" fontId="29" fillId="7" borderId="1" xfId="1" applyFont="1" applyFill="1" applyBorder="1" applyAlignment="1">
      <alignment horizontal="center" vertical="center"/>
    </xf>
    <xf numFmtId="2" fontId="4" fillId="2" borderId="1" xfId="1" applyNumberFormat="1" applyFont="1" applyFill="1" applyBorder="1" applyAlignment="1">
      <alignment horizontal="center" vertical="center" wrapText="1"/>
    </xf>
    <xf numFmtId="174" fontId="7" fillId="0" borderId="0" xfId="6" applyNumberFormat="1" applyFont="1" applyFill="1"/>
    <xf numFmtId="2" fontId="6" fillId="0" borderId="0" xfId="1" applyNumberFormat="1" applyFont="1"/>
    <xf numFmtId="174" fontId="6" fillId="0" borderId="0" xfId="6" applyNumberFormat="1" applyFont="1" applyFill="1"/>
    <xf numFmtId="10" fontId="4" fillId="0" borderId="0" xfId="1" applyNumberFormat="1" applyFont="1" applyAlignment="1">
      <alignment horizontal="center"/>
    </xf>
    <xf numFmtId="175" fontId="4" fillId="0" borderId="0" xfId="1" applyNumberFormat="1" applyFont="1" applyAlignment="1">
      <alignment horizontal="center"/>
    </xf>
    <xf numFmtId="175" fontId="7" fillId="0" borderId="0" xfId="5" applyNumberFormat="1" applyFont="1" applyFill="1" applyBorder="1" applyAlignment="1">
      <alignment horizontal="center"/>
    </xf>
    <xf numFmtId="175" fontId="7" fillId="0" borderId="5" xfId="5" applyNumberFormat="1" applyFont="1" applyFill="1" applyBorder="1" applyAlignment="1">
      <alignment horizontal="center"/>
    </xf>
    <xf numFmtId="175" fontId="7" fillId="0" borderId="1" xfId="1" applyNumberFormat="1" applyFont="1" applyBorder="1" applyAlignment="1">
      <alignment horizontal="center"/>
    </xf>
    <xf numFmtId="4" fontId="7" fillId="0" borderId="1" xfId="1" applyNumberFormat="1" applyFont="1" applyBorder="1" applyAlignment="1">
      <alignment horizontal="center"/>
    </xf>
    <xf numFmtId="9" fontId="6" fillId="0" borderId="0" xfId="1" applyNumberFormat="1" applyFont="1"/>
    <xf numFmtId="9" fontId="7" fillId="0" borderId="0" xfId="1" applyNumberFormat="1" applyFont="1" applyAlignment="1">
      <alignment horizontal="center" vertical="center" wrapText="1"/>
    </xf>
    <xf numFmtId="9" fontId="7" fillId="0" borderId="5" xfId="1" applyNumberFormat="1" applyFont="1" applyBorder="1" applyAlignment="1">
      <alignment horizontal="center" vertical="center" wrapText="1"/>
    </xf>
    <xf numFmtId="194" fontId="7" fillId="0" borderId="0" xfId="6" applyNumberFormat="1" applyFont="1" applyFill="1" applyAlignment="1">
      <alignment horizontal="center"/>
    </xf>
    <xf numFmtId="195" fontId="7" fillId="0" borderId="0" xfId="6" applyNumberFormat="1" applyFont="1" applyFill="1" applyAlignment="1">
      <alignment horizontal="center"/>
    </xf>
    <xf numFmtId="194" fontId="7" fillId="0" borderId="0" xfId="6" applyNumberFormat="1" applyFont="1" applyFill="1" applyBorder="1" applyAlignment="1">
      <alignment horizontal="center"/>
    </xf>
    <xf numFmtId="195" fontId="7" fillId="0" borderId="0" xfId="6" applyNumberFormat="1" applyFont="1" applyFill="1" applyBorder="1" applyAlignment="1">
      <alignment horizontal="center"/>
    </xf>
    <xf numFmtId="39" fontId="7" fillId="0" borderId="0" xfId="6" applyNumberFormat="1" applyFont="1" applyFill="1" applyAlignment="1">
      <alignment horizontal="center"/>
    </xf>
    <xf numFmtId="39" fontId="7" fillId="0" borderId="0" xfId="6" applyNumberFormat="1" applyFont="1" applyFill="1" applyBorder="1" applyAlignment="1">
      <alignment horizontal="center"/>
    </xf>
    <xf numFmtId="0" fontId="19" fillId="2" borderId="0" xfId="1" applyFont="1" applyFill="1" applyAlignment="1">
      <alignment horizontal="left"/>
    </xf>
    <xf numFmtId="0" fontId="6" fillId="0" borderId="0" xfId="1" applyFont="1" applyAlignment="1">
      <alignment horizontal="left" vertical="center" indent="2"/>
    </xf>
    <xf numFmtId="15" fontId="7" fillId="0" borderId="0" xfId="1" applyNumberFormat="1" applyFont="1" applyAlignment="1">
      <alignment horizontal="center"/>
    </xf>
    <xf numFmtId="10" fontId="30" fillId="0" borderId="0" xfId="1" applyNumberFormat="1" applyFont="1" applyAlignment="1">
      <alignment horizontal="center"/>
    </xf>
    <xf numFmtId="16" fontId="8" fillId="2" borderId="1" xfId="1" quotePrefix="1" applyNumberFormat="1" applyFont="1" applyFill="1" applyBorder="1" applyAlignment="1">
      <alignment horizontal="center" vertical="center"/>
    </xf>
    <xf numFmtId="3" fontId="61" fillId="0" borderId="0" xfId="1" applyNumberFormat="1" applyFont="1" applyAlignment="1">
      <alignment horizontal="center"/>
    </xf>
    <xf numFmtId="16" fontId="7" fillId="0" borderId="5" xfId="1" quotePrefix="1" applyNumberFormat="1" applyFont="1" applyBorder="1" applyAlignment="1">
      <alignment horizontal="center"/>
    </xf>
    <xf numFmtId="0" fontId="45" fillId="0" borderId="0" xfId="1" applyFont="1" applyAlignment="1">
      <alignment horizontal="left" vertical="center"/>
    </xf>
    <xf numFmtId="0" fontId="7" fillId="0" borderId="2" xfId="1" applyFont="1" applyBorder="1" applyAlignment="1">
      <alignment horizontal="center"/>
    </xf>
    <xf numFmtId="3" fontId="7" fillId="0" borderId="1" xfId="5" applyNumberFormat="1" applyFont="1" applyFill="1" applyBorder="1" applyAlignment="1">
      <alignment horizontal="center"/>
    </xf>
    <xf numFmtId="164" fontId="7" fillId="0" borderId="1" xfId="5" applyNumberFormat="1" applyFont="1" applyFill="1" applyBorder="1" applyAlignment="1">
      <alignment horizontal="center"/>
    </xf>
    <xf numFmtId="164" fontId="61" fillId="0" borderId="1" xfId="5" applyNumberFormat="1" applyFont="1" applyFill="1" applyBorder="1" applyAlignment="1">
      <alignment horizontal="center"/>
    </xf>
    <xf numFmtId="3" fontId="20" fillId="0" borderId="1" xfId="5" applyNumberFormat="1" applyFont="1" applyFill="1" applyBorder="1" applyAlignment="1">
      <alignment horizontal="center"/>
    </xf>
    <xf numFmtId="0" fontId="7" fillId="0" borderId="5" xfId="1" applyFont="1" applyBorder="1" applyAlignment="1">
      <alignment horizontal="centerContinuous" wrapText="1"/>
    </xf>
    <xf numFmtId="3" fontId="7" fillId="0" borderId="0" xfId="1" quotePrefix="1" applyNumberFormat="1" applyFont="1" applyAlignment="1">
      <alignment horizontal="right"/>
    </xf>
    <xf numFmtId="164" fontId="7" fillId="0" borderId="0" xfId="1" applyNumberFormat="1" applyFont="1" applyAlignment="1">
      <alignment horizontal="left"/>
    </xf>
    <xf numFmtId="3" fontId="7" fillId="0" borderId="5" xfId="1" quotePrefix="1" applyNumberFormat="1" applyFont="1" applyBorder="1" applyAlignment="1">
      <alignment horizontal="right"/>
    </xf>
    <xf numFmtId="164" fontId="7" fillId="0" borderId="5" xfId="1" applyNumberFormat="1" applyFont="1" applyBorder="1" applyAlignment="1">
      <alignment horizontal="left"/>
    </xf>
    <xf numFmtId="0" fontId="63" fillId="0" borderId="0" xfId="1" applyFont="1"/>
    <xf numFmtId="193" fontId="4" fillId="2" borderId="1" xfId="1" applyNumberFormat="1" applyFont="1" applyFill="1" applyBorder="1" applyAlignment="1">
      <alignment horizontal="center" vertical="center"/>
    </xf>
    <xf numFmtId="170" fontId="6" fillId="0" borderId="0" xfId="1" applyNumberFormat="1" applyFont="1" applyAlignment="1">
      <alignment horizontal="left"/>
    </xf>
    <xf numFmtId="170" fontId="23" fillId="0" borderId="0" xfId="1" applyNumberFormat="1" applyFont="1" applyAlignment="1">
      <alignment horizontal="center"/>
    </xf>
    <xf numFmtId="166" fontId="7" fillId="0" borderId="0" xfId="1" applyNumberFormat="1" applyFont="1"/>
    <xf numFmtId="176" fontId="6" fillId="0" borderId="0" xfId="1" applyNumberFormat="1" applyFont="1" applyAlignment="1">
      <alignment horizontal="center"/>
    </xf>
    <xf numFmtId="4" fontId="6" fillId="0" borderId="0" xfId="1" quotePrefix="1" applyNumberFormat="1" applyFont="1" applyAlignment="1">
      <alignment horizontal="center"/>
    </xf>
    <xf numFmtId="4" fontId="6" fillId="0" borderId="0" xfId="1" applyNumberFormat="1" applyFont="1"/>
    <xf numFmtId="164" fontId="6" fillId="0" borderId="5" xfId="1" applyNumberFormat="1" applyFont="1" applyBorder="1" applyAlignment="1">
      <alignment horizontal="center"/>
    </xf>
    <xf numFmtId="0" fontId="64" fillId="2" borderId="0" xfId="1" applyFont="1" applyFill="1" applyAlignment="1">
      <alignment horizontal="left" vertical="center"/>
    </xf>
    <xf numFmtId="0" fontId="65" fillId="0" borderId="0" xfId="1" applyFont="1"/>
    <xf numFmtId="10" fontId="33" fillId="0" borderId="0" xfId="1" applyNumberFormat="1" applyFont="1" applyAlignment="1">
      <alignment horizontal="center"/>
    </xf>
    <xf numFmtId="16" fontId="4" fillId="2" borderId="1" xfId="1" quotePrefix="1" applyNumberFormat="1" applyFont="1" applyFill="1" applyBorder="1" applyAlignment="1">
      <alignment horizontal="center" vertical="center"/>
    </xf>
    <xf numFmtId="0" fontId="4" fillId="2" borderId="0" xfId="1" applyFont="1" applyFill="1" applyAlignment="1">
      <alignment horizontal="right" vertical="center"/>
    </xf>
    <xf numFmtId="0" fontId="66" fillId="0" borderId="0" xfId="1" applyFont="1"/>
    <xf numFmtId="0" fontId="7" fillId="0" borderId="14" xfId="1" applyFont="1" applyBorder="1" applyAlignment="1">
      <alignment horizontal="center"/>
    </xf>
    <xf numFmtId="0" fontId="20" fillId="0" borderId="12" xfId="1" applyFont="1" applyBorder="1" applyAlignment="1">
      <alignment horizontal="left"/>
    </xf>
    <xf numFmtId="0" fontId="7" fillId="0" borderId="12" xfId="1" applyFont="1" applyBorder="1" applyAlignment="1">
      <alignment horizontal="center"/>
    </xf>
    <xf numFmtId="0" fontId="7" fillId="0" borderId="12" xfId="1" applyFont="1" applyBorder="1"/>
    <xf numFmtId="9" fontId="7" fillId="0" borderId="0" xfId="5" applyFont="1" applyFill="1"/>
    <xf numFmtId="1" fontId="6" fillId="0" borderId="5" xfId="1" applyNumberFormat="1" applyFont="1" applyBorder="1" applyAlignment="1">
      <alignment horizontal="center"/>
    </xf>
    <xf numFmtId="170" fontId="59" fillId="0" borderId="0" xfId="1" applyNumberFormat="1" applyFont="1" applyAlignment="1">
      <alignment horizontal="center"/>
    </xf>
    <xf numFmtId="0" fontId="7" fillId="0" borderId="0" xfId="1" quotePrefix="1" applyFont="1" applyAlignment="1">
      <alignment horizontal="left"/>
    </xf>
    <xf numFmtId="175" fontId="7" fillId="0" borderId="0" xfId="1" applyNumberFormat="1" applyFont="1" applyAlignment="1">
      <alignment horizontal="center" vertical="center"/>
    </xf>
    <xf numFmtId="0" fontId="24" fillId="0" borderId="12" xfId="1" applyFont="1" applyBorder="1"/>
    <xf numFmtId="0" fontId="56" fillId="2" borderId="0" xfId="1" applyFont="1" applyFill="1" applyAlignment="1">
      <alignment horizontal="left" vertical="top" wrapText="1"/>
    </xf>
    <xf numFmtId="0" fontId="0" fillId="0" borderId="0" xfId="0" applyAlignment="1">
      <alignment horizontal="center"/>
    </xf>
    <xf numFmtId="37" fontId="7" fillId="0" borderId="0" xfId="6" applyNumberFormat="1" applyFont="1" applyFill="1" applyAlignment="1">
      <alignment horizontal="center"/>
    </xf>
    <xf numFmtId="37" fontId="7" fillId="0" borderId="5" xfId="6" applyNumberFormat="1" applyFont="1" applyFill="1" applyBorder="1" applyAlignment="1">
      <alignment horizontal="center"/>
    </xf>
    <xf numFmtId="10" fontId="7" fillId="0" borderId="5" xfId="1" applyNumberFormat="1" applyFont="1" applyBorder="1"/>
    <xf numFmtId="37" fontId="7" fillId="0" borderId="0" xfId="6" applyNumberFormat="1" applyFont="1" applyFill="1" applyBorder="1" applyAlignment="1">
      <alignment horizontal="center"/>
    </xf>
    <xf numFmtId="37" fontId="6" fillId="0" borderId="0" xfId="6" applyNumberFormat="1" applyFont="1" applyFill="1" applyAlignment="1">
      <alignment horizontal="center"/>
    </xf>
    <xf numFmtId="173" fontId="4" fillId="2" borderId="1" xfId="1" applyNumberFormat="1" applyFont="1" applyFill="1" applyBorder="1" applyAlignment="1">
      <alignment horizontal="center" vertical="center" wrapText="1"/>
    </xf>
    <xf numFmtId="0" fontId="6" fillId="0" borderId="2" xfId="1" applyFont="1" applyBorder="1"/>
    <xf numFmtId="0" fontId="6" fillId="0" borderId="1" xfId="1" applyFont="1" applyBorder="1" applyAlignment="1">
      <alignment horizontal="centerContinuous"/>
    </xf>
    <xf numFmtId="0" fontId="7" fillId="0" borderId="4" xfId="1" applyFont="1" applyBorder="1" applyAlignment="1">
      <alignment horizontal="center" wrapText="1"/>
    </xf>
    <xf numFmtId="0" fontId="7" fillId="0" borderId="1" xfId="1" applyFont="1" applyBorder="1" applyAlignment="1">
      <alignment horizontal="center" wrapText="1"/>
    </xf>
    <xf numFmtId="0" fontId="6" fillId="0" borderId="4" xfId="1" applyFont="1" applyBorder="1" applyAlignment="1">
      <alignment horizontal="center"/>
    </xf>
    <xf numFmtId="170" fontId="6" fillId="0" borderId="1" xfId="1" applyNumberFormat="1" applyFont="1" applyBorder="1" applyAlignment="1">
      <alignment horizontal="center"/>
    </xf>
    <xf numFmtId="173" fontId="6" fillId="0" borderId="1" xfId="1" applyNumberFormat="1" applyFont="1" applyBorder="1" applyAlignment="1">
      <alignment horizontal="center"/>
    </xf>
    <xf numFmtId="170" fontId="7" fillId="0" borderId="0" xfId="1" applyNumberFormat="1" applyFont="1"/>
    <xf numFmtId="15" fontId="6" fillId="0" borderId="12" xfId="1" applyNumberFormat="1" applyFont="1" applyBorder="1" applyAlignment="1">
      <alignment horizontal="center"/>
    </xf>
    <xf numFmtId="15" fontId="6" fillId="0" borderId="0" xfId="1" applyNumberFormat="1" applyFont="1" applyAlignment="1">
      <alignment horizontal="center"/>
    </xf>
    <xf numFmtId="0" fontId="6" fillId="0" borderId="12" xfId="1" applyFont="1" applyBorder="1" applyAlignment="1">
      <alignment horizontal="center"/>
    </xf>
    <xf numFmtId="196" fontId="7" fillId="0" borderId="5" xfId="1" applyNumberFormat="1" applyFont="1" applyBorder="1" applyAlignment="1">
      <alignment horizontal="center"/>
    </xf>
    <xf numFmtId="0" fontId="67" fillId="0" borderId="0" xfId="1" applyFont="1"/>
    <xf numFmtId="15" fontId="30" fillId="0" borderId="0" xfId="1" applyNumberFormat="1" applyFont="1"/>
    <xf numFmtId="189" fontId="6" fillId="0" borderId="0" xfId="1" applyNumberFormat="1" applyFont="1"/>
    <xf numFmtId="171" fontId="6" fillId="0" borderId="0" xfId="1" applyNumberFormat="1" applyFont="1"/>
    <xf numFmtId="3" fontId="7" fillId="0" borderId="0" xfId="6" applyNumberFormat="1" applyFont="1" applyFill="1" applyAlignment="1">
      <alignment horizontal="center"/>
    </xf>
    <xf numFmtId="3" fontId="7" fillId="0" borderId="5" xfId="6" applyNumberFormat="1" applyFont="1" applyFill="1" applyBorder="1" applyAlignment="1">
      <alignment horizontal="center"/>
    </xf>
    <xf numFmtId="164" fontId="7" fillId="0" borderId="11" xfId="5" applyNumberFormat="1" applyFont="1" applyFill="1" applyBorder="1" applyAlignment="1">
      <alignment horizontal="center"/>
    </xf>
    <xf numFmtId="0" fontId="61" fillId="0" borderId="0" xfId="1" applyFont="1" applyAlignment="1">
      <alignment horizontal="right"/>
    </xf>
    <xf numFmtId="0" fontId="7" fillId="0" borderId="14" xfId="1" applyFont="1" applyBorder="1"/>
    <xf numFmtId="14" fontId="7" fillId="0" borderId="5" xfId="1" quotePrefix="1" applyNumberFormat="1" applyFont="1" applyBorder="1" applyAlignment="1">
      <alignment horizontal="center"/>
    </xf>
    <xf numFmtId="9" fontId="7" fillId="0" borderId="0" xfId="5" applyFont="1" applyFill="1" applyBorder="1" applyAlignment="1">
      <alignment horizontal="center"/>
    </xf>
    <xf numFmtId="0" fontId="7" fillId="0" borderId="5" xfId="1" applyFont="1" applyBorder="1" applyAlignment="1">
      <alignment horizontal="right"/>
    </xf>
    <xf numFmtId="174" fontId="7" fillId="0" borderId="11" xfId="1" applyNumberFormat="1" applyFont="1" applyBorder="1"/>
    <xf numFmtId="197" fontId="4" fillId="2" borderId="1" xfId="1" applyNumberFormat="1" applyFont="1" applyFill="1" applyBorder="1" applyAlignment="1">
      <alignment horizontal="center" vertical="center"/>
    </xf>
    <xf numFmtId="0" fontId="30" fillId="0" borderId="0" xfId="1" applyFont="1"/>
    <xf numFmtId="198" fontId="30" fillId="0" borderId="0" xfId="1" applyNumberFormat="1" applyFont="1"/>
    <xf numFmtId="0" fontId="7" fillId="0" borderId="0" xfId="1" applyFont="1" applyAlignment="1">
      <alignment wrapText="1"/>
    </xf>
    <xf numFmtId="37" fontId="7" fillId="0" borderId="0" xfId="1" quotePrefix="1" applyNumberFormat="1" applyFont="1" applyAlignment="1">
      <alignment horizontal="center" vertical="top" wrapText="1"/>
    </xf>
    <xf numFmtId="9" fontId="7" fillId="0" borderId="0" xfId="5" quotePrefix="1" applyFont="1" applyFill="1" applyAlignment="1">
      <alignment horizontal="center" vertical="top" wrapText="1"/>
    </xf>
    <xf numFmtId="198" fontId="7" fillId="0" borderId="0" xfId="1" applyNumberFormat="1" applyFont="1" applyAlignment="1">
      <alignment horizontal="center"/>
    </xf>
    <xf numFmtId="174" fontId="7" fillId="0" borderId="0" xfId="6" applyNumberFormat="1" applyFont="1" applyFill="1" applyBorder="1"/>
    <xf numFmtId="43" fontId="7" fillId="0" borderId="0" xfId="6" applyFont="1" applyFill="1" applyBorder="1"/>
    <xf numFmtId="174" fontId="7" fillId="0" borderId="0" xfId="6" applyNumberFormat="1" applyFont="1" applyFill="1" applyAlignment="1">
      <alignment horizontal="right"/>
    </xf>
    <xf numFmtId="174" fontId="20" fillId="0" borderId="0" xfId="6" applyNumberFormat="1" applyFont="1" applyFill="1" applyAlignment="1">
      <alignment horizontal="center"/>
    </xf>
    <xf numFmtId="199" fontId="7" fillId="0" borderId="0" xfId="1" applyNumberFormat="1" applyFont="1" applyAlignment="1">
      <alignment horizontal="center"/>
    </xf>
    <xf numFmtId="198" fontId="7" fillId="0" borderId="5" xfId="1" applyNumberFormat="1" applyFont="1" applyBorder="1" applyAlignment="1">
      <alignment horizontal="center"/>
    </xf>
    <xf numFmtId="199" fontId="7" fillId="0" borderId="5" xfId="1" applyNumberFormat="1" applyFont="1" applyBorder="1" applyAlignment="1">
      <alignment horizontal="center"/>
    </xf>
    <xf numFmtId="174" fontId="20" fillId="0" borderId="0" xfId="6" applyNumberFormat="1" applyFont="1" applyFill="1" applyAlignment="1">
      <alignment horizontal="right"/>
    </xf>
    <xf numFmtId="0" fontId="7" fillId="0" borderId="3" xfId="1" applyFont="1" applyBorder="1" applyAlignment="1">
      <alignment horizontal="center"/>
    </xf>
    <xf numFmtId="2" fontId="7" fillId="0" borderId="1" xfId="1" applyNumberFormat="1" applyFont="1" applyBorder="1" applyAlignment="1">
      <alignment horizontal="center"/>
    </xf>
    <xf numFmtId="10" fontId="6" fillId="0" borderId="1" xfId="1" applyNumberFormat="1" applyFont="1" applyBorder="1" applyAlignment="1">
      <alignment horizontal="center"/>
    </xf>
    <xf numFmtId="0" fontId="6" fillId="0" borderId="5" xfId="1" quotePrefix="1" applyFont="1" applyBorder="1" applyAlignment="1">
      <alignment horizontal="center"/>
    </xf>
    <xf numFmtId="3" fontId="7" fillId="6" borderId="1" xfId="1" applyNumberFormat="1" applyFont="1" applyFill="1" applyBorder="1" applyAlignment="1">
      <alignment horizontal="center"/>
    </xf>
    <xf numFmtId="3" fontId="7" fillId="8" borderId="1" xfId="1" applyNumberFormat="1" applyFont="1" applyFill="1" applyBorder="1" applyAlignment="1">
      <alignment horizontal="center"/>
    </xf>
    <xf numFmtId="3" fontId="6" fillId="6" borderId="0" xfId="1" applyNumberFormat="1" applyFont="1" applyFill="1"/>
    <xf numFmtId="3" fontId="6" fillId="8" borderId="0" xfId="1" applyNumberFormat="1" applyFont="1" applyFill="1"/>
    <xf numFmtId="0" fontId="4" fillId="0" borderId="0" xfId="1" quotePrefix="1" applyFont="1"/>
    <xf numFmtId="9" fontId="4" fillId="0" borderId="0" xfId="1" applyNumberFormat="1" applyFont="1"/>
    <xf numFmtId="0" fontId="6" fillId="0" borderId="5" xfId="1" applyFont="1" applyBorder="1" applyAlignment="1">
      <alignment horizontal="left"/>
    </xf>
    <xf numFmtId="0" fontId="56" fillId="2" borderId="0" xfId="1" applyFont="1" applyFill="1" applyAlignment="1">
      <alignment horizontal="left" vertical="center" wrapText="1"/>
    </xf>
    <xf numFmtId="3" fontId="56" fillId="2" borderId="1" xfId="1" applyNumberFormat="1" applyFont="1" applyFill="1" applyBorder="1" applyAlignment="1">
      <alignment horizontal="center" vertical="center" wrapText="1"/>
    </xf>
    <xf numFmtId="3" fontId="61" fillId="0" borderId="0" xfId="1" applyNumberFormat="1" applyFont="1" applyAlignment="1">
      <alignment horizontal="center" vertical="center" wrapText="1"/>
    </xf>
    <xf numFmtId="0" fontId="6" fillId="0" borderId="0" xfId="1" applyFont="1" applyAlignment="1">
      <alignment horizontal="center" vertical="center" wrapText="1"/>
    </xf>
    <xf numFmtId="0" fontId="6" fillId="0" borderId="5" xfId="1" applyFont="1" applyBorder="1" applyAlignment="1">
      <alignment horizontal="center" vertical="center" wrapText="1"/>
    </xf>
    <xf numFmtId="3" fontId="59" fillId="0" borderId="0" xfId="1" applyNumberFormat="1" applyFont="1" applyAlignment="1">
      <alignment horizontal="center"/>
    </xf>
    <xf numFmtId="173" fontId="6" fillId="0" borderId="5" xfId="1" applyNumberFormat="1" applyFont="1" applyBorder="1" applyAlignment="1">
      <alignment horizontal="center"/>
    </xf>
    <xf numFmtId="0" fontId="2" fillId="0" borderId="0" xfId="1" applyAlignment="1">
      <alignment horizontal="left"/>
    </xf>
    <xf numFmtId="195" fontId="6" fillId="0" borderId="0" xfId="6" applyNumberFormat="1" applyFont="1" applyFill="1" applyAlignment="1">
      <alignment horizontal="center" vertical="center"/>
    </xf>
    <xf numFmtId="9" fontId="6" fillId="0" borderId="0" xfId="5" applyFont="1" applyFill="1" applyAlignment="1">
      <alignment horizontal="center"/>
    </xf>
    <xf numFmtId="195" fontId="6" fillId="0" borderId="5" xfId="6" applyNumberFormat="1" applyFont="1" applyFill="1" applyBorder="1" applyAlignment="1">
      <alignment horizontal="center" vertical="center"/>
    </xf>
    <xf numFmtId="9" fontId="6" fillId="0" borderId="5" xfId="5" applyFont="1" applyFill="1" applyBorder="1" applyAlignment="1">
      <alignment horizontal="center"/>
    </xf>
    <xf numFmtId="3" fontId="6" fillId="0" borderId="0" xfId="6" applyNumberFormat="1" applyFont="1" applyFill="1" applyAlignment="1">
      <alignment horizontal="center" vertical="center"/>
    </xf>
    <xf numFmtId="194" fontId="6" fillId="0" borderId="0" xfId="6" applyNumberFormat="1" applyFont="1" applyFill="1" applyAlignment="1">
      <alignment horizontal="center" vertical="center"/>
    </xf>
    <xf numFmtId="3" fontId="6" fillId="0" borderId="0" xfId="6" applyNumberFormat="1" applyFont="1" applyFill="1" applyAlignment="1">
      <alignment horizontal="center"/>
    </xf>
    <xf numFmtId="3" fontId="6" fillId="0" borderId="5" xfId="6" applyNumberFormat="1" applyFont="1" applyFill="1" applyBorder="1" applyAlignment="1">
      <alignment horizontal="center" vertical="center"/>
    </xf>
    <xf numFmtId="194" fontId="6" fillId="0" borderId="5" xfId="6" applyNumberFormat="1" applyFont="1" applyFill="1" applyBorder="1" applyAlignment="1">
      <alignment horizontal="center" vertical="center"/>
    </xf>
    <xf numFmtId="3" fontId="6" fillId="0" borderId="5" xfId="6" applyNumberFormat="1" applyFont="1" applyFill="1" applyBorder="1" applyAlignment="1">
      <alignment horizontal="center"/>
    </xf>
    <xf numFmtId="200" fontId="6" fillId="0" borderId="0" xfId="6" applyNumberFormat="1" applyFont="1" applyFill="1" applyAlignment="1">
      <alignment horizontal="center"/>
    </xf>
    <xf numFmtId="4" fontId="6" fillId="0" borderId="0" xfId="6" applyNumberFormat="1" applyFont="1" applyFill="1" applyAlignment="1">
      <alignment horizontal="center"/>
    </xf>
    <xf numFmtId="169" fontId="6" fillId="0" borderId="0" xfId="6" applyNumberFormat="1" applyFont="1" applyFill="1" applyAlignment="1">
      <alignment horizontal="center"/>
    </xf>
    <xf numFmtId="200" fontId="6" fillId="0" borderId="5" xfId="6" applyNumberFormat="1" applyFont="1" applyFill="1" applyBorder="1" applyAlignment="1">
      <alignment horizontal="center"/>
    </xf>
    <xf numFmtId="4" fontId="6" fillId="0" borderId="5" xfId="6" applyNumberFormat="1" applyFont="1" applyFill="1" applyBorder="1" applyAlignment="1">
      <alignment horizontal="center"/>
    </xf>
    <xf numFmtId="169" fontId="6" fillId="0" borderId="5" xfId="6" applyNumberFormat="1" applyFont="1" applyFill="1" applyBorder="1" applyAlignment="1">
      <alignment horizontal="center"/>
    </xf>
    <xf numFmtId="39" fontId="6" fillId="0" borderId="0" xfId="6" applyNumberFormat="1" applyFont="1" applyFill="1" applyAlignment="1">
      <alignment horizontal="center"/>
    </xf>
    <xf numFmtId="37" fontId="6" fillId="0" borderId="5" xfId="6" applyNumberFormat="1" applyFont="1" applyFill="1" applyBorder="1" applyAlignment="1">
      <alignment horizontal="center"/>
    </xf>
    <xf numFmtId="39" fontId="6" fillId="0" borderId="5" xfId="6" applyNumberFormat="1" applyFont="1" applyFill="1" applyBorder="1" applyAlignment="1">
      <alignment horizontal="center"/>
    </xf>
    <xf numFmtId="0" fontId="18" fillId="2" borderId="1" xfId="1" applyFont="1" applyFill="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3" xfId="1" applyFont="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21" fillId="2" borderId="1" xfId="1" applyFont="1" applyFill="1" applyBorder="1" applyAlignment="1">
      <alignment horizontal="center" wrapText="1"/>
    </xf>
    <xf numFmtId="0" fontId="27" fillId="0" borderId="0" xfId="1" applyFont="1" applyAlignment="1">
      <alignment horizontal="center"/>
    </xf>
    <xf numFmtId="0" fontId="6" fillId="0" borderId="0" xfId="1" applyFont="1" applyAlignment="1">
      <alignment horizontal="center"/>
    </xf>
    <xf numFmtId="0" fontId="8" fillId="2" borderId="9" xfId="1" applyFont="1" applyFill="1" applyBorder="1" applyAlignment="1">
      <alignment horizontal="center"/>
    </xf>
    <xf numFmtId="0" fontId="8" fillId="2" borderId="10" xfId="1" applyFont="1" applyFill="1" applyBorder="1" applyAlignment="1">
      <alignment horizontal="center"/>
    </xf>
    <xf numFmtId="0" fontId="8" fillId="2" borderId="11" xfId="1" applyFont="1" applyFill="1" applyBorder="1" applyAlignment="1">
      <alignment horizontal="center"/>
    </xf>
    <xf numFmtId="0" fontId="8" fillId="2" borderId="12" xfId="1" applyFont="1" applyFill="1" applyBorder="1" applyAlignment="1">
      <alignment horizontal="center"/>
    </xf>
    <xf numFmtId="0" fontId="8" fillId="2" borderId="13" xfId="1" applyFont="1" applyFill="1" applyBorder="1" applyAlignment="1">
      <alignment horizontal="center"/>
    </xf>
    <xf numFmtId="0" fontId="8" fillId="2" borderId="0" xfId="1" applyFont="1" applyFill="1" applyAlignment="1">
      <alignment horizontal="center"/>
    </xf>
    <xf numFmtId="0" fontId="7" fillId="3" borderId="0" xfId="1" applyFont="1" applyFill="1" applyAlignment="1">
      <alignment horizontal="center"/>
    </xf>
    <xf numFmtId="0" fontId="7" fillId="0" borderId="5" xfId="1" applyFont="1" applyBorder="1" applyAlignment="1">
      <alignment horizontal="center"/>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xf>
    <xf numFmtId="0" fontId="21" fillId="2" borderId="1" xfId="1" applyFont="1" applyFill="1" applyBorder="1" applyAlignment="1">
      <alignment horizontal="center" vertical="center" wrapText="1"/>
    </xf>
    <xf numFmtId="0" fontId="8" fillId="2" borderId="1" xfId="1" applyFont="1" applyFill="1" applyBorder="1" applyAlignment="1">
      <alignment horizontal="center" wrapText="1"/>
    </xf>
    <xf numFmtId="0" fontId="8" fillId="2" borderId="1" xfId="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0" fontId="4" fillId="2" borderId="0" xfId="1" applyFont="1" applyFill="1" applyAlignment="1">
      <alignment wrapText="1"/>
    </xf>
    <xf numFmtId="0" fontId="2" fillId="0" borderId="0" xfId="1" applyAlignment="1">
      <alignment wrapText="1"/>
    </xf>
    <xf numFmtId="0" fontId="8" fillId="2" borderId="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5" xfId="1" applyFont="1" applyFill="1" applyBorder="1" applyAlignment="1">
      <alignment horizontal="center" vertical="center"/>
    </xf>
    <xf numFmtId="176" fontId="4" fillId="2" borderId="4" xfId="1" applyNumberFormat="1" applyFont="1" applyFill="1" applyBorder="1" applyAlignment="1">
      <alignment horizontal="center" vertical="center"/>
    </xf>
    <xf numFmtId="176" fontId="4" fillId="2" borderId="1" xfId="1" applyNumberFormat="1" applyFont="1" applyFill="1" applyBorder="1" applyAlignment="1">
      <alignment horizontal="center" vertical="center"/>
    </xf>
    <xf numFmtId="0" fontId="2" fillId="2" borderId="0" xfId="1" applyFill="1" applyAlignment="1">
      <alignment wrapText="1"/>
    </xf>
    <xf numFmtId="0" fontId="8" fillId="2" borderId="1" xfId="1" applyFont="1" applyFill="1" applyBorder="1" applyAlignment="1">
      <alignment horizontal="center" vertical="center"/>
    </xf>
    <xf numFmtId="0" fontId="7" fillId="0" borderId="0" xfId="1" applyFont="1" applyAlignment="1">
      <alignment horizontal="center" wrapText="1"/>
    </xf>
    <xf numFmtId="0" fontId="7" fillId="0" borderId="5" xfId="1" applyFont="1" applyBorder="1" applyAlignment="1">
      <alignment horizontal="center" wrapText="1"/>
    </xf>
    <xf numFmtId="0" fontId="7" fillId="0" borderId="0" xfId="1" applyFont="1" applyAlignment="1">
      <alignment horizontal="center"/>
    </xf>
    <xf numFmtId="0" fontId="8" fillId="2" borderId="9" xfId="1" applyFont="1" applyFill="1" applyBorder="1" applyAlignment="1">
      <alignment horizontal="center" vertical="center" wrapText="1"/>
    </xf>
    <xf numFmtId="0" fontId="2" fillId="2" borderId="10" xfId="1" applyFill="1" applyBorder="1" applyAlignment="1">
      <alignment wrapText="1"/>
    </xf>
    <xf numFmtId="0" fontId="2" fillId="2" borderId="14" xfId="1" applyFill="1" applyBorder="1" applyAlignment="1">
      <alignment wrapText="1"/>
    </xf>
    <xf numFmtId="0" fontId="2" fillId="2" borderId="15" xfId="1" applyFill="1" applyBorder="1" applyAlignment="1">
      <alignment wrapText="1"/>
    </xf>
    <xf numFmtId="0" fontId="8" fillId="2" borderId="6" xfId="1" applyFont="1" applyFill="1" applyBorder="1" applyAlignment="1">
      <alignment horizontal="center" wrapText="1"/>
    </xf>
    <xf numFmtId="0" fontId="8" fillId="2" borderId="4" xfId="1" applyFont="1" applyFill="1" applyBorder="1" applyAlignment="1">
      <alignment horizontal="center" wrapText="1"/>
    </xf>
    <xf numFmtId="0" fontId="4" fillId="2" borderId="0" xfId="1" applyFont="1" applyFill="1" applyAlignment="1">
      <alignment vertical="center" wrapText="1"/>
    </xf>
    <xf numFmtId="0" fontId="8" fillId="2" borderId="10"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5"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1" xfId="1" applyFont="1" applyFill="1" applyBorder="1" applyAlignment="1">
      <alignment horizontal="left" vertical="center"/>
    </xf>
    <xf numFmtId="0" fontId="4" fillId="2" borderId="14" xfId="1" applyFont="1" applyFill="1" applyBorder="1" applyAlignment="1">
      <alignment horizontal="left" vertical="center"/>
    </xf>
    <xf numFmtId="0" fontId="4" fillId="2" borderId="15" xfId="1" applyFont="1" applyFill="1" applyBorder="1" applyAlignment="1">
      <alignment horizontal="left" vertical="center"/>
    </xf>
    <xf numFmtId="0" fontId="4" fillId="2" borderId="4" xfId="1" applyFont="1" applyFill="1" applyBorder="1" applyAlignment="1">
      <alignment horizontal="left" vertical="center"/>
    </xf>
    <xf numFmtId="0" fontId="4" fillId="2" borderId="0" xfId="1" quotePrefix="1" applyFont="1" applyFill="1" applyAlignment="1">
      <alignment wrapText="1"/>
    </xf>
    <xf numFmtId="0" fontId="6" fillId="3" borderId="5" xfId="1" applyFont="1" applyFill="1" applyBorder="1" applyAlignment="1">
      <alignment horizontal="center"/>
    </xf>
    <xf numFmtId="0" fontId="6" fillId="0" borderId="5" xfId="1" applyFont="1" applyBorder="1" applyAlignment="1">
      <alignment horizontal="center"/>
    </xf>
    <xf numFmtId="0" fontId="8" fillId="2" borderId="9" xfId="1" applyFont="1" applyFill="1" applyBorder="1" applyAlignment="1">
      <alignment horizontal="center" wrapText="1"/>
    </xf>
    <xf numFmtId="0" fontId="2" fillId="2" borderId="11" xfId="1" applyFill="1" applyBorder="1" applyAlignment="1">
      <alignment horizontal="center" wrapText="1"/>
    </xf>
    <xf numFmtId="0" fontId="2" fillId="2" borderId="10" xfId="1" applyFill="1" applyBorder="1" applyAlignment="1">
      <alignment horizontal="center" wrapText="1"/>
    </xf>
    <xf numFmtId="0" fontId="2" fillId="2" borderId="14" xfId="1" applyFill="1" applyBorder="1" applyAlignment="1">
      <alignment horizontal="center" wrapText="1"/>
    </xf>
    <xf numFmtId="0" fontId="2" fillId="2" borderId="5" xfId="1" applyFill="1" applyBorder="1" applyAlignment="1">
      <alignment horizontal="center" wrapText="1"/>
    </xf>
    <xf numFmtId="0" fontId="2" fillId="2" borderId="15" xfId="1" applyFill="1" applyBorder="1" applyAlignment="1">
      <alignment horizontal="center" wrapText="1"/>
    </xf>
    <xf numFmtId="0" fontId="2" fillId="2" borderId="4" xfId="1" applyFill="1" applyBorder="1" applyAlignment="1">
      <alignment horizontal="center" wrapText="1"/>
    </xf>
    <xf numFmtId="0" fontId="4" fillId="2" borderId="12" xfId="1" applyFont="1" applyFill="1" applyBorder="1" applyAlignment="1">
      <alignment wrapText="1"/>
    </xf>
    <xf numFmtId="0" fontId="19" fillId="2" borderId="0" xfId="1" applyFont="1" applyFill="1" applyAlignment="1">
      <alignment wrapText="1"/>
    </xf>
    <xf numFmtId="0" fontId="19" fillId="2" borderId="14" xfId="1" applyFont="1" applyFill="1" applyBorder="1" applyAlignment="1">
      <alignment wrapText="1"/>
    </xf>
    <xf numFmtId="0" fontId="19" fillId="2" borderId="5" xfId="1" applyFont="1" applyFill="1" applyBorder="1" applyAlignment="1">
      <alignment wrapText="1"/>
    </xf>
    <xf numFmtId="0" fontId="26" fillId="0" borderId="0" xfId="1" applyFont="1" applyAlignment="1">
      <alignment horizontal="center" vertical="center" wrapText="1"/>
    </xf>
    <xf numFmtId="0" fontId="28" fillId="0" borderId="0" xfId="1" applyFont="1" applyAlignment="1">
      <alignment horizontal="center"/>
    </xf>
    <xf numFmtId="0" fontId="7" fillId="3" borderId="5" xfId="1" applyFont="1" applyFill="1" applyBorder="1" applyAlignment="1">
      <alignment horizontal="center"/>
    </xf>
    <xf numFmtId="0" fontId="39" fillId="0" borderId="0" xfId="1" applyFont="1" applyAlignment="1">
      <alignment horizontal="center"/>
    </xf>
    <xf numFmtId="0" fontId="8" fillId="2" borderId="11"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1" fillId="0" borderId="0" xfId="1" applyFont="1" applyAlignment="1">
      <alignment horizontal="center" wrapText="1"/>
    </xf>
    <xf numFmtId="0" fontId="4" fillId="2" borderId="0" xfId="1" quotePrefix="1" applyFont="1" applyFill="1" applyAlignment="1">
      <alignment vertical="center" wrapText="1"/>
    </xf>
    <xf numFmtId="0" fontId="7" fillId="0" borderId="0" xfId="1" applyFont="1" applyAlignment="1">
      <alignment horizontal="center" vertical="center"/>
    </xf>
    <xf numFmtId="0" fontId="41" fillId="0" borderId="0" xfId="1" applyFont="1" applyAlignment="1">
      <alignment horizontal="center" vertical="center"/>
    </xf>
    <xf numFmtId="0" fontId="41" fillId="0" borderId="5" xfId="1" applyFont="1" applyBorder="1" applyAlignment="1">
      <alignment horizontal="center" wrapText="1"/>
    </xf>
    <xf numFmtId="0" fontId="6" fillId="0" borderId="0" xfId="1" applyFont="1" applyAlignment="1">
      <alignment wrapText="1"/>
    </xf>
    <xf numFmtId="0" fontId="8" fillId="2" borderId="7" xfId="1" applyFont="1" applyFill="1" applyBorder="1" applyAlignment="1">
      <alignment horizontal="center" wrapText="1"/>
    </xf>
    <xf numFmtId="0" fontId="8" fillId="2" borderId="10" xfId="1" applyFont="1" applyFill="1" applyBorder="1" applyAlignment="1">
      <alignment horizontal="center" wrapText="1"/>
    </xf>
    <xf numFmtId="0" fontId="8" fillId="2" borderId="14" xfId="1" applyFont="1" applyFill="1" applyBorder="1" applyAlignment="1">
      <alignment horizontal="center" wrapText="1"/>
    </xf>
    <xf numFmtId="0" fontId="8" fillId="2" borderId="15" xfId="1" applyFont="1" applyFill="1" applyBorder="1" applyAlignment="1">
      <alignment horizontal="center" wrapText="1"/>
    </xf>
    <xf numFmtId="0" fontId="6" fillId="0" borderId="0" xfId="1" applyFont="1" applyAlignment="1">
      <alignment horizontal="right"/>
    </xf>
    <xf numFmtId="0" fontId="8" fillId="2" borderId="3" xfId="1" applyFont="1" applyFill="1" applyBorder="1" applyAlignment="1">
      <alignment horizontal="center" wrapText="1"/>
    </xf>
    <xf numFmtId="0" fontId="4" fillId="2" borderId="1" xfId="1" applyFont="1" applyFill="1" applyBorder="1" applyAlignment="1">
      <alignment vertical="center" wrapText="1"/>
    </xf>
    <xf numFmtId="0" fontId="6" fillId="0" borderId="13" xfId="1" applyFont="1" applyBorder="1" applyAlignment="1">
      <alignment horizontal="center" wrapText="1"/>
    </xf>
    <xf numFmtId="0" fontId="6" fillId="0" borderId="15" xfId="1" applyFont="1" applyBorder="1" applyAlignment="1">
      <alignment horizontal="center" wrapText="1"/>
    </xf>
    <xf numFmtId="0" fontId="8" fillId="2" borderId="1" xfId="1" applyFont="1" applyFill="1" applyBorder="1" applyAlignment="1">
      <alignment vertical="center"/>
    </xf>
    <xf numFmtId="0" fontId="8" fillId="2" borderId="1" xfId="1" applyFont="1" applyFill="1" applyBorder="1" applyAlignment="1">
      <alignment horizontal="center"/>
    </xf>
    <xf numFmtId="3" fontId="8" fillId="2" borderId="7" xfId="1" applyNumberFormat="1" applyFont="1" applyFill="1" applyBorder="1" applyAlignment="1">
      <alignment horizontal="center" vertical="center"/>
    </xf>
    <xf numFmtId="3" fontId="8" fillId="2" borderId="8" xfId="1" applyNumberFormat="1" applyFont="1" applyFill="1" applyBorder="1" applyAlignment="1">
      <alignment horizontal="center" vertical="center"/>
    </xf>
    <xf numFmtId="3" fontId="8" fillId="2" borderId="3" xfId="1" applyNumberFormat="1" applyFont="1" applyFill="1" applyBorder="1" applyAlignment="1">
      <alignment horizontal="center" vertical="center"/>
    </xf>
    <xf numFmtId="0" fontId="34" fillId="0" borderId="0" xfId="1" applyFont="1" applyAlignment="1">
      <alignment horizontal="center"/>
    </xf>
    <xf numFmtId="3" fontId="4" fillId="2" borderId="7" xfId="1" applyNumberFormat="1" applyFont="1" applyFill="1" applyBorder="1" applyAlignment="1">
      <alignment horizontal="center" vertical="center"/>
    </xf>
    <xf numFmtId="3" fontId="4" fillId="2" borderId="8" xfId="1" applyNumberFormat="1" applyFont="1" applyFill="1" applyBorder="1" applyAlignment="1">
      <alignment horizontal="center" vertical="center"/>
    </xf>
    <xf numFmtId="3" fontId="4" fillId="2" borderId="3" xfId="1" applyNumberFormat="1" applyFont="1" applyFill="1" applyBorder="1" applyAlignment="1">
      <alignment horizontal="center" vertical="center"/>
    </xf>
    <xf numFmtId="0" fontId="34" fillId="0" borderId="5" xfId="1" applyFont="1" applyBorder="1" applyAlignment="1">
      <alignment horizontal="center"/>
    </xf>
    <xf numFmtId="0" fontId="6" fillId="0" borderId="0" xfId="1" applyFont="1" applyAlignment="1">
      <alignment horizontal="center" wrapText="1"/>
    </xf>
    <xf numFmtId="0" fontId="6" fillId="0" borderId="5" xfId="1" applyFont="1" applyBorder="1" applyAlignment="1">
      <alignment horizontal="center" wrapText="1"/>
    </xf>
    <xf numFmtId="0" fontId="7" fillId="0" borderId="0" xfId="1" applyFont="1" applyAlignment="1">
      <alignment horizontal="center" vertical="center" wrapText="1"/>
    </xf>
    <xf numFmtId="0" fontId="8" fillId="2" borderId="2" xfId="1" applyFont="1" applyFill="1" applyBorder="1" applyAlignment="1">
      <alignment horizontal="center" vertical="center" wrapText="1"/>
    </xf>
    <xf numFmtId="0" fontId="8" fillId="2" borderId="4" xfId="1" applyFont="1" applyFill="1" applyBorder="1" applyAlignment="1">
      <alignment horizontal="center" vertical="center" wrapText="1"/>
    </xf>
    <xf numFmtId="3" fontId="4" fillId="2" borderId="1" xfId="1" applyNumberFormat="1" applyFont="1" applyFill="1" applyBorder="1" applyAlignment="1">
      <alignment horizontal="center" vertical="center"/>
    </xf>
    <xf numFmtId="0" fontId="8" fillId="2" borderId="1" xfId="1" applyFont="1" applyFill="1" applyBorder="1" applyAlignment="1">
      <alignment horizontal="left" vertical="center"/>
    </xf>
    <xf numFmtId="3" fontId="8" fillId="2" borderId="1" xfId="1" applyNumberFormat="1" applyFont="1" applyFill="1" applyBorder="1" applyAlignment="1">
      <alignment horizontal="center" vertical="center"/>
    </xf>
    <xf numFmtId="188" fontId="4" fillId="2" borderId="1" xfId="1" applyNumberFormat="1" applyFont="1" applyFill="1" applyBorder="1" applyAlignment="1">
      <alignment horizontal="left"/>
    </xf>
    <xf numFmtId="0" fontId="4" fillId="4" borderId="5" xfId="1" applyFont="1" applyFill="1" applyBorder="1" applyAlignment="1">
      <alignment horizontal="center"/>
    </xf>
    <xf numFmtId="0" fontId="4" fillId="0" borderId="5" xfId="1" applyFont="1" applyBorder="1" applyAlignment="1">
      <alignment horizontal="center"/>
    </xf>
    <xf numFmtId="0" fontId="6" fillId="0" borderId="1" xfId="1" applyFont="1" applyBorder="1" applyAlignment="1">
      <alignment horizontal="center" wrapText="1"/>
    </xf>
    <xf numFmtId="0" fontId="6" fillId="0" borderId="7" xfId="1" applyFont="1" applyBorder="1" applyAlignment="1">
      <alignment horizontal="center"/>
    </xf>
    <xf numFmtId="0" fontId="6" fillId="0" borderId="8" xfId="1" applyFont="1" applyBorder="1" applyAlignment="1">
      <alignment horizontal="center"/>
    </xf>
    <xf numFmtId="0" fontId="6" fillId="0" borderId="3" xfId="1" applyFont="1" applyBorder="1" applyAlignment="1">
      <alignment horizontal="center"/>
    </xf>
    <xf numFmtId="0" fontId="4" fillId="0" borderId="0" xfId="1" applyFont="1" applyAlignment="1">
      <alignment horizontal="center"/>
    </xf>
    <xf numFmtId="0" fontId="7" fillId="0" borderId="11" xfId="1" applyFont="1" applyBorder="1"/>
    <xf numFmtId="0" fontId="7" fillId="0" borderId="0" xfId="1" applyFont="1"/>
    <xf numFmtId="0" fontId="6" fillId="0" borderId="1" xfId="1" applyFont="1" applyBorder="1" applyAlignment="1">
      <alignment horizontal="center"/>
    </xf>
    <xf numFmtId="176" fontId="4" fillId="2" borderId="1" xfId="1" applyNumberFormat="1" applyFont="1" applyFill="1" applyBorder="1" applyAlignment="1">
      <alignment horizontal="center" vertical="center" wrapText="1"/>
    </xf>
    <xf numFmtId="0" fontId="21" fillId="2" borderId="9" xfId="1" applyFont="1" applyFill="1" applyBorder="1" applyAlignment="1">
      <alignment horizontal="center" vertical="center"/>
    </xf>
    <xf numFmtId="0" fontId="21" fillId="2" borderId="11" xfId="1" applyFont="1" applyFill="1" applyBorder="1" applyAlignment="1">
      <alignment horizontal="center" vertical="center"/>
    </xf>
    <xf numFmtId="0" fontId="21" fillId="2" borderId="10" xfId="1" applyFont="1" applyFill="1" applyBorder="1" applyAlignment="1">
      <alignment horizontal="center" vertical="center"/>
    </xf>
    <xf numFmtId="0" fontId="8" fillId="2" borderId="12" xfId="1" applyFont="1" applyFill="1" applyBorder="1" applyAlignment="1">
      <alignment horizontal="center" vertical="center" wrapText="1"/>
    </xf>
    <xf numFmtId="0" fontId="38" fillId="0" borderId="3" xfId="1" applyFont="1" applyBorder="1" applyAlignment="1">
      <alignment horizontal="center"/>
    </xf>
    <xf numFmtId="0" fontId="38" fillId="0" borderId="1" xfId="1" applyFont="1" applyBorder="1" applyAlignment="1">
      <alignment horizontal="center"/>
    </xf>
    <xf numFmtId="170" fontId="4" fillId="2" borderId="1" xfId="1" applyNumberFormat="1" applyFont="1" applyFill="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left"/>
    </xf>
    <xf numFmtId="0" fontId="7" fillId="0" borderId="0" xfId="1" applyFont="1" applyAlignment="1">
      <alignment horizontal="left"/>
    </xf>
    <xf numFmtId="0" fontId="7" fillId="0" borderId="11" xfId="1" applyFont="1" applyBorder="1" applyAlignment="1">
      <alignment horizontal="left"/>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1" xfId="1" applyFont="1" applyFill="1" applyBorder="1" applyAlignment="1">
      <alignment vertical="center"/>
    </xf>
    <xf numFmtId="168" fontId="4" fillId="0" borderId="0" xfId="1" applyNumberFormat="1" applyFont="1"/>
    <xf numFmtId="171" fontId="4" fillId="0" borderId="0" xfId="1" applyNumberFormat="1" applyFont="1"/>
    <xf numFmtId="0" fontId="23" fillId="0" borderId="0" xfId="1" applyFont="1" applyAlignment="1">
      <alignment horizontal="left" vertical="center" wrapText="1"/>
    </xf>
    <xf numFmtId="0" fontId="4" fillId="2"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1" xfId="1" applyFont="1" applyBorder="1" applyAlignment="1">
      <alignment horizontal="center"/>
    </xf>
    <xf numFmtId="0" fontId="4" fillId="2" borderId="0" xfId="1" applyFont="1" applyFill="1" applyAlignment="1">
      <alignment vertical="top" wrapText="1"/>
    </xf>
    <xf numFmtId="168" fontId="4" fillId="0" borderId="0" xfId="1" applyNumberFormat="1" applyFont="1" applyAlignment="1">
      <alignment horizontal="left"/>
    </xf>
    <xf numFmtId="2" fontId="4" fillId="2" borderId="1" xfId="1" applyNumberFormat="1" applyFont="1" applyFill="1" applyBorder="1" applyAlignment="1">
      <alignment horizontal="center" vertical="center"/>
    </xf>
    <xf numFmtId="0" fontId="56" fillId="2" borderId="0" xfId="1" applyFont="1" applyFill="1" applyAlignment="1">
      <alignment horizontal="left" vertical="top" wrapText="1"/>
    </xf>
    <xf numFmtId="0" fontId="7" fillId="0" borderId="2" xfId="1" applyFont="1" applyBorder="1" applyAlignment="1">
      <alignment horizontal="center"/>
    </xf>
    <xf numFmtId="0" fontId="7" fillId="0" borderId="4" xfId="1" applyFont="1" applyBorder="1" applyAlignment="1">
      <alignment horizontal="center"/>
    </xf>
    <xf numFmtId="0" fontId="7" fillId="0" borderId="3" xfId="1" applyFont="1" applyBorder="1" applyAlignment="1">
      <alignment horizontal="center"/>
    </xf>
    <xf numFmtId="0" fontId="7" fillId="0" borderId="1" xfId="1" applyFont="1" applyBorder="1" applyAlignment="1">
      <alignment horizontal="center" wrapText="1"/>
    </xf>
    <xf numFmtId="0" fontId="56" fillId="2" borderId="0" xfId="1" applyFont="1" applyFill="1" applyAlignment="1">
      <alignment horizontal="left" vertical="center" wrapText="1"/>
    </xf>
    <xf numFmtId="0" fontId="10" fillId="0" borderId="0" xfId="7" applyFont="1" applyAlignment="1">
      <alignment horizontal="center"/>
    </xf>
    <xf numFmtId="0" fontId="1" fillId="0" borderId="0" xfId="7"/>
    <xf numFmtId="0" fontId="11" fillId="0" borderId="0" xfId="7" applyFont="1"/>
    <xf numFmtId="0" fontId="12" fillId="0" borderId="0" xfId="7" applyFont="1" applyAlignment="1">
      <alignment horizontal="center"/>
    </xf>
    <xf numFmtId="0" fontId="1" fillId="0" borderId="0" xfId="7" applyAlignment="1">
      <alignment horizontal="right" vertical="top" indent="1"/>
    </xf>
    <xf numFmtId="0" fontId="13" fillId="0" borderId="0" xfId="7" applyFont="1" applyAlignment="1">
      <alignment horizontal="left" wrapText="1"/>
    </xf>
    <xf numFmtId="0" fontId="13" fillId="0" borderId="0" xfId="7" applyFont="1"/>
    <xf numFmtId="0" fontId="15" fillId="0" borderId="0" xfId="7" applyFont="1" applyAlignment="1">
      <alignment horizontal="left"/>
    </xf>
    <xf numFmtId="0" fontId="15" fillId="0" borderId="0" xfId="7" applyFont="1" applyAlignment="1">
      <alignment horizontal="center"/>
    </xf>
    <xf numFmtId="0" fontId="15" fillId="0" borderId="0" xfId="7" applyFont="1" applyAlignment="1">
      <alignment horizontal="right"/>
    </xf>
  </cellXfs>
  <cellStyles count="8">
    <cellStyle name="Comma 2" xfId="4" xr:uid="{D67E8778-E03A-40FB-977F-5821D6F52B06}"/>
    <cellStyle name="Comma 3" xfId="6" xr:uid="{65CA317D-0453-48CA-9453-A61EBB910F7F}"/>
    <cellStyle name="Hyperlink" xfId="3" builtinId="8"/>
    <cellStyle name="Hyperlink 2" xfId="2" xr:uid="{9620A289-8338-4AB4-BF1E-7F0F478EB51F}"/>
    <cellStyle name="Normal" xfId="0" builtinId="0"/>
    <cellStyle name="Normal 2" xfId="1" xr:uid="{A553DA01-4597-436F-8C74-A689BFD33D99}"/>
    <cellStyle name="Normal 7" xfId="7" xr:uid="{0EC1B4C4-6A80-45EA-A388-5812F323B2D3}"/>
    <cellStyle name="Percent 2" xfId="5" xr:uid="{63A2D357-13A0-4FC6-994A-F525A00F76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calcChain" Target="calcChain.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6926CCE5-DC9D-4FE6-BA00-9FEFF3F8DE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F641AA58-C241-4E62-A60A-8890DF2E0127}"/>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F82B3EE7-2926-4668-9593-3A855018C76E}"/>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0</xdr:colOff>
      <xdr:row>28</xdr:row>
      <xdr:rowOff>9525</xdr:rowOff>
    </xdr:from>
    <xdr:to>
      <xdr:col>18</xdr:col>
      <xdr:colOff>19050</xdr:colOff>
      <xdr:row>31</xdr:row>
      <xdr:rowOff>238125</xdr:rowOff>
    </xdr:to>
    <xdr:cxnSp macro="">
      <xdr:nvCxnSpPr>
        <xdr:cNvPr id="2" name="Straight Connector 1">
          <a:extLst>
            <a:ext uri="{FF2B5EF4-FFF2-40B4-BE49-F238E27FC236}">
              <a16:creationId xmlns:a16="http://schemas.microsoft.com/office/drawing/2014/main" id="{5CCB7E1F-168F-44FA-A284-180448C06E9D}"/>
            </a:ext>
          </a:extLst>
        </xdr:cNvPr>
        <xdr:cNvCxnSpPr/>
      </xdr:nvCxnSpPr>
      <xdr:spPr>
        <a:xfrm flipV="1">
          <a:off x="9553575" y="5840730"/>
          <a:ext cx="1120140" cy="9715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28</xdr:row>
      <xdr:rowOff>20955</xdr:rowOff>
    </xdr:from>
    <xdr:to>
      <xdr:col>22</xdr:col>
      <xdr:colOff>19050</xdr:colOff>
      <xdr:row>32</xdr:row>
      <xdr:rowOff>1905</xdr:rowOff>
    </xdr:to>
    <xdr:cxnSp macro="">
      <xdr:nvCxnSpPr>
        <xdr:cNvPr id="3" name="Straight Connector 2">
          <a:extLst>
            <a:ext uri="{FF2B5EF4-FFF2-40B4-BE49-F238E27FC236}">
              <a16:creationId xmlns:a16="http://schemas.microsoft.com/office/drawing/2014/main" id="{E2779BF5-2213-4B2A-84B5-B808A6636627}"/>
            </a:ext>
          </a:extLst>
        </xdr:cNvPr>
        <xdr:cNvCxnSpPr/>
      </xdr:nvCxnSpPr>
      <xdr:spPr>
        <a:xfrm flipV="1">
          <a:off x="10658475" y="5846445"/>
          <a:ext cx="1120140" cy="97536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28</xdr:row>
      <xdr:rowOff>9525</xdr:rowOff>
    </xdr:from>
    <xdr:to>
      <xdr:col>29</xdr:col>
      <xdr:colOff>19050</xdr:colOff>
      <xdr:row>31</xdr:row>
      <xdr:rowOff>234315</xdr:rowOff>
    </xdr:to>
    <xdr:cxnSp macro="">
      <xdr:nvCxnSpPr>
        <xdr:cNvPr id="4" name="Straight Connector 3">
          <a:extLst>
            <a:ext uri="{FF2B5EF4-FFF2-40B4-BE49-F238E27FC236}">
              <a16:creationId xmlns:a16="http://schemas.microsoft.com/office/drawing/2014/main" id="{750C98F7-3210-40C0-A14C-00F4A14783B8}"/>
            </a:ext>
          </a:extLst>
        </xdr:cNvPr>
        <xdr:cNvCxnSpPr/>
      </xdr:nvCxnSpPr>
      <xdr:spPr>
        <a:xfrm flipV="1">
          <a:off x="12592050" y="5840730"/>
          <a:ext cx="1120140" cy="9677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42</xdr:row>
      <xdr:rowOff>9525</xdr:rowOff>
    </xdr:from>
    <xdr:to>
      <xdr:col>18</xdr:col>
      <xdr:colOff>19050</xdr:colOff>
      <xdr:row>45</xdr:row>
      <xdr:rowOff>238125</xdr:rowOff>
    </xdr:to>
    <xdr:cxnSp macro="">
      <xdr:nvCxnSpPr>
        <xdr:cNvPr id="5" name="Straight Connector 4">
          <a:extLst>
            <a:ext uri="{FF2B5EF4-FFF2-40B4-BE49-F238E27FC236}">
              <a16:creationId xmlns:a16="http://schemas.microsoft.com/office/drawing/2014/main" id="{C63D1FC9-7EA3-48EC-956A-331A0EEC7CCD}"/>
            </a:ext>
          </a:extLst>
        </xdr:cNvPr>
        <xdr:cNvCxnSpPr/>
      </xdr:nvCxnSpPr>
      <xdr:spPr>
        <a:xfrm flipV="1">
          <a:off x="9553575" y="8831580"/>
          <a:ext cx="1120140" cy="9715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42</xdr:row>
      <xdr:rowOff>19050</xdr:rowOff>
    </xdr:from>
    <xdr:to>
      <xdr:col>20</xdr:col>
      <xdr:colOff>9525</xdr:colOff>
      <xdr:row>46</xdr:row>
      <xdr:rowOff>1905</xdr:rowOff>
    </xdr:to>
    <xdr:cxnSp macro="">
      <xdr:nvCxnSpPr>
        <xdr:cNvPr id="6" name="Straight Connector 5">
          <a:extLst>
            <a:ext uri="{FF2B5EF4-FFF2-40B4-BE49-F238E27FC236}">
              <a16:creationId xmlns:a16="http://schemas.microsoft.com/office/drawing/2014/main" id="{B2313C04-8EC6-4092-93E2-F8F6C537A2A9}"/>
            </a:ext>
          </a:extLst>
        </xdr:cNvPr>
        <xdr:cNvCxnSpPr/>
      </xdr:nvCxnSpPr>
      <xdr:spPr>
        <a:xfrm flipV="1">
          <a:off x="10658475" y="8835390"/>
          <a:ext cx="563880" cy="97726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42</xdr:row>
      <xdr:rowOff>19050</xdr:rowOff>
    </xdr:from>
    <xdr:to>
      <xdr:col>27</xdr:col>
      <xdr:colOff>0</xdr:colOff>
      <xdr:row>45</xdr:row>
      <xdr:rowOff>236220</xdr:rowOff>
    </xdr:to>
    <xdr:cxnSp macro="">
      <xdr:nvCxnSpPr>
        <xdr:cNvPr id="7" name="Straight Connector 6">
          <a:extLst>
            <a:ext uri="{FF2B5EF4-FFF2-40B4-BE49-F238E27FC236}">
              <a16:creationId xmlns:a16="http://schemas.microsoft.com/office/drawing/2014/main" id="{9ADAA183-1E33-4559-8A79-492E3652CF4D}"/>
            </a:ext>
          </a:extLst>
        </xdr:cNvPr>
        <xdr:cNvCxnSpPr/>
      </xdr:nvCxnSpPr>
      <xdr:spPr>
        <a:xfrm flipV="1">
          <a:off x="12592050" y="8835390"/>
          <a:ext cx="552450" cy="96583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0</xdr:colOff>
      <xdr:row>148</xdr:row>
      <xdr:rowOff>0</xdr:rowOff>
    </xdr:from>
    <xdr:to>
      <xdr:col>20</xdr:col>
      <xdr:colOff>9525</xdr:colOff>
      <xdr:row>152</xdr:row>
      <xdr:rowOff>0</xdr:rowOff>
    </xdr:to>
    <xdr:cxnSp macro="">
      <xdr:nvCxnSpPr>
        <xdr:cNvPr id="2" name="Straight Connector 1">
          <a:extLst>
            <a:ext uri="{FF2B5EF4-FFF2-40B4-BE49-F238E27FC236}">
              <a16:creationId xmlns:a16="http://schemas.microsoft.com/office/drawing/2014/main" id="{F50398B7-BD18-4992-9AEB-2B76770C8487}"/>
            </a:ext>
          </a:extLst>
        </xdr:cNvPr>
        <xdr:cNvCxnSpPr/>
      </xdr:nvCxnSpPr>
      <xdr:spPr>
        <a:xfrm flipV="1">
          <a:off x="13173075" y="30422850"/>
          <a:ext cx="792480" cy="1524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26</xdr:col>
      <xdr:colOff>0</xdr:colOff>
      <xdr:row>148</xdr:row>
      <xdr:rowOff>0</xdr:rowOff>
    </xdr:from>
    <xdr:to>
      <xdr:col>28</xdr:col>
      <xdr:colOff>11430</xdr:colOff>
      <xdr:row>152</xdr:row>
      <xdr:rowOff>0</xdr:rowOff>
    </xdr:to>
    <xdr:cxnSp macro="">
      <xdr:nvCxnSpPr>
        <xdr:cNvPr id="3" name="Straight Connector 2">
          <a:extLst>
            <a:ext uri="{FF2B5EF4-FFF2-40B4-BE49-F238E27FC236}">
              <a16:creationId xmlns:a16="http://schemas.microsoft.com/office/drawing/2014/main" id="{4641BE83-41D3-4898-8400-BFD0C52B450A}"/>
            </a:ext>
          </a:extLst>
        </xdr:cNvPr>
        <xdr:cNvCxnSpPr/>
      </xdr:nvCxnSpPr>
      <xdr:spPr>
        <a:xfrm flipV="1">
          <a:off x="16297275" y="30422850"/>
          <a:ext cx="796290" cy="1524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670560</xdr:colOff>
          <xdr:row>36</xdr:row>
          <xdr:rowOff>175260</xdr:rowOff>
        </xdr:from>
        <xdr:to>
          <xdr:col>5</xdr:col>
          <xdr:colOff>381000</xdr:colOff>
          <xdr:row>38</xdr:row>
          <xdr:rowOff>45720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54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632460</xdr:colOff>
          <xdr:row>38</xdr:row>
          <xdr:rowOff>175260</xdr:rowOff>
        </xdr:from>
        <xdr:to>
          <xdr:col>5</xdr:col>
          <xdr:colOff>342900</xdr:colOff>
          <xdr:row>40</xdr:row>
          <xdr:rowOff>45720</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5400-000002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13</xdr:col>
      <xdr:colOff>7938</xdr:colOff>
      <xdr:row>25</xdr:row>
      <xdr:rowOff>0</xdr:rowOff>
    </xdr:from>
    <xdr:to>
      <xdr:col>17</xdr:col>
      <xdr:colOff>0</xdr:colOff>
      <xdr:row>28</xdr:row>
      <xdr:rowOff>238125</xdr:rowOff>
    </xdr:to>
    <xdr:cxnSp macro="">
      <xdr:nvCxnSpPr>
        <xdr:cNvPr id="2" name="Straight Connector 1">
          <a:extLst>
            <a:ext uri="{FF2B5EF4-FFF2-40B4-BE49-F238E27FC236}">
              <a16:creationId xmlns:a16="http://schemas.microsoft.com/office/drawing/2014/main" id="{7B244069-BF96-42C4-B8F1-9EC99C4664D4}"/>
            </a:ext>
          </a:extLst>
        </xdr:cNvPr>
        <xdr:cNvCxnSpPr/>
      </xdr:nvCxnSpPr>
      <xdr:spPr>
        <a:xfrm flipV="1">
          <a:off x="10201593" y="5038725"/>
          <a:ext cx="109505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25</xdr:row>
      <xdr:rowOff>0</xdr:rowOff>
    </xdr:from>
    <xdr:to>
      <xdr:col>18</xdr:col>
      <xdr:colOff>261937</xdr:colOff>
      <xdr:row>28</xdr:row>
      <xdr:rowOff>238125</xdr:rowOff>
    </xdr:to>
    <xdr:cxnSp macro="">
      <xdr:nvCxnSpPr>
        <xdr:cNvPr id="3" name="Straight Connector 2">
          <a:extLst>
            <a:ext uri="{FF2B5EF4-FFF2-40B4-BE49-F238E27FC236}">
              <a16:creationId xmlns:a16="http://schemas.microsoft.com/office/drawing/2014/main" id="{92B0A541-D433-4B0F-8CB4-3EA7ECE07D77}"/>
            </a:ext>
          </a:extLst>
        </xdr:cNvPr>
        <xdr:cNvCxnSpPr/>
      </xdr:nvCxnSpPr>
      <xdr:spPr>
        <a:xfrm flipV="1">
          <a:off x="10744200" y="5038725"/>
          <a:ext cx="108870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25</xdr:row>
      <xdr:rowOff>0</xdr:rowOff>
    </xdr:from>
    <xdr:to>
      <xdr:col>23</xdr:col>
      <xdr:colOff>261937</xdr:colOff>
      <xdr:row>28</xdr:row>
      <xdr:rowOff>238125</xdr:rowOff>
    </xdr:to>
    <xdr:cxnSp macro="">
      <xdr:nvCxnSpPr>
        <xdr:cNvPr id="4" name="Straight Connector 3">
          <a:extLst>
            <a:ext uri="{FF2B5EF4-FFF2-40B4-BE49-F238E27FC236}">
              <a16:creationId xmlns:a16="http://schemas.microsoft.com/office/drawing/2014/main" id="{F8FBF36B-74F7-4860-9B5D-C7FB8EE0E320}"/>
            </a:ext>
          </a:extLst>
        </xdr:cNvPr>
        <xdr:cNvCxnSpPr/>
      </xdr:nvCxnSpPr>
      <xdr:spPr>
        <a:xfrm flipV="1">
          <a:off x="12125325" y="5038725"/>
          <a:ext cx="108870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7938</xdr:colOff>
      <xdr:row>49</xdr:row>
      <xdr:rowOff>0</xdr:rowOff>
    </xdr:from>
    <xdr:to>
      <xdr:col>17</xdr:col>
      <xdr:colOff>0</xdr:colOff>
      <xdr:row>52</xdr:row>
      <xdr:rowOff>238125</xdr:rowOff>
    </xdr:to>
    <xdr:cxnSp macro="">
      <xdr:nvCxnSpPr>
        <xdr:cNvPr id="5" name="Straight Connector 4">
          <a:extLst>
            <a:ext uri="{FF2B5EF4-FFF2-40B4-BE49-F238E27FC236}">
              <a16:creationId xmlns:a16="http://schemas.microsoft.com/office/drawing/2014/main" id="{FB060737-039B-4687-AC92-2736CE4E87AF}"/>
            </a:ext>
          </a:extLst>
        </xdr:cNvPr>
        <xdr:cNvCxnSpPr/>
      </xdr:nvCxnSpPr>
      <xdr:spPr>
        <a:xfrm flipV="1">
          <a:off x="10201593" y="10029825"/>
          <a:ext cx="109505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49</xdr:row>
      <xdr:rowOff>0</xdr:rowOff>
    </xdr:from>
    <xdr:to>
      <xdr:col>18</xdr:col>
      <xdr:colOff>261937</xdr:colOff>
      <xdr:row>52</xdr:row>
      <xdr:rowOff>238125</xdr:rowOff>
    </xdr:to>
    <xdr:cxnSp macro="">
      <xdr:nvCxnSpPr>
        <xdr:cNvPr id="6" name="Straight Connector 5">
          <a:extLst>
            <a:ext uri="{FF2B5EF4-FFF2-40B4-BE49-F238E27FC236}">
              <a16:creationId xmlns:a16="http://schemas.microsoft.com/office/drawing/2014/main" id="{97BE6328-7CC6-4521-8992-D43A3B019124}"/>
            </a:ext>
          </a:extLst>
        </xdr:cNvPr>
        <xdr:cNvCxnSpPr/>
      </xdr:nvCxnSpPr>
      <xdr:spPr>
        <a:xfrm flipV="1">
          <a:off x="10744200" y="10029825"/>
          <a:ext cx="108870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49</xdr:row>
      <xdr:rowOff>0</xdr:rowOff>
    </xdr:from>
    <xdr:to>
      <xdr:col>23</xdr:col>
      <xdr:colOff>261937</xdr:colOff>
      <xdr:row>52</xdr:row>
      <xdr:rowOff>238125</xdr:rowOff>
    </xdr:to>
    <xdr:cxnSp macro="">
      <xdr:nvCxnSpPr>
        <xdr:cNvPr id="7" name="Straight Connector 6">
          <a:extLst>
            <a:ext uri="{FF2B5EF4-FFF2-40B4-BE49-F238E27FC236}">
              <a16:creationId xmlns:a16="http://schemas.microsoft.com/office/drawing/2014/main" id="{6DBF3ECE-64D0-48C2-AC93-96C6A2EE8A57}"/>
            </a:ext>
          </a:extLst>
        </xdr:cNvPr>
        <xdr:cNvCxnSpPr/>
      </xdr:nvCxnSpPr>
      <xdr:spPr>
        <a:xfrm flipV="1">
          <a:off x="12125325" y="10029825"/>
          <a:ext cx="1088707" cy="98298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7938</xdr:colOff>
      <xdr:row>53</xdr:row>
      <xdr:rowOff>95248</xdr:rowOff>
    </xdr:from>
    <xdr:to>
      <xdr:col>15</xdr:col>
      <xdr:colOff>254001</xdr:colOff>
      <xdr:row>53</xdr:row>
      <xdr:rowOff>253999</xdr:rowOff>
    </xdr:to>
    <xdr:sp macro="" textlink="">
      <xdr:nvSpPr>
        <xdr:cNvPr id="8" name="Left Brace 7">
          <a:extLst>
            <a:ext uri="{FF2B5EF4-FFF2-40B4-BE49-F238E27FC236}">
              <a16:creationId xmlns:a16="http://schemas.microsoft.com/office/drawing/2014/main" id="{BECBD716-6707-4CA0-8582-A5E26AC63FE1}"/>
            </a:ext>
          </a:extLst>
        </xdr:cNvPr>
        <xdr:cNvSpPr/>
      </xdr:nvSpPr>
      <xdr:spPr>
        <a:xfrm rot="16200000">
          <a:off x="10546239" y="10774837"/>
          <a:ext cx="103506" cy="792798"/>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12</xdr:col>
      <xdr:colOff>265748</xdr:colOff>
      <xdr:row>55</xdr:row>
      <xdr:rowOff>171449</xdr:rowOff>
    </xdr:from>
    <xdr:to>
      <xdr:col>20</xdr:col>
      <xdr:colOff>15878</xdr:colOff>
      <xdr:row>56</xdr:row>
      <xdr:rowOff>119062</xdr:rowOff>
    </xdr:to>
    <xdr:sp macro="" textlink="">
      <xdr:nvSpPr>
        <xdr:cNvPr id="9" name="Left Brace 8">
          <a:extLst>
            <a:ext uri="{FF2B5EF4-FFF2-40B4-BE49-F238E27FC236}">
              <a16:creationId xmlns:a16="http://schemas.microsoft.com/office/drawing/2014/main" id="{4103A7D1-9184-445C-AA37-4DA77CE5D67B}"/>
            </a:ext>
          </a:extLst>
        </xdr:cNvPr>
        <xdr:cNvSpPr/>
      </xdr:nvSpPr>
      <xdr:spPr>
        <a:xfrm rot="16200000">
          <a:off x="11090276" y="11277281"/>
          <a:ext cx="145733" cy="196374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xdr:colOff>
      <xdr:row>34</xdr:row>
      <xdr:rowOff>9525</xdr:rowOff>
    </xdr:from>
    <xdr:to>
      <xdr:col>15</xdr:col>
      <xdr:colOff>266700</xdr:colOff>
      <xdr:row>37</xdr:row>
      <xdr:rowOff>238125</xdr:rowOff>
    </xdr:to>
    <xdr:cxnSp macro="">
      <xdr:nvCxnSpPr>
        <xdr:cNvPr id="2" name="Straight Connector 1">
          <a:extLst>
            <a:ext uri="{FF2B5EF4-FFF2-40B4-BE49-F238E27FC236}">
              <a16:creationId xmlns:a16="http://schemas.microsoft.com/office/drawing/2014/main" id="{B5948E9C-64AC-4656-A146-C75872439371}"/>
            </a:ext>
          </a:extLst>
        </xdr:cNvPr>
        <xdr:cNvCxnSpPr/>
      </xdr:nvCxnSpPr>
      <xdr:spPr>
        <a:xfrm flipV="1">
          <a:off x="8650605" y="7431405"/>
          <a:ext cx="1083945" cy="9715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0</xdr:colOff>
      <xdr:row>34</xdr:row>
      <xdr:rowOff>9525</xdr:rowOff>
    </xdr:from>
    <xdr:to>
      <xdr:col>26</xdr:col>
      <xdr:colOff>0</xdr:colOff>
      <xdr:row>38</xdr:row>
      <xdr:rowOff>0</xdr:rowOff>
    </xdr:to>
    <xdr:cxnSp macro="">
      <xdr:nvCxnSpPr>
        <xdr:cNvPr id="3" name="Straight Connector 2">
          <a:extLst>
            <a:ext uri="{FF2B5EF4-FFF2-40B4-BE49-F238E27FC236}">
              <a16:creationId xmlns:a16="http://schemas.microsoft.com/office/drawing/2014/main" id="{D898704F-29E9-4A1F-B25C-ED969E3C3C9D}"/>
            </a:ext>
          </a:extLst>
        </xdr:cNvPr>
        <xdr:cNvCxnSpPr/>
      </xdr:nvCxnSpPr>
      <xdr:spPr>
        <a:xfrm flipV="1">
          <a:off x="11401425" y="7431405"/>
          <a:ext cx="110490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24</xdr:row>
      <xdr:rowOff>19050</xdr:rowOff>
    </xdr:from>
    <xdr:to>
      <xdr:col>14</xdr:col>
      <xdr:colOff>0</xdr:colOff>
      <xdr:row>28</xdr:row>
      <xdr:rowOff>0</xdr:rowOff>
    </xdr:to>
    <xdr:cxnSp macro="">
      <xdr:nvCxnSpPr>
        <xdr:cNvPr id="2" name="Straight Connector 1">
          <a:extLst>
            <a:ext uri="{FF2B5EF4-FFF2-40B4-BE49-F238E27FC236}">
              <a16:creationId xmlns:a16="http://schemas.microsoft.com/office/drawing/2014/main" id="{55CA94C2-15E9-46F4-869B-057E8D8BB4FB}"/>
            </a:ext>
          </a:extLst>
        </xdr:cNvPr>
        <xdr:cNvCxnSpPr/>
      </xdr:nvCxnSpPr>
      <xdr:spPr>
        <a:xfrm flipV="1">
          <a:off x="6838950" y="4844415"/>
          <a:ext cx="1104900" cy="97536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9525</xdr:colOff>
      <xdr:row>24</xdr:row>
      <xdr:rowOff>9525</xdr:rowOff>
    </xdr:from>
    <xdr:to>
      <xdr:col>20</xdr:col>
      <xdr:colOff>0</xdr:colOff>
      <xdr:row>27</xdr:row>
      <xdr:rowOff>238125</xdr:rowOff>
    </xdr:to>
    <xdr:cxnSp macro="">
      <xdr:nvCxnSpPr>
        <xdr:cNvPr id="3" name="Straight Connector 2">
          <a:extLst>
            <a:ext uri="{FF2B5EF4-FFF2-40B4-BE49-F238E27FC236}">
              <a16:creationId xmlns:a16="http://schemas.microsoft.com/office/drawing/2014/main" id="{DF607061-C02A-4E17-8FB2-DCDE4C4BB17B}"/>
            </a:ext>
          </a:extLst>
        </xdr:cNvPr>
        <xdr:cNvCxnSpPr/>
      </xdr:nvCxnSpPr>
      <xdr:spPr>
        <a:xfrm flipV="1">
          <a:off x="8507730" y="4840605"/>
          <a:ext cx="1093470" cy="9715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9525</xdr:colOff>
      <xdr:row>24</xdr:row>
      <xdr:rowOff>0</xdr:rowOff>
    </xdr:from>
    <xdr:to>
      <xdr:col>27</xdr:col>
      <xdr:colOff>266700</xdr:colOff>
      <xdr:row>28</xdr:row>
      <xdr:rowOff>9525</xdr:rowOff>
    </xdr:to>
    <xdr:cxnSp macro="">
      <xdr:nvCxnSpPr>
        <xdr:cNvPr id="4" name="Straight Connector 3">
          <a:extLst>
            <a:ext uri="{FF2B5EF4-FFF2-40B4-BE49-F238E27FC236}">
              <a16:creationId xmlns:a16="http://schemas.microsoft.com/office/drawing/2014/main" id="{4C5670B2-F3CA-4248-ACC8-EEFCB6FFFDCD}"/>
            </a:ext>
          </a:extLst>
        </xdr:cNvPr>
        <xdr:cNvCxnSpPr/>
      </xdr:nvCxnSpPr>
      <xdr:spPr>
        <a:xfrm flipV="1">
          <a:off x="10717530" y="4829175"/>
          <a:ext cx="1083945" cy="100203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24</xdr:row>
      <xdr:rowOff>9525</xdr:rowOff>
    </xdr:from>
    <xdr:to>
      <xdr:col>18</xdr:col>
      <xdr:colOff>0</xdr:colOff>
      <xdr:row>28</xdr:row>
      <xdr:rowOff>0</xdr:rowOff>
    </xdr:to>
    <xdr:cxnSp macro="">
      <xdr:nvCxnSpPr>
        <xdr:cNvPr id="5" name="Straight Connector 4">
          <a:extLst>
            <a:ext uri="{FF2B5EF4-FFF2-40B4-BE49-F238E27FC236}">
              <a16:creationId xmlns:a16="http://schemas.microsoft.com/office/drawing/2014/main" id="{331A2617-42A2-4F1E-ADCA-344A0ED8C9E6}"/>
            </a:ext>
          </a:extLst>
        </xdr:cNvPr>
        <xdr:cNvCxnSpPr/>
      </xdr:nvCxnSpPr>
      <xdr:spPr>
        <a:xfrm flipV="1">
          <a:off x="9048750" y="4840605"/>
          <a:ext cx="0" cy="9791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24</xdr:row>
      <xdr:rowOff>9525</xdr:rowOff>
    </xdr:from>
    <xdr:to>
      <xdr:col>14</xdr:col>
      <xdr:colOff>0</xdr:colOff>
      <xdr:row>28</xdr:row>
      <xdr:rowOff>0</xdr:rowOff>
    </xdr:to>
    <xdr:cxnSp macro="">
      <xdr:nvCxnSpPr>
        <xdr:cNvPr id="2" name="Straight Connector 1">
          <a:extLst>
            <a:ext uri="{FF2B5EF4-FFF2-40B4-BE49-F238E27FC236}">
              <a16:creationId xmlns:a16="http://schemas.microsoft.com/office/drawing/2014/main" id="{00C67E68-D887-4553-83C8-0DB0CAB7E4B7}"/>
            </a:ext>
          </a:extLst>
        </xdr:cNvPr>
        <xdr:cNvCxnSpPr/>
      </xdr:nvCxnSpPr>
      <xdr:spPr>
        <a:xfrm flipV="1">
          <a:off x="6534150" y="4840605"/>
          <a:ext cx="55245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9525</xdr:colOff>
      <xdr:row>24</xdr:row>
      <xdr:rowOff>9525</xdr:rowOff>
    </xdr:from>
    <xdr:to>
      <xdr:col>16</xdr:col>
      <xdr:colOff>0</xdr:colOff>
      <xdr:row>28</xdr:row>
      <xdr:rowOff>0</xdr:rowOff>
    </xdr:to>
    <xdr:cxnSp macro="">
      <xdr:nvCxnSpPr>
        <xdr:cNvPr id="3" name="Straight Connector 2">
          <a:extLst>
            <a:ext uri="{FF2B5EF4-FFF2-40B4-BE49-F238E27FC236}">
              <a16:creationId xmlns:a16="http://schemas.microsoft.com/office/drawing/2014/main" id="{309E04DC-9FFB-408F-A644-133AE3CE2B6C}"/>
            </a:ext>
          </a:extLst>
        </xdr:cNvPr>
        <xdr:cNvCxnSpPr/>
      </xdr:nvCxnSpPr>
      <xdr:spPr>
        <a:xfrm flipV="1">
          <a:off x="6545580" y="4840605"/>
          <a:ext cx="109347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0</xdr:colOff>
      <xdr:row>24</xdr:row>
      <xdr:rowOff>9525</xdr:rowOff>
    </xdr:from>
    <xdr:to>
      <xdr:col>18</xdr:col>
      <xdr:colOff>0</xdr:colOff>
      <xdr:row>27</xdr:row>
      <xdr:rowOff>304800</xdr:rowOff>
    </xdr:to>
    <xdr:cxnSp macro="">
      <xdr:nvCxnSpPr>
        <xdr:cNvPr id="4" name="Straight Connector 3">
          <a:extLst>
            <a:ext uri="{FF2B5EF4-FFF2-40B4-BE49-F238E27FC236}">
              <a16:creationId xmlns:a16="http://schemas.microsoft.com/office/drawing/2014/main" id="{8FD55361-FAC7-41C1-95AC-E0724241FDA8}"/>
            </a:ext>
          </a:extLst>
        </xdr:cNvPr>
        <xdr:cNvCxnSpPr/>
      </xdr:nvCxnSpPr>
      <xdr:spPr>
        <a:xfrm flipV="1">
          <a:off x="7086600" y="4840605"/>
          <a:ext cx="110490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1485900</xdr:colOff>
      <xdr:row>33</xdr:row>
      <xdr:rowOff>9525</xdr:rowOff>
    </xdr:from>
    <xdr:to>
      <xdr:col>7</xdr:col>
      <xdr:colOff>590550</xdr:colOff>
      <xdr:row>37</xdr:row>
      <xdr:rowOff>11430</xdr:rowOff>
    </xdr:to>
    <xdr:cxnSp macro="">
      <xdr:nvCxnSpPr>
        <xdr:cNvPr id="2" name="Straight Connector 1">
          <a:extLst>
            <a:ext uri="{FF2B5EF4-FFF2-40B4-BE49-F238E27FC236}">
              <a16:creationId xmlns:a16="http://schemas.microsoft.com/office/drawing/2014/main" id="{E94EBB41-979C-4E78-8997-720B76853816}"/>
            </a:ext>
          </a:extLst>
        </xdr:cNvPr>
        <xdr:cNvCxnSpPr/>
      </xdr:nvCxnSpPr>
      <xdr:spPr>
        <a:xfrm flipV="1">
          <a:off x="6886575" y="7040880"/>
          <a:ext cx="1196340" cy="9944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33</xdr:row>
      <xdr:rowOff>9525</xdr:rowOff>
    </xdr:from>
    <xdr:to>
      <xdr:col>17</xdr:col>
      <xdr:colOff>0</xdr:colOff>
      <xdr:row>37</xdr:row>
      <xdr:rowOff>0</xdr:rowOff>
    </xdr:to>
    <xdr:cxnSp macro="">
      <xdr:nvCxnSpPr>
        <xdr:cNvPr id="3" name="Straight Connector 2">
          <a:extLst>
            <a:ext uri="{FF2B5EF4-FFF2-40B4-BE49-F238E27FC236}">
              <a16:creationId xmlns:a16="http://schemas.microsoft.com/office/drawing/2014/main" id="{09E4A72C-A9DF-45B1-BA45-D305B7A83576}"/>
            </a:ext>
          </a:extLst>
        </xdr:cNvPr>
        <xdr:cNvCxnSpPr/>
      </xdr:nvCxnSpPr>
      <xdr:spPr>
        <a:xfrm flipV="1">
          <a:off x="11096625" y="7040880"/>
          <a:ext cx="110490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27</xdr:col>
      <xdr:colOff>9525</xdr:colOff>
      <xdr:row>33</xdr:row>
      <xdr:rowOff>9525</xdr:rowOff>
    </xdr:from>
    <xdr:to>
      <xdr:col>31</xdr:col>
      <xdr:colOff>0</xdr:colOff>
      <xdr:row>37</xdr:row>
      <xdr:rowOff>0</xdr:rowOff>
    </xdr:to>
    <xdr:cxnSp macro="">
      <xdr:nvCxnSpPr>
        <xdr:cNvPr id="4" name="Straight Connector 3">
          <a:extLst>
            <a:ext uri="{FF2B5EF4-FFF2-40B4-BE49-F238E27FC236}">
              <a16:creationId xmlns:a16="http://schemas.microsoft.com/office/drawing/2014/main" id="{8B3C4CA0-6449-43F8-9395-2B4182C80D86}"/>
            </a:ext>
          </a:extLst>
        </xdr:cNvPr>
        <xdr:cNvCxnSpPr/>
      </xdr:nvCxnSpPr>
      <xdr:spPr>
        <a:xfrm flipV="1">
          <a:off x="14975205" y="7040880"/>
          <a:ext cx="1093470" cy="979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38</xdr:row>
      <xdr:rowOff>15240</xdr:rowOff>
    </xdr:from>
    <xdr:to>
      <xdr:col>17</xdr:col>
      <xdr:colOff>0</xdr:colOff>
      <xdr:row>42</xdr:row>
      <xdr:rowOff>0</xdr:rowOff>
    </xdr:to>
    <xdr:cxnSp macro="">
      <xdr:nvCxnSpPr>
        <xdr:cNvPr id="2" name="Straight Connector 1">
          <a:extLst>
            <a:ext uri="{FF2B5EF4-FFF2-40B4-BE49-F238E27FC236}">
              <a16:creationId xmlns:a16="http://schemas.microsoft.com/office/drawing/2014/main" id="{564E0DCC-33FA-4870-A2AC-B3A4ADBC2DDF}"/>
            </a:ext>
          </a:extLst>
        </xdr:cNvPr>
        <xdr:cNvCxnSpPr/>
      </xdr:nvCxnSpPr>
      <xdr:spPr>
        <a:xfrm flipV="1">
          <a:off x="10820400" y="8467725"/>
          <a:ext cx="1104900" cy="9715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11430</xdr:colOff>
      <xdr:row>38</xdr:row>
      <xdr:rowOff>11430</xdr:rowOff>
    </xdr:from>
    <xdr:to>
      <xdr:col>22</xdr:col>
      <xdr:colOff>0</xdr:colOff>
      <xdr:row>41</xdr:row>
      <xdr:rowOff>240030</xdr:rowOff>
    </xdr:to>
    <xdr:cxnSp macro="">
      <xdr:nvCxnSpPr>
        <xdr:cNvPr id="3" name="Straight Connector 2">
          <a:extLst>
            <a:ext uri="{FF2B5EF4-FFF2-40B4-BE49-F238E27FC236}">
              <a16:creationId xmlns:a16="http://schemas.microsoft.com/office/drawing/2014/main" id="{1E453954-BF4C-41A5-B8AC-682C195C90A0}"/>
            </a:ext>
          </a:extLst>
        </xdr:cNvPr>
        <xdr:cNvCxnSpPr/>
      </xdr:nvCxnSpPr>
      <xdr:spPr>
        <a:xfrm flipV="1">
          <a:off x="12216765" y="8463915"/>
          <a:ext cx="1089660" cy="9715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68580</xdr:colOff>
      <xdr:row>37</xdr:row>
      <xdr:rowOff>238125</xdr:rowOff>
    </xdr:from>
    <xdr:to>
      <xdr:col>32</xdr:col>
      <xdr:colOff>47625</xdr:colOff>
      <xdr:row>42</xdr:row>
      <xdr:rowOff>1905</xdr:rowOff>
    </xdr:to>
    <xdr:cxnSp macro="">
      <xdr:nvCxnSpPr>
        <xdr:cNvPr id="4" name="Straight Connector 3">
          <a:extLst>
            <a:ext uri="{FF2B5EF4-FFF2-40B4-BE49-F238E27FC236}">
              <a16:creationId xmlns:a16="http://schemas.microsoft.com/office/drawing/2014/main" id="{534A715D-0B00-47A8-9AD4-0B95A723747B}"/>
            </a:ext>
          </a:extLst>
        </xdr:cNvPr>
        <xdr:cNvCxnSpPr/>
      </xdr:nvCxnSpPr>
      <xdr:spPr>
        <a:xfrm flipV="1">
          <a:off x="15030450" y="8441055"/>
          <a:ext cx="1087755" cy="10001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5715</xdr:colOff>
      <xdr:row>37</xdr:row>
      <xdr:rowOff>243840</xdr:rowOff>
    </xdr:from>
    <xdr:to>
      <xdr:col>26</xdr:col>
      <xdr:colOff>264795</xdr:colOff>
      <xdr:row>41</xdr:row>
      <xdr:rowOff>224790</xdr:rowOff>
    </xdr:to>
    <xdr:cxnSp macro="">
      <xdr:nvCxnSpPr>
        <xdr:cNvPr id="5" name="Straight Connector 4">
          <a:extLst>
            <a:ext uri="{FF2B5EF4-FFF2-40B4-BE49-F238E27FC236}">
              <a16:creationId xmlns:a16="http://schemas.microsoft.com/office/drawing/2014/main" id="{F94F2703-076B-42A7-8F77-13FBBB773E18}"/>
            </a:ext>
          </a:extLst>
        </xdr:cNvPr>
        <xdr:cNvCxnSpPr/>
      </xdr:nvCxnSpPr>
      <xdr:spPr>
        <a:xfrm flipV="1">
          <a:off x="13590270" y="8448675"/>
          <a:ext cx="1085850" cy="967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9525</xdr:colOff>
      <xdr:row>23</xdr:row>
      <xdr:rowOff>9525</xdr:rowOff>
    </xdr:from>
    <xdr:to>
      <xdr:col>32</xdr:col>
      <xdr:colOff>28575</xdr:colOff>
      <xdr:row>35</xdr:row>
      <xdr:rowOff>0</xdr:rowOff>
    </xdr:to>
    <xdr:cxnSp macro="">
      <xdr:nvCxnSpPr>
        <xdr:cNvPr id="2" name="Straight Connector 1">
          <a:extLst>
            <a:ext uri="{FF2B5EF4-FFF2-40B4-BE49-F238E27FC236}">
              <a16:creationId xmlns:a16="http://schemas.microsoft.com/office/drawing/2014/main" id="{AE91B054-C298-40BA-A1BC-BE3E83A050FD}"/>
            </a:ext>
          </a:extLst>
        </xdr:cNvPr>
        <xdr:cNvCxnSpPr/>
      </xdr:nvCxnSpPr>
      <xdr:spPr>
        <a:xfrm flipV="1">
          <a:off x="12508230" y="4640580"/>
          <a:ext cx="2529840" cy="238887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1905</xdr:colOff>
      <xdr:row>22</xdr:row>
      <xdr:rowOff>192405</xdr:rowOff>
    </xdr:from>
    <xdr:to>
      <xdr:col>48</xdr:col>
      <xdr:colOff>220980</xdr:colOff>
      <xdr:row>34</xdr:row>
      <xdr:rowOff>180975</xdr:rowOff>
    </xdr:to>
    <xdr:cxnSp macro="">
      <xdr:nvCxnSpPr>
        <xdr:cNvPr id="3" name="Straight Connector 2">
          <a:extLst>
            <a:ext uri="{FF2B5EF4-FFF2-40B4-BE49-F238E27FC236}">
              <a16:creationId xmlns:a16="http://schemas.microsoft.com/office/drawing/2014/main" id="{3137D156-5D0F-4243-91C8-6A275B9A804C}"/>
            </a:ext>
          </a:extLst>
        </xdr:cNvPr>
        <xdr:cNvCxnSpPr/>
      </xdr:nvCxnSpPr>
      <xdr:spPr>
        <a:xfrm flipV="1">
          <a:off x="16061055" y="4621530"/>
          <a:ext cx="2522220" cy="238696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200025</xdr:colOff>
      <xdr:row>23</xdr:row>
      <xdr:rowOff>0</xdr:rowOff>
    </xdr:from>
    <xdr:to>
      <xdr:col>28</xdr:col>
      <xdr:colOff>9525</xdr:colOff>
      <xdr:row>35</xdr:row>
      <xdr:rowOff>0</xdr:rowOff>
    </xdr:to>
    <xdr:cxnSp macro="">
      <xdr:nvCxnSpPr>
        <xdr:cNvPr id="4" name="Straight Connector 3">
          <a:extLst>
            <a:ext uri="{FF2B5EF4-FFF2-40B4-BE49-F238E27FC236}">
              <a16:creationId xmlns:a16="http://schemas.microsoft.com/office/drawing/2014/main" id="{099CED1A-E513-4CBE-95EB-EC94BE78A801}"/>
            </a:ext>
          </a:extLst>
        </xdr:cNvPr>
        <xdr:cNvCxnSpPr/>
      </xdr:nvCxnSpPr>
      <xdr:spPr>
        <a:xfrm>
          <a:off x="14165580" y="4629150"/>
          <a:ext cx="19050" cy="2400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41</xdr:row>
      <xdr:rowOff>9525</xdr:rowOff>
    </xdr:from>
    <xdr:to>
      <xdr:col>26</xdr:col>
      <xdr:colOff>28575</xdr:colOff>
      <xdr:row>52</xdr:row>
      <xdr:rowOff>188595</xdr:rowOff>
    </xdr:to>
    <xdr:cxnSp macro="">
      <xdr:nvCxnSpPr>
        <xdr:cNvPr id="5" name="Straight Connector 4">
          <a:extLst>
            <a:ext uri="{FF2B5EF4-FFF2-40B4-BE49-F238E27FC236}">
              <a16:creationId xmlns:a16="http://schemas.microsoft.com/office/drawing/2014/main" id="{80B5F8C8-A473-4BA9-887C-ECA32262034D}"/>
            </a:ext>
          </a:extLst>
        </xdr:cNvPr>
        <xdr:cNvCxnSpPr/>
      </xdr:nvCxnSpPr>
      <xdr:spPr>
        <a:xfrm flipV="1">
          <a:off x="12496800" y="8250555"/>
          <a:ext cx="1283970" cy="23774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200025</xdr:colOff>
      <xdr:row>41</xdr:row>
      <xdr:rowOff>11430</xdr:rowOff>
    </xdr:from>
    <xdr:to>
      <xdr:col>43</xdr:col>
      <xdr:colOff>15240</xdr:colOff>
      <xdr:row>52</xdr:row>
      <xdr:rowOff>186690</xdr:rowOff>
    </xdr:to>
    <xdr:cxnSp macro="">
      <xdr:nvCxnSpPr>
        <xdr:cNvPr id="6" name="Straight Connector 5">
          <a:extLst>
            <a:ext uri="{FF2B5EF4-FFF2-40B4-BE49-F238E27FC236}">
              <a16:creationId xmlns:a16="http://schemas.microsoft.com/office/drawing/2014/main" id="{A60F1469-A9D0-482A-9165-E019AFAAECEF}"/>
            </a:ext>
          </a:extLst>
        </xdr:cNvPr>
        <xdr:cNvCxnSpPr/>
      </xdr:nvCxnSpPr>
      <xdr:spPr>
        <a:xfrm flipV="1">
          <a:off x="16051530" y="8254365"/>
          <a:ext cx="1283970" cy="23717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0</xdr:colOff>
      <xdr:row>41</xdr:row>
      <xdr:rowOff>0</xdr:rowOff>
    </xdr:from>
    <xdr:to>
      <xdr:col>28</xdr:col>
      <xdr:colOff>19050</xdr:colOff>
      <xdr:row>53</xdr:row>
      <xdr:rowOff>0</xdr:rowOff>
    </xdr:to>
    <xdr:cxnSp macro="">
      <xdr:nvCxnSpPr>
        <xdr:cNvPr id="7" name="Straight Connector 6">
          <a:extLst>
            <a:ext uri="{FF2B5EF4-FFF2-40B4-BE49-F238E27FC236}">
              <a16:creationId xmlns:a16="http://schemas.microsoft.com/office/drawing/2014/main" id="{84B52275-8DD8-4F46-A9BB-C4AFF8D63259}"/>
            </a:ext>
          </a:extLst>
        </xdr:cNvPr>
        <xdr:cNvCxnSpPr/>
      </xdr:nvCxnSpPr>
      <xdr:spPr>
        <a:xfrm>
          <a:off x="14173200" y="8239125"/>
          <a:ext cx="15240" cy="2400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87630</xdr:colOff>
      <xdr:row>25</xdr:row>
      <xdr:rowOff>0</xdr:rowOff>
    </xdr:from>
    <xdr:to>
      <xdr:col>21</xdr:col>
      <xdr:colOff>76200</xdr:colOff>
      <xdr:row>29</xdr:row>
      <xdr:rowOff>0</xdr:rowOff>
    </xdr:to>
    <xdr:cxnSp macro="">
      <xdr:nvCxnSpPr>
        <xdr:cNvPr id="2" name="Straight Connector 1">
          <a:extLst>
            <a:ext uri="{FF2B5EF4-FFF2-40B4-BE49-F238E27FC236}">
              <a16:creationId xmlns:a16="http://schemas.microsoft.com/office/drawing/2014/main" id="{5FFCACFA-2C02-44DC-8DCB-1B86A5BEBB1E}"/>
            </a:ext>
          </a:extLst>
        </xdr:cNvPr>
        <xdr:cNvCxnSpPr/>
      </xdr:nvCxnSpPr>
      <xdr:spPr>
        <a:xfrm flipV="1">
          <a:off x="10064115" y="5029200"/>
          <a:ext cx="537210" cy="11430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26670</xdr:colOff>
      <xdr:row>37</xdr:row>
      <xdr:rowOff>19050</xdr:rowOff>
    </xdr:from>
    <xdr:to>
      <xdr:col>26</xdr:col>
      <xdr:colOff>57150</xdr:colOff>
      <xdr:row>41</xdr:row>
      <xdr:rowOff>7620</xdr:rowOff>
    </xdr:to>
    <xdr:cxnSp macro="">
      <xdr:nvCxnSpPr>
        <xdr:cNvPr id="3" name="Straight Connector 2">
          <a:extLst>
            <a:ext uri="{FF2B5EF4-FFF2-40B4-BE49-F238E27FC236}">
              <a16:creationId xmlns:a16="http://schemas.microsoft.com/office/drawing/2014/main" id="{CA9DE9B9-0639-49E6-82EB-D4ED53144F1B}"/>
            </a:ext>
          </a:extLst>
        </xdr:cNvPr>
        <xdr:cNvCxnSpPr/>
      </xdr:nvCxnSpPr>
      <xdr:spPr>
        <a:xfrm flipV="1">
          <a:off x="9721215" y="7797165"/>
          <a:ext cx="2238375" cy="113728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0</xdr:colOff>
      <xdr:row>26</xdr:row>
      <xdr:rowOff>20955</xdr:rowOff>
    </xdr:from>
    <xdr:to>
      <xdr:col>18</xdr:col>
      <xdr:colOff>0</xdr:colOff>
      <xdr:row>30</xdr:row>
      <xdr:rowOff>9525</xdr:rowOff>
    </xdr:to>
    <xdr:cxnSp macro="">
      <xdr:nvCxnSpPr>
        <xdr:cNvPr id="2" name="Straight Connector 1">
          <a:extLst>
            <a:ext uri="{FF2B5EF4-FFF2-40B4-BE49-F238E27FC236}">
              <a16:creationId xmlns:a16="http://schemas.microsoft.com/office/drawing/2014/main" id="{1CE2C627-334F-4D8D-A771-114397368505}"/>
            </a:ext>
          </a:extLst>
        </xdr:cNvPr>
        <xdr:cNvCxnSpPr/>
      </xdr:nvCxnSpPr>
      <xdr:spPr>
        <a:xfrm flipV="1">
          <a:off x="9982200" y="5246370"/>
          <a:ext cx="552450" cy="11372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25</xdr:row>
      <xdr:rowOff>188595</xdr:rowOff>
    </xdr:from>
    <xdr:to>
      <xdr:col>23</xdr:col>
      <xdr:colOff>266700</xdr:colOff>
      <xdr:row>29</xdr:row>
      <xdr:rowOff>276225</xdr:rowOff>
    </xdr:to>
    <xdr:cxnSp macro="">
      <xdr:nvCxnSpPr>
        <xdr:cNvPr id="3" name="Straight Connector 2">
          <a:extLst>
            <a:ext uri="{FF2B5EF4-FFF2-40B4-BE49-F238E27FC236}">
              <a16:creationId xmlns:a16="http://schemas.microsoft.com/office/drawing/2014/main" id="{E75704C5-2D88-4C1D-B21D-B3DBFA6507BA}"/>
            </a:ext>
          </a:extLst>
        </xdr:cNvPr>
        <xdr:cNvCxnSpPr/>
      </xdr:nvCxnSpPr>
      <xdr:spPr>
        <a:xfrm flipV="1">
          <a:off x="11630025" y="5217795"/>
          <a:ext cx="552450" cy="114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42</xdr:row>
      <xdr:rowOff>19050</xdr:rowOff>
    </xdr:from>
    <xdr:to>
      <xdr:col>19</xdr:col>
      <xdr:colOff>266700</xdr:colOff>
      <xdr:row>46</xdr:row>
      <xdr:rowOff>15240</xdr:rowOff>
    </xdr:to>
    <xdr:cxnSp macro="">
      <xdr:nvCxnSpPr>
        <xdr:cNvPr id="4" name="Straight Connector 3">
          <a:extLst>
            <a:ext uri="{FF2B5EF4-FFF2-40B4-BE49-F238E27FC236}">
              <a16:creationId xmlns:a16="http://schemas.microsoft.com/office/drawing/2014/main" id="{E53A9086-B90A-4ED5-A6E2-3714ECBAC684}"/>
            </a:ext>
          </a:extLst>
        </xdr:cNvPr>
        <xdr:cNvCxnSpPr/>
      </xdr:nvCxnSpPr>
      <xdr:spPr>
        <a:xfrm flipV="1">
          <a:off x="9982200" y="9178290"/>
          <a:ext cx="1095375" cy="11468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266700</xdr:colOff>
      <xdr:row>42</xdr:row>
      <xdr:rowOff>9525</xdr:rowOff>
    </xdr:from>
    <xdr:to>
      <xdr:col>25</xdr:col>
      <xdr:colOff>266700</xdr:colOff>
      <xdr:row>45</xdr:row>
      <xdr:rowOff>281940</xdr:rowOff>
    </xdr:to>
    <xdr:cxnSp macro="">
      <xdr:nvCxnSpPr>
        <xdr:cNvPr id="5" name="Straight Connector 4">
          <a:extLst>
            <a:ext uri="{FF2B5EF4-FFF2-40B4-BE49-F238E27FC236}">
              <a16:creationId xmlns:a16="http://schemas.microsoft.com/office/drawing/2014/main" id="{CFE1CF1F-6626-46E8-B019-2BD561A254B0}"/>
            </a:ext>
          </a:extLst>
        </xdr:cNvPr>
        <xdr:cNvCxnSpPr/>
      </xdr:nvCxnSpPr>
      <xdr:spPr>
        <a:xfrm flipV="1">
          <a:off x="11630025" y="9174480"/>
          <a:ext cx="1104900" cy="11315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personal/dnorris_soa_org/Documents/Documents/Projects/2025-26%20Curriculum/FINAL%20CURATED%20PAST%20EXAMS/GI301/ADV%20files/spring-2023-solutions-giadv.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GI301/GI301%20Curated%20Past%20Exam%20Excel%20Solutions.xlsx" TargetMode="External"/><Relationship Id="rId1" Type="http://schemas.openxmlformats.org/officeDocument/2006/relationships/externalLinkPath" Target="/personal/dnorris_soa_org/Documents/Documents/Projects/2025-26%20Curriculum/FINAL%20CURATED%20PAST%20EXAMS/GI301/GI301%20Curated%20Past%20Exam%20Excel%20Solution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RR%20files\fall-2021-exam-girr-excel-solution.xlsx" TargetMode="External"/><Relationship Id="rId1" Type="http://schemas.openxmlformats.org/officeDocument/2006/relationships/externalLinkPath" Target="/personal/dnorris_soa_org/Documents/Documents/Projects/2025-26%20Curriculum/FINAL%20CURATED%20PAST%20EXAMS/GI301/RR%20files/fall-2021-exam-girr-excel-solu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GI 301 LO 1"/>
      <sheetName val="F20ADVQ3"/>
      <sheetName val="F20ADVQ4"/>
      <sheetName val="S21ADVQ3"/>
      <sheetName val="F21ADVQ3"/>
      <sheetName val="F21ADVQ4"/>
      <sheetName val="S22ADVQ3"/>
      <sheetName val="F22ADVQ3"/>
      <sheetName val="F22ADVQ4"/>
      <sheetName val="S23ADVQ3"/>
      <sheetName val="F23ADVQ3"/>
      <sheetName val="S24ADVQ4"/>
      <sheetName val="F24ADVQ3"/>
      <sheetName val="F24ADVQ4"/>
      <sheetName val="GI 301 LO 2"/>
      <sheetName val="S23ADVQ10"/>
      <sheetName val="F23ADVQ10"/>
      <sheetName val="S24ADVQ10"/>
      <sheetName val="F24ADVQ10"/>
      <sheetName val="GI 301 LO 3"/>
      <sheetName val="F20RRQ8"/>
      <sheetName val="S21RRQ7"/>
      <sheetName val="F21RRQ8"/>
      <sheetName val="S22RRQ14"/>
      <sheetName val="F22RRQ9"/>
      <sheetName val="GI 301 LO 4"/>
      <sheetName val="F20ADVQ6"/>
      <sheetName val="S21ADVQ6"/>
      <sheetName val="F21ADVQ6"/>
      <sheetName val="F22ADVQ6"/>
      <sheetName val="S23ADVQ8"/>
      <sheetName val="F23ADVQ8"/>
      <sheetName val="S24ADVQ08"/>
      <sheetName val="GI 301 LO 5"/>
      <sheetName val="F20RRQ14"/>
      <sheetName val="F21RRQ9"/>
      <sheetName val="S22RRQ5"/>
      <sheetName val="GI 301 LO 6"/>
      <sheetName val="F20RRQ3"/>
      <sheetName val="F20RRQ10"/>
      <sheetName val="F20RRQ11"/>
      <sheetName val="S21RRQ10"/>
      <sheetName val="S21RRQ13"/>
      <sheetName val="F21RRQ3"/>
      <sheetName val="F21RRQ10"/>
      <sheetName val="S22RRQ7"/>
      <sheetName val="S22RRQ19"/>
      <sheetName val="F22RRQ1"/>
      <sheetName val="F22RRQ8"/>
      <sheetName val="F22RRQ19"/>
      <sheetName val="F20FREUQ15"/>
      <sheetName val="F21FREUQ5"/>
      <sheetName val="S23ADVQ7"/>
      <sheetName val="S23ADVQ11"/>
      <sheetName val="S23ADVQ12"/>
      <sheetName val="F23ADVQ7"/>
      <sheetName val="F23ADVQ11"/>
      <sheetName val="F23ADVQ12"/>
      <sheetName val="S24ADVQ07"/>
      <sheetName val="S24ADVQ12"/>
      <sheetName val="F24ADVQ07"/>
      <sheetName val="F24ADVQ011"/>
      <sheetName val="GI 301 LO 7"/>
      <sheetName val="F20ADVQ1"/>
      <sheetName val="F20ADVQ8"/>
      <sheetName val="S21ADVQ1"/>
      <sheetName val="S21ADVQ8"/>
      <sheetName val="F21ADVQ1"/>
      <sheetName val="F21ADVQ8"/>
      <sheetName val="S22ADVQ1"/>
      <sheetName val="S22ADVQ8"/>
      <sheetName val="F22ADVQ1"/>
      <sheetName val="F22ADVQ8"/>
      <sheetName val="S23ADVQ1"/>
      <sheetName val="S23ADVQ9"/>
      <sheetName val="S23ADVQ13"/>
      <sheetName val="F23ADVQ1"/>
      <sheetName val="F23ADVQ9"/>
      <sheetName val="F23ADVQ13"/>
      <sheetName val="S24ADVQ01"/>
      <sheetName val="S24ADVQ09"/>
      <sheetName val="S24ADVQ13"/>
      <sheetName val="F24ADVQ01"/>
      <sheetName val="F24ADVQ13"/>
      <sheetName val="GI 301 LO 8"/>
      <sheetName val="F20RRQ12"/>
      <sheetName val="S21RRQ8"/>
      <sheetName val="F21RRQ17"/>
      <sheetName val="F22RRQ20"/>
      <sheetName val="F20ADVQ5"/>
      <sheetName val="S21ADVQ5"/>
      <sheetName val="F21ADVQ5"/>
      <sheetName val="S22ADVQ5"/>
      <sheetName val="S23ADVQ5"/>
      <sheetName val="F23ADVQ5"/>
      <sheetName val="S24ADVQ05"/>
      <sheetName val="F24ADVQ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estion 1"/>
      <sheetName val="Question 2"/>
      <sheetName val="Question 3"/>
      <sheetName val="Question 4"/>
      <sheetName val="Question 5"/>
      <sheetName val="Question 6"/>
      <sheetName val="Question 7"/>
      <sheetName val="Question 8"/>
      <sheetName val="Question 9"/>
      <sheetName val="Question 10"/>
      <sheetName val="Question 11"/>
      <sheetName val="Question 12"/>
      <sheetName val="Question 13"/>
      <sheetName val="Question 14"/>
      <sheetName val="Question 15"/>
      <sheetName val="Question 16"/>
      <sheetName val="Question 17"/>
      <sheetName val="Question 18"/>
      <sheetName val="Question 19"/>
      <sheetName val="Question 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wmf"/><Relationship Id="rId2" Type="http://schemas.openxmlformats.org/officeDocument/2006/relationships/drawing" Target="../drawings/drawing12.xml"/><Relationship Id="rId1" Type="http://schemas.openxmlformats.org/officeDocument/2006/relationships/printerSettings" Target="../printerSettings/printerSettings85.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83363-3E35-4E24-8F34-931AE5C6D9D5}">
  <sheetPr>
    <tabColor rgb="FF0070C0"/>
    <pageSetUpPr autoPageBreaks="0"/>
  </sheetPr>
  <dimension ref="A6:K21"/>
  <sheetViews>
    <sheetView showGridLines="0" tabSelected="1" zoomScale="115" zoomScaleNormal="115" workbookViewId="0"/>
  </sheetViews>
  <sheetFormatPr defaultRowHeight="14.4"/>
  <cols>
    <col min="1" max="16384" width="8.88671875" style="959"/>
  </cols>
  <sheetData>
    <row r="6" spans="1:10" ht="33.6">
      <c r="A6" s="958" t="s">
        <v>2928</v>
      </c>
      <c r="B6" s="958"/>
      <c r="C6" s="958"/>
      <c r="D6" s="958"/>
      <c r="E6" s="958"/>
      <c r="F6" s="958"/>
      <c r="G6" s="958"/>
      <c r="H6" s="958"/>
      <c r="I6" s="958"/>
      <c r="J6" s="958"/>
    </row>
    <row r="7" spans="1:10" ht="6" customHeight="1">
      <c r="A7" s="960"/>
      <c r="B7" s="960"/>
      <c r="C7" s="960"/>
      <c r="D7" s="960"/>
      <c r="E7" s="960"/>
      <c r="F7" s="960"/>
      <c r="G7" s="960"/>
      <c r="H7" s="960"/>
      <c r="I7" s="960"/>
      <c r="J7" s="960"/>
    </row>
    <row r="8" spans="1:10" ht="21">
      <c r="A8" s="961" t="s">
        <v>2935</v>
      </c>
      <c r="B8" s="961"/>
      <c r="C8" s="961"/>
      <c r="D8" s="961"/>
      <c r="E8" s="961"/>
      <c r="F8" s="961"/>
      <c r="G8" s="961"/>
      <c r="H8" s="961"/>
      <c r="I8" s="961"/>
      <c r="J8" s="961"/>
    </row>
    <row r="10" spans="1:10" ht="75" customHeight="1">
      <c r="A10" s="962" t="s">
        <v>29</v>
      </c>
      <c r="B10" s="963" t="s">
        <v>2929</v>
      </c>
      <c r="C10" s="963"/>
      <c r="D10" s="963"/>
      <c r="E10" s="963"/>
      <c r="F10" s="963"/>
      <c r="G10" s="963"/>
      <c r="H10" s="963"/>
      <c r="I10" s="963"/>
      <c r="J10" s="963"/>
    </row>
    <row r="11" spans="1:10">
      <c r="B11" s="964"/>
      <c r="C11" s="964"/>
      <c r="D11" s="964"/>
      <c r="E11" s="964"/>
      <c r="F11" s="964"/>
      <c r="G11" s="964"/>
      <c r="H11" s="964"/>
      <c r="I11" s="964"/>
      <c r="J11" s="964"/>
    </row>
    <row r="12" spans="1:10" ht="45" customHeight="1">
      <c r="A12" s="962" t="s">
        <v>29</v>
      </c>
      <c r="B12" s="963" t="s">
        <v>2930</v>
      </c>
      <c r="C12" s="963"/>
      <c r="D12" s="963"/>
      <c r="E12" s="963"/>
      <c r="F12" s="963"/>
      <c r="G12" s="963"/>
      <c r="H12" s="963"/>
      <c r="I12" s="963"/>
      <c r="J12" s="963"/>
    </row>
    <row r="13" spans="1:10">
      <c r="B13" s="964"/>
      <c r="C13" s="964"/>
      <c r="D13" s="964"/>
      <c r="E13" s="964"/>
      <c r="F13" s="964"/>
      <c r="G13" s="964"/>
      <c r="H13" s="964"/>
      <c r="I13" s="964"/>
      <c r="J13" s="964"/>
    </row>
    <row r="14" spans="1:10" ht="45.6" customHeight="1">
      <c r="A14" s="962" t="s">
        <v>29</v>
      </c>
      <c r="B14" s="963" t="s">
        <v>2931</v>
      </c>
      <c r="C14" s="963"/>
      <c r="D14" s="963"/>
      <c r="E14" s="963"/>
      <c r="F14" s="963"/>
      <c r="G14" s="963"/>
      <c r="H14" s="963"/>
      <c r="I14" s="963"/>
      <c r="J14" s="963"/>
    </row>
    <row r="15" spans="1:10">
      <c r="B15" s="964"/>
      <c r="C15" s="964"/>
      <c r="D15" s="964"/>
      <c r="E15" s="964"/>
      <c r="F15" s="964"/>
      <c r="G15" s="964"/>
      <c r="H15" s="964"/>
      <c r="I15" s="964"/>
      <c r="J15" s="964"/>
    </row>
    <row r="16" spans="1:10" ht="72.599999999999994" customHeight="1">
      <c r="A16" s="962" t="s">
        <v>29</v>
      </c>
      <c r="B16" s="963" t="s">
        <v>2932</v>
      </c>
      <c r="C16" s="963"/>
      <c r="D16" s="963"/>
      <c r="E16" s="963"/>
      <c r="F16" s="963"/>
      <c r="G16" s="963"/>
      <c r="H16" s="963"/>
      <c r="I16" s="963"/>
      <c r="J16" s="963"/>
    </row>
    <row r="17" spans="1:11">
      <c r="B17" s="964"/>
      <c r="C17" s="964"/>
      <c r="D17" s="964"/>
      <c r="E17" s="964"/>
      <c r="F17" s="964"/>
      <c r="G17" s="964"/>
      <c r="H17" s="964"/>
      <c r="I17" s="964"/>
      <c r="J17" s="964"/>
      <c r="K17" s="19"/>
    </row>
    <row r="18" spans="1:11" ht="44.4" customHeight="1">
      <c r="A18" s="962" t="s">
        <v>29</v>
      </c>
      <c r="B18" s="963" t="s">
        <v>2933</v>
      </c>
      <c r="C18" s="963"/>
      <c r="D18" s="963"/>
      <c r="E18" s="963"/>
      <c r="F18" s="963"/>
      <c r="G18" s="963"/>
      <c r="H18" s="963"/>
      <c r="I18" s="963"/>
      <c r="J18" s="963"/>
    </row>
    <row r="21" spans="1:11">
      <c r="B21" s="965" t="s">
        <v>30</v>
      </c>
      <c r="C21" s="965"/>
      <c r="D21" s="966" t="s">
        <v>2934</v>
      </c>
      <c r="E21" s="966"/>
      <c r="F21" s="966"/>
      <c r="G21" s="966"/>
      <c r="H21" s="967" t="s">
        <v>31</v>
      </c>
      <c r="I21" s="967"/>
      <c r="J21" s="967"/>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1564-4DEE-4178-A8C8-661732E4D49E}">
  <dimension ref="A1:R81"/>
  <sheetViews>
    <sheetView zoomScaleNormal="100" workbookViewId="0"/>
  </sheetViews>
  <sheetFormatPr defaultRowHeight="15.6"/>
  <cols>
    <col min="1" max="1" width="8.88671875" style="2" customWidth="1"/>
    <col min="2" max="7" width="11.77734375" style="2" customWidth="1"/>
    <col min="8" max="12" width="10.77734375" style="2" customWidth="1"/>
    <col min="13" max="16384" width="8.88671875" style="2"/>
  </cols>
  <sheetData>
    <row r="1" spans="1:15" ht="17.399999999999999">
      <c r="A1" s="13" t="s">
        <v>356</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831" t="s">
        <v>299</v>
      </c>
      <c r="B3" s="840"/>
      <c r="C3" s="840"/>
      <c r="D3" s="840"/>
      <c r="E3" s="840"/>
      <c r="F3" s="840"/>
      <c r="G3" s="840"/>
      <c r="H3" s="840"/>
      <c r="I3" s="840"/>
      <c r="J3" s="840"/>
      <c r="K3" s="840"/>
      <c r="L3" s="840"/>
    </row>
    <row r="4" spans="1:15">
      <c r="A4" s="840"/>
      <c r="B4" s="840"/>
      <c r="C4" s="840"/>
      <c r="D4" s="840"/>
      <c r="E4" s="840"/>
      <c r="F4" s="840"/>
      <c r="G4" s="840"/>
      <c r="H4" s="840"/>
      <c r="I4" s="840"/>
      <c r="J4" s="840"/>
      <c r="K4" s="840"/>
      <c r="L4" s="840"/>
    </row>
    <row r="5" spans="1:15">
      <c r="A5" s="1"/>
      <c r="B5" s="1"/>
      <c r="C5" s="1"/>
      <c r="D5" s="1"/>
      <c r="E5" s="1"/>
      <c r="F5" s="1"/>
      <c r="G5" s="1"/>
      <c r="H5" s="1"/>
      <c r="I5" s="1"/>
      <c r="J5" s="1"/>
      <c r="K5" s="1"/>
      <c r="L5" s="1"/>
    </row>
    <row r="6" spans="1:15">
      <c r="A6" s="1"/>
      <c r="B6" s="829" t="s">
        <v>49</v>
      </c>
      <c r="C6" s="841" t="s">
        <v>300</v>
      </c>
      <c r="D6" s="841"/>
      <c r="E6" s="841"/>
      <c r="F6" s="841"/>
      <c r="G6" s="841"/>
      <c r="H6" s="1"/>
      <c r="I6" s="1"/>
      <c r="J6" s="1"/>
      <c r="K6" s="1"/>
      <c r="L6" s="1"/>
    </row>
    <row r="7" spans="1:15">
      <c r="A7" s="1"/>
      <c r="B7" s="829"/>
      <c r="C7" s="27">
        <v>12</v>
      </c>
      <c r="D7" s="27">
        <v>24</v>
      </c>
      <c r="E7" s="27">
        <v>36</v>
      </c>
      <c r="F7" s="27">
        <v>48</v>
      </c>
      <c r="G7" s="27">
        <v>60</v>
      </c>
      <c r="H7" s="1"/>
      <c r="I7" s="1"/>
      <c r="J7" s="1"/>
      <c r="K7" s="1"/>
      <c r="L7" s="1"/>
    </row>
    <row r="8" spans="1:15">
      <c r="A8" s="1"/>
      <c r="B8" s="32">
        <v>2015</v>
      </c>
      <c r="C8" s="32">
        <v>618</v>
      </c>
      <c r="D8" s="32">
        <v>860</v>
      </c>
      <c r="E8" s="92">
        <v>1042</v>
      </c>
      <c r="F8" s="92">
        <v>1187</v>
      </c>
      <c r="G8" s="92">
        <v>1256</v>
      </c>
      <c r="H8" s="1"/>
      <c r="I8" s="1"/>
      <c r="J8" s="1"/>
      <c r="K8" s="1"/>
      <c r="L8" s="1"/>
    </row>
    <row r="9" spans="1:15">
      <c r="A9" s="1"/>
      <c r="B9" s="32">
        <v>2016</v>
      </c>
      <c r="C9" s="32">
        <v>801</v>
      </c>
      <c r="D9" s="92">
        <v>1035</v>
      </c>
      <c r="E9" s="92">
        <v>1273</v>
      </c>
      <c r="F9" s="92">
        <v>1426</v>
      </c>
      <c r="G9" s="32"/>
      <c r="H9" s="1"/>
      <c r="I9" s="1"/>
      <c r="J9" s="1"/>
      <c r="K9" s="1"/>
      <c r="L9" s="1"/>
    </row>
    <row r="10" spans="1:15">
      <c r="A10" s="1"/>
      <c r="B10" s="32">
        <v>2017</v>
      </c>
      <c r="C10" s="32">
        <v>627</v>
      </c>
      <c r="D10" s="32">
        <v>882</v>
      </c>
      <c r="E10" s="92">
        <v>1082</v>
      </c>
      <c r="F10" s="32"/>
      <c r="G10" s="32"/>
      <c r="H10" s="1"/>
      <c r="I10" s="1"/>
      <c r="J10" s="1"/>
      <c r="K10" s="1"/>
      <c r="L10" s="1"/>
    </row>
    <row r="11" spans="1:15">
      <c r="A11" s="1"/>
      <c r="B11" s="32">
        <v>2018</v>
      </c>
      <c r="C11" s="32">
        <v>606</v>
      </c>
      <c r="D11" s="32">
        <v>929</v>
      </c>
      <c r="E11" s="32"/>
      <c r="F11" s="32"/>
      <c r="G11" s="32"/>
      <c r="H11" s="1"/>
      <c r="I11" s="1"/>
      <c r="J11" s="1"/>
      <c r="K11" s="1"/>
      <c r="L11" s="1"/>
    </row>
    <row r="12" spans="1:15">
      <c r="A12" s="1"/>
      <c r="B12" s="32">
        <v>2019</v>
      </c>
      <c r="C12" s="32">
        <v>699</v>
      </c>
      <c r="D12" s="32"/>
      <c r="E12" s="32"/>
      <c r="F12" s="32"/>
      <c r="G12" s="32"/>
      <c r="H12" s="1"/>
      <c r="I12" s="1"/>
      <c r="J12" s="1"/>
      <c r="K12" s="1"/>
      <c r="L12" s="1"/>
    </row>
    <row r="13" spans="1:15">
      <c r="A13" s="1"/>
      <c r="B13" s="1"/>
      <c r="C13" s="1"/>
      <c r="D13" s="1"/>
      <c r="E13" s="1"/>
      <c r="F13" s="1"/>
      <c r="G13" s="1"/>
      <c r="H13" s="1"/>
      <c r="I13" s="1"/>
      <c r="J13" s="1"/>
      <c r="K13" s="1"/>
      <c r="L13" s="1"/>
    </row>
    <row r="14" spans="1:15">
      <c r="A14" s="1"/>
      <c r="B14" s="841" t="s">
        <v>301</v>
      </c>
      <c r="C14" s="841"/>
      <c r="D14" s="841"/>
      <c r="E14" s="841"/>
      <c r="F14" s="841"/>
      <c r="G14" s="1"/>
      <c r="H14" s="1"/>
      <c r="I14" s="1"/>
      <c r="J14" s="1"/>
      <c r="K14" s="1"/>
      <c r="L14" s="1"/>
    </row>
    <row r="15" spans="1:15">
      <c r="A15" s="1"/>
      <c r="B15" s="27">
        <v>12</v>
      </c>
      <c r="C15" s="27">
        <v>24</v>
      </c>
      <c r="D15" s="27">
        <v>36</v>
      </c>
      <c r="E15" s="27">
        <v>48</v>
      </c>
      <c r="F15" s="27">
        <v>60</v>
      </c>
      <c r="G15" s="1"/>
      <c r="H15" s="1"/>
      <c r="I15" s="1"/>
      <c r="J15" s="1"/>
      <c r="K15" s="1"/>
      <c r="L15" s="1"/>
    </row>
    <row r="16" spans="1:15">
      <c r="A16" s="1"/>
      <c r="B16" s="32">
        <v>0.44900000000000001</v>
      </c>
      <c r="C16" s="32">
        <v>0.68799999999999994</v>
      </c>
      <c r="D16" s="32">
        <v>0.84399999999999997</v>
      </c>
      <c r="E16" s="32">
        <v>0.94499999999999995</v>
      </c>
      <c r="F16" s="184">
        <v>1</v>
      </c>
      <c r="G16" s="1"/>
      <c r="H16" s="1"/>
      <c r="I16" s="1"/>
      <c r="J16" s="1"/>
      <c r="K16" s="1"/>
      <c r="L16" s="1"/>
    </row>
    <row r="17" spans="1:18">
      <c r="A17" s="1"/>
      <c r="B17" s="1"/>
      <c r="C17" s="1"/>
      <c r="D17" s="1"/>
      <c r="E17" s="1"/>
      <c r="F17" s="1"/>
      <c r="G17" s="1"/>
      <c r="H17" s="1"/>
      <c r="I17" s="1"/>
      <c r="J17" s="1"/>
      <c r="K17" s="1"/>
      <c r="L17" s="1"/>
    </row>
    <row r="18" spans="1:18">
      <c r="A18" s="3"/>
      <c r="B18" s="3"/>
      <c r="C18" s="3"/>
      <c r="D18" s="3"/>
      <c r="E18" s="3"/>
      <c r="F18" s="3"/>
      <c r="G18" s="3"/>
      <c r="H18" s="3"/>
      <c r="I18" s="3"/>
      <c r="J18" s="3"/>
      <c r="K18" s="3"/>
      <c r="L18" s="3"/>
    </row>
    <row r="19" spans="1:18">
      <c r="A19" s="17" t="s">
        <v>91</v>
      </c>
      <c r="B19" s="1" t="s">
        <v>302</v>
      </c>
      <c r="C19" s="1"/>
      <c r="D19" s="1"/>
      <c r="E19" s="1"/>
      <c r="F19" s="1"/>
      <c r="G19" s="1"/>
      <c r="H19" s="1"/>
      <c r="I19" s="1"/>
      <c r="J19" s="1"/>
      <c r="K19" s="1"/>
      <c r="L19" s="1"/>
      <c r="M19" s="9"/>
      <c r="N19" s="9"/>
      <c r="O19" s="9"/>
      <c r="P19" s="9"/>
      <c r="Q19" s="9"/>
      <c r="R19" s="9"/>
    </row>
    <row r="20" spans="1:18">
      <c r="A20" s="14"/>
      <c r="B20" s="14"/>
      <c r="C20" s="14"/>
      <c r="D20" s="14"/>
      <c r="E20" s="14"/>
      <c r="F20" s="14"/>
      <c r="G20" s="1"/>
      <c r="H20" s="1"/>
      <c r="I20" s="1"/>
      <c r="J20" s="1"/>
      <c r="K20" s="1"/>
      <c r="L20" s="1"/>
    </row>
    <row r="21" spans="1:18">
      <c r="A21" s="3"/>
      <c r="B21" s="3"/>
      <c r="C21" s="3"/>
      <c r="D21" s="3"/>
      <c r="E21" s="3"/>
      <c r="F21" s="3"/>
      <c r="G21" s="3"/>
      <c r="H21" s="3"/>
      <c r="I21" s="3"/>
      <c r="J21" s="3"/>
      <c r="K21" s="3"/>
      <c r="L21" s="3"/>
      <c r="M21" s="3"/>
    </row>
    <row r="22" spans="1:18">
      <c r="A22" s="3" t="s">
        <v>20</v>
      </c>
      <c r="B22" s="3"/>
      <c r="C22" s="3"/>
      <c r="D22" s="3"/>
      <c r="E22" s="3"/>
      <c r="F22" s="3"/>
      <c r="G22" s="3"/>
      <c r="H22" s="3"/>
      <c r="I22" s="3"/>
      <c r="J22" s="3"/>
      <c r="K22" s="3"/>
      <c r="L22" s="3"/>
      <c r="M22" s="3"/>
      <c r="N22" s="9"/>
    </row>
    <row r="23" spans="1:18" ht="15.6" customHeight="1">
      <c r="A23" s="3"/>
      <c r="B23" s="842" t="s">
        <v>49</v>
      </c>
      <c r="C23" s="844" t="s">
        <v>303</v>
      </c>
      <c r="D23" s="844"/>
      <c r="E23" s="844"/>
      <c r="F23" s="844"/>
      <c r="G23" s="844"/>
      <c r="H23" s="34" t="s">
        <v>276</v>
      </c>
      <c r="I23" s="3"/>
      <c r="J23" s="3"/>
      <c r="K23" s="3"/>
      <c r="L23" s="3"/>
      <c r="M23" s="3"/>
      <c r="N23" s="9"/>
    </row>
    <row r="24" spans="1:18">
      <c r="A24" s="3"/>
      <c r="B24" s="843"/>
      <c r="C24" s="107">
        <v>12</v>
      </c>
      <c r="D24" s="107">
        <f>C24+12</f>
        <v>24</v>
      </c>
      <c r="E24" s="107">
        <f t="shared" ref="E24:G24" si="0">D24+12</f>
        <v>36</v>
      </c>
      <c r="F24" s="107">
        <f t="shared" si="0"/>
        <v>48</v>
      </c>
      <c r="G24" s="107">
        <f t="shared" si="0"/>
        <v>60</v>
      </c>
      <c r="H24" s="35" t="s">
        <v>304</v>
      </c>
      <c r="I24" s="3"/>
      <c r="J24" s="3"/>
      <c r="K24" s="3"/>
      <c r="L24" s="3"/>
      <c r="M24" s="3"/>
      <c r="N24" s="9"/>
    </row>
    <row r="25" spans="1:18">
      <c r="A25" s="3"/>
      <c r="B25" s="94">
        <v>2015</v>
      </c>
      <c r="C25" s="186">
        <f>ROUND(B16*H25,0)</f>
        <v>564</v>
      </c>
      <c r="D25" s="186">
        <f>ROUND(C16*H25,0)</f>
        <v>864</v>
      </c>
      <c r="E25" s="186">
        <f>ROUND(D16*H25,0)</f>
        <v>1060</v>
      </c>
      <c r="F25" s="186">
        <f>ROUND(E16*H25,0)</f>
        <v>1187</v>
      </c>
      <c r="G25" s="106">
        <f>G8</f>
        <v>1256</v>
      </c>
      <c r="H25" s="106">
        <f>ROUND(G25/F16,0)</f>
        <v>1256</v>
      </c>
      <c r="I25" s="3"/>
      <c r="J25" s="3"/>
      <c r="K25" s="3"/>
      <c r="L25" s="3"/>
      <c r="M25" s="3"/>
      <c r="N25" s="9"/>
    </row>
    <row r="26" spans="1:18">
      <c r="A26" s="3"/>
      <c r="B26" s="94">
        <v>2016</v>
      </c>
      <c r="C26" s="186">
        <f>ROUND(B16*H26,0)</f>
        <v>678</v>
      </c>
      <c r="D26" s="186">
        <f>ROUND(C16*H26,0)</f>
        <v>1038</v>
      </c>
      <c r="E26" s="186">
        <f>ROUND(D16*H26,0)</f>
        <v>1274</v>
      </c>
      <c r="F26" s="106">
        <f>F9</f>
        <v>1426</v>
      </c>
      <c r="G26" s="106"/>
      <c r="H26" s="106">
        <f>ROUND(F26/E16,0)</f>
        <v>1509</v>
      </c>
      <c r="I26" s="3"/>
      <c r="J26" s="3"/>
      <c r="K26" s="3"/>
      <c r="L26" s="3"/>
      <c r="M26" s="3"/>
      <c r="N26" s="9"/>
    </row>
    <row r="27" spans="1:18">
      <c r="B27" s="94">
        <v>2017</v>
      </c>
      <c r="C27" s="186">
        <f>ROUND(B16*H27,0)</f>
        <v>576</v>
      </c>
      <c r="D27" s="186">
        <f>ROUND(C16*H27,0)</f>
        <v>882</v>
      </c>
      <c r="E27" s="106">
        <f>E10</f>
        <v>1082</v>
      </c>
      <c r="F27" s="106"/>
      <c r="G27" s="106"/>
      <c r="H27" s="106">
        <f>ROUND(E27/D16,0)</f>
        <v>1282</v>
      </c>
      <c r="M27" s="9"/>
      <c r="N27" s="9"/>
    </row>
    <row r="28" spans="1:18">
      <c r="B28" s="94">
        <v>2018</v>
      </c>
      <c r="C28" s="186">
        <f>ROUND(B16*H28,0)</f>
        <v>606</v>
      </c>
      <c r="D28" s="106">
        <f>D11</f>
        <v>929</v>
      </c>
      <c r="E28" s="106"/>
      <c r="F28" s="106"/>
      <c r="G28" s="106"/>
      <c r="H28" s="106">
        <f>ROUND(D28/C16,0)</f>
        <v>1350</v>
      </c>
      <c r="M28" s="9"/>
      <c r="N28" s="9"/>
    </row>
    <row r="29" spans="1:18">
      <c r="B29" s="94">
        <v>2019</v>
      </c>
      <c r="C29" s="106">
        <f>C12</f>
        <v>699</v>
      </c>
      <c r="D29" s="106"/>
      <c r="E29" s="106"/>
      <c r="F29" s="106"/>
      <c r="G29" s="106"/>
      <c r="H29" s="106">
        <f>ROUND(C29/B16,0)</f>
        <v>1557</v>
      </c>
      <c r="M29" s="9"/>
      <c r="N29" s="9"/>
    </row>
    <row r="30" spans="1:18">
      <c r="M30" s="9"/>
      <c r="N30" s="9"/>
    </row>
    <row r="31" spans="1:18">
      <c r="A31" s="1" t="s">
        <v>12</v>
      </c>
      <c r="B31" s="1"/>
      <c r="C31" s="1"/>
      <c r="D31" s="1"/>
      <c r="E31" s="1"/>
      <c r="F31" s="1"/>
      <c r="G31" s="1"/>
      <c r="H31" s="1"/>
      <c r="I31" s="1"/>
      <c r="J31" s="1"/>
      <c r="K31" s="1"/>
      <c r="L31" s="14"/>
      <c r="M31" s="9"/>
      <c r="N31" s="9"/>
    </row>
    <row r="32" spans="1:18">
      <c r="A32" s="1"/>
      <c r="B32" s="1"/>
      <c r="C32" s="1"/>
      <c r="D32" s="1"/>
      <c r="E32" s="1"/>
      <c r="F32" s="1"/>
      <c r="G32" s="1"/>
      <c r="H32" s="1"/>
      <c r="I32" s="1"/>
      <c r="J32" s="1"/>
      <c r="K32" s="1"/>
      <c r="L32" s="14"/>
      <c r="M32" s="9"/>
      <c r="N32" s="9"/>
    </row>
    <row r="33" spans="1:14">
      <c r="A33" s="1"/>
      <c r="B33" s="829" t="s">
        <v>49</v>
      </c>
      <c r="C33" s="841" t="s">
        <v>305</v>
      </c>
      <c r="D33" s="841"/>
      <c r="E33" s="841"/>
      <c r="F33" s="841"/>
      <c r="G33" s="841"/>
      <c r="H33" s="1"/>
      <c r="I33" s="206"/>
      <c r="J33" s="845" t="s">
        <v>306</v>
      </c>
      <c r="K33" s="846"/>
      <c r="L33" s="14"/>
      <c r="M33" s="9"/>
      <c r="N33" s="9"/>
    </row>
    <row r="34" spans="1:14" ht="15.6" customHeight="1">
      <c r="A34" s="1"/>
      <c r="B34" s="829"/>
      <c r="C34" s="27">
        <v>12</v>
      </c>
      <c r="D34" s="27">
        <v>24</v>
      </c>
      <c r="E34" s="27">
        <v>36</v>
      </c>
      <c r="F34" s="27">
        <v>48</v>
      </c>
      <c r="G34" s="27">
        <v>60</v>
      </c>
      <c r="H34" s="1"/>
      <c r="I34" s="849" t="s">
        <v>49</v>
      </c>
      <c r="J34" s="847"/>
      <c r="K34" s="848"/>
      <c r="L34" s="14"/>
      <c r="M34" s="9"/>
      <c r="N34" s="9"/>
    </row>
    <row r="35" spans="1:14">
      <c r="A35" s="1"/>
      <c r="B35" s="32">
        <v>2015</v>
      </c>
      <c r="C35" s="92">
        <v>756000</v>
      </c>
      <c r="D35" s="92">
        <v>2101000</v>
      </c>
      <c r="E35" s="92">
        <v>4562000</v>
      </c>
      <c r="F35" s="92">
        <v>6689000</v>
      </c>
      <c r="G35" s="92">
        <v>7213000</v>
      </c>
      <c r="H35" s="1"/>
      <c r="I35" s="850"/>
      <c r="J35" s="5" t="s">
        <v>66</v>
      </c>
      <c r="K35" s="5" t="s">
        <v>65</v>
      </c>
      <c r="L35" s="14"/>
      <c r="M35" s="9"/>
      <c r="N35" s="9"/>
    </row>
    <row r="36" spans="1:14">
      <c r="A36" s="1"/>
      <c r="B36" s="32">
        <v>2016</v>
      </c>
      <c r="C36" s="92">
        <v>865000</v>
      </c>
      <c r="D36" s="92">
        <v>2250000</v>
      </c>
      <c r="E36" s="92">
        <v>5230000</v>
      </c>
      <c r="F36" s="92">
        <v>8044000</v>
      </c>
      <c r="G36" s="32"/>
      <c r="H36" s="1"/>
      <c r="I36" s="25">
        <v>2016</v>
      </c>
      <c r="J36" s="77">
        <v>615000</v>
      </c>
      <c r="K36" s="77">
        <v>801000</v>
      </c>
      <c r="L36" s="14"/>
      <c r="M36" s="9"/>
      <c r="N36" s="9"/>
    </row>
    <row r="37" spans="1:14">
      <c r="A37" s="1"/>
      <c r="B37" s="32">
        <v>2017</v>
      </c>
      <c r="C37" s="92">
        <v>696000</v>
      </c>
      <c r="D37" s="92">
        <v>1967000</v>
      </c>
      <c r="E37" s="92">
        <v>4601000</v>
      </c>
      <c r="F37" s="32"/>
      <c r="G37" s="32"/>
      <c r="H37" s="1"/>
      <c r="I37" s="6">
        <v>2018</v>
      </c>
      <c r="J37" s="7">
        <v>297000</v>
      </c>
      <c r="K37" s="7">
        <v>923000</v>
      </c>
      <c r="L37" s="14"/>
      <c r="M37" s="9"/>
      <c r="N37" s="9"/>
    </row>
    <row r="38" spans="1:14">
      <c r="A38" s="1"/>
      <c r="B38" s="32">
        <v>2018</v>
      </c>
      <c r="C38" s="92">
        <v>699000</v>
      </c>
      <c r="D38" s="92">
        <v>2145000</v>
      </c>
      <c r="E38" s="32"/>
      <c r="F38" s="32"/>
      <c r="G38" s="32"/>
      <c r="H38" s="1"/>
      <c r="I38" s="1"/>
      <c r="J38" s="1"/>
      <c r="K38" s="1"/>
      <c r="L38" s="14"/>
      <c r="M38" s="9"/>
      <c r="N38" s="9"/>
    </row>
    <row r="39" spans="1:14">
      <c r="A39" s="1"/>
      <c r="B39" s="32">
        <v>2019</v>
      </c>
      <c r="C39" s="92">
        <v>832000</v>
      </c>
      <c r="D39" s="32"/>
      <c r="E39" s="32"/>
      <c r="F39" s="32"/>
      <c r="G39" s="32"/>
      <c r="H39" s="1"/>
      <c r="I39" s="1"/>
      <c r="J39" s="1"/>
      <c r="K39" s="1"/>
      <c r="L39" s="14"/>
      <c r="M39" s="9"/>
      <c r="N39" s="9"/>
    </row>
    <row r="40" spans="1:14">
      <c r="A40" s="1"/>
      <c r="B40" s="1"/>
      <c r="C40" s="1"/>
      <c r="D40" s="1"/>
      <c r="E40" s="1"/>
      <c r="F40" s="1"/>
      <c r="G40" s="1"/>
      <c r="H40" s="1"/>
      <c r="I40" s="1"/>
      <c r="J40" s="1"/>
      <c r="K40" s="1"/>
      <c r="L40" s="14"/>
      <c r="M40" s="9"/>
      <c r="N40" s="9"/>
    </row>
    <row r="41" spans="1:14">
      <c r="A41" s="1"/>
      <c r="B41" s="16" t="s">
        <v>9</v>
      </c>
      <c r="C41" s="1" t="s">
        <v>307</v>
      </c>
      <c r="D41" s="1"/>
      <c r="E41" s="1"/>
      <c r="F41" s="1"/>
      <c r="G41" s="1"/>
      <c r="H41" s="1"/>
      <c r="I41" s="1"/>
      <c r="J41" s="1"/>
      <c r="K41" s="1"/>
      <c r="L41" s="14"/>
      <c r="M41" s="9"/>
      <c r="N41" s="9"/>
    </row>
    <row r="42" spans="1:14">
      <c r="A42" s="1"/>
      <c r="B42" s="16" t="s">
        <v>9</v>
      </c>
      <c r="C42" s="1" t="s">
        <v>308</v>
      </c>
      <c r="D42" s="1"/>
      <c r="E42" s="1"/>
      <c r="F42" s="1"/>
      <c r="G42" s="1"/>
      <c r="H42" s="1"/>
      <c r="I42" s="1"/>
      <c r="J42" s="1"/>
      <c r="K42" s="1"/>
      <c r="L42" s="14"/>
      <c r="M42" s="9"/>
      <c r="N42" s="9"/>
    </row>
    <row r="43" spans="1:14">
      <c r="A43" s="1"/>
      <c r="B43" s="1"/>
      <c r="C43" s="1"/>
      <c r="D43" s="1"/>
      <c r="E43" s="1"/>
      <c r="F43" s="1"/>
      <c r="G43" s="1"/>
      <c r="H43" s="1"/>
      <c r="I43" s="1"/>
      <c r="J43" s="1"/>
      <c r="K43" s="1"/>
      <c r="L43" s="14"/>
      <c r="M43" s="9"/>
      <c r="N43" s="9"/>
    </row>
    <row r="44" spans="1:14" ht="18" customHeight="1">
      <c r="A44" s="1"/>
      <c r="B44" s="851" t="s">
        <v>309</v>
      </c>
      <c r="C44" s="840"/>
      <c r="D44" s="840"/>
      <c r="E44" s="840"/>
      <c r="F44" s="840"/>
      <c r="G44" s="840"/>
      <c r="H44" s="840"/>
      <c r="I44" s="840"/>
      <c r="J44" s="840"/>
      <c r="K44" s="840"/>
      <c r="L44" s="840"/>
      <c r="M44" s="9"/>
      <c r="N44" s="9"/>
    </row>
    <row r="45" spans="1:14" ht="18" customHeight="1">
      <c r="A45" s="1"/>
      <c r="B45" s="840"/>
      <c r="C45" s="840"/>
      <c r="D45" s="840"/>
      <c r="E45" s="840"/>
      <c r="F45" s="840"/>
      <c r="G45" s="840"/>
      <c r="H45" s="840"/>
      <c r="I45" s="840"/>
      <c r="J45" s="840"/>
      <c r="K45" s="840"/>
      <c r="L45" s="840"/>
      <c r="M45" s="9"/>
      <c r="N45" s="9"/>
    </row>
    <row r="46" spans="1:14">
      <c r="A46" s="1"/>
      <c r="B46" s="189"/>
      <c r="C46" s="190"/>
      <c r="D46" s="190"/>
      <c r="E46" s="1"/>
      <c r="F46" s="1"/>
      <c r="G46" s="1"/>
      <c r="H46" s="1"/>
      <c r="I46" s="1"/>
      <c r="J46" s="1"/>
      <c r="K46" s="1"/>
      <c r="L46" s="14"/>
      <c r="M46" s="9"/>
      <c r="N46" s="9"/>
    </row>
    <row r="47" spans="1:14" ht="16.2">
      <c r="A47" s="1"/>
      <c r="B47" s="829" t="s">
        <v>49</v>
      </c>
      <c r="C47" s="841" t="s">
        <v>310</v>
      </c>
      <c r="D47" s="841"/>
      <c r="E47" s="841"/>
      <c r="F47" s="841"/>
      <c r="G47" s="1"/>
      <c r="H47" s="829" t="s">
        <v>49</v>
      </c>
      <c r="I47" s="841" t="s">
        <v>311</v>
      </c>
      <c r="J47" s="841"/>
      <c r="K47" s="841"/>
      <c r="L47" s="841"/>
      <c r="M47" s="9"/>
      <c r="N47" s="9"/>
    </row>
    <row r="48" spans="1:14">
      <c r="A48" s="1"/>
      <c r="B48" s="829"/>
      <c r="C48" s="27" t="s">
        <v>312</v>
      </c>
      <c r="D48" s="27" t="s">
        <v>313</v>
      </c>
      <c r="E48" s="27" t="s">
        <v>314</v>
      </c>
      <c r="F48" s="27" t="s">
        <v>315</v>
      </c>
      <c r="G48" s="1"/>
      <c r="H48" s="829"/>
      <c r="I48" s="27" t="s">
        <v>312</v>
      </c>
      <c r="J48" s="27" t="s">
        <v>313</v>
      </c>
      <c r="K48" s="27" t="s">
        <v>314</v>
      </c>
      <c r="L48" s="27" t="s">
        <v>315</v>
      </c>
      <c r="M48" s="9"/>
      <c r="N48" s="9"/>
    </row>
    <row r="49" spans="1:14">
      <c r="A49" s="1"/>
      <c r="B49" s="32">
        <v>2015</v>
      </c>
      <c r="C49" s="92">
        <v>55580</v>
      </c>
      <c r="D49" s="92">
        <v>53863</v>
      </c>
      <c r="E49" s="92">
        <v>291585</v>
      </c>
      <c r="F49" s="92">
        <v>1827615</v>
      </c>
      <c r="G49" s="1"/>
      <c r="H49" s="32">
        <v>2015</v>
      </c>
      <c r="I49" s="32">
        <v>4.2199999999999998E-3</v>
      </c>
      <c r="J49" s="32">
        <v>4.2599999999999999E-3</v>
      </c>
      <c r="K49" s="32">
        <v>2.64E-3</v>
      </c>
      <c r="L49" s="32">
        <v>1.09E-3</v>
      </c>
      <c r="M49" s="9"/>
      <c r="N49" s="9"/>
    </row>
    <row r="50" spans="1:14">
      <c r="A50" s="1"/>
      <c r="B50" s="32">
        <v>2016</v>
      </c>
      <c r="C50" s="92">
        <v>32800</v>
      </c>
      <c r="D50" s="92">
        <v>57432</v>
      </c>
      <c r="E50" s="92">
        <v>145499</v>
      </c>
      <c r="F50" s="32"/>
      <c r="G50" s="1"/>
      <c r="H50" s="32">
        <v>2016</v>
      </c>
      <c r="I50" s="32">
        <v>4.0899999999999999E-3</v>
      </c>
      <c r="J50" s="32">
        <v>3.5400000000000002E-3</v>
      </c>
      <c r="K50" s="32">
        <v>2.81E-3</v>
      </c>
      <c r="L50" s="32"/>
      <c r="M50" s="9"/>
      <c r="N50" s="9"/>
    </row>
    <row r="51" spans="1:14">
      <c r="A51" s="1"/>
      <c r="B51" s="32">
        <v>2017</v>
      </c>
      <c r="C51" s="92">
        <v>54100</v>
      </c>
      <c r="D51" s="92">
        <v>46377</v>
      </c>
      <c r="E51" s="32"/>
      <c r="F51" s="32"/>
      <c r="G51" s="1"/>
      <c r="H51" s="32">
        <v>2017</v>
      </c>
      <c r="I51" s="32">
        <v>4.0699999999999998E-3</v>
      </c>
      <c r="J51" s="32">
        <v>4.2500000000000003E-3</v>
      </c>
      <c r="K51" s="32"/>
      <c r="L51" s="32"/>
      <c r="M51" s="9"/>
      <c r="N51" s="9"/>
    </row>
    <row r="52" spans="1:14">
      <c r="A52" s="1"/>
      <c r="B52" s="32">
        <v>2018</v>
      </c>
      <c r="C52" s="92">
        <v>85287</v>
      </c>
      <c r="D52" s="32"/>
      <c r="E52" s="32"/>
      <c r="F52" s="32"/>
      <c r="G52" s="1"/>
      <c r="H52" s="32">
        <v>2018</v>
      </c>
      <c r="I52" s="32">
        <v>3.47E-3</v>
      </c>
      <c r="J52" s="32"/>
      <c r="K52" s="32"/>
      <c r="L52" s="32"/>
      <c r="M52" s="9"/>
      <c r="N52" s="9"/>
    </row>
    <row r="53" spans="1:14">
      <c r="A53" s="1"/>
      <c r="B53" s="1"/>
      <c r="C53" s="1"/>
      <c r="D53" s="1"/>
      <c r="E53" s="1"/>
      <c r="F53" s="1"/>
      <c r="G53" s="1"/>
      <c r="H53" s="1"/>
      <c r="I53" s="1"/>
      <c r="J53" s="1"/>
      <c r="K53" s="1"/>
      <c r="L53" s="1"/>
      <c r="M53" s="9"/>
      <c r="N53" s="9"/>
    </row>
    <row r="55" spans="1:14">
      <c r="A55" s="17" t="s">
        <v>133</v>
      </c>
      <c r="B55" s="1" t="s">
        <v>316</v>
      </c>
      <c r="C55" s="1"/>
      <c r="D55" s="1"/>
      <c r="E55" s="1"/>
      <c r="F55" s="1"/>
      <c r="G55" s="1"/>
      <c r="H55" s="1"/>
      <c r="I55" s="1"/>
      <c r="J55" s="1"/>
      <c r="K55" s="1"/>
      <c r="L55" s="1"/>
    </row>
    <row r="56" spans="1:14">
      <c r="A56" s="14"/>
      <c r="B56" s="14"/>
      <c r="C56" s="14"/>
      <c r="D56" s="14"/>
      <c r="E56" s="14"/>
      <c r="F56" s="14"/>
      <c r="G56" s="1"/>
      <c r="H56" s="1"/>
      <c r="I56" s="1"/>
      <c r="J56" s="1"/>
      <c r="K56" s="1"/>
      <c r="L56" s="1"/>
    </row>
    <row r="57" spans="1:14">
      <c r="A57" s="3"/>
      <c r="B57" s="3"/>
      <c r="C57" s="3"/>
      <c r="D57" s="3"/>
      <c r="E57" s="3"/>
      <c r="F57" s="3"/>
      <c r="G57" s="3"/>
      <c r="H57" s="3"/>
      <c r="I57" s="3"/>
      <c r="J57" s="3"/>
      <c r="K57" s="3"/>
      <c r="L57" s="3"/>
    </row>
    <row r="58" spans="1:14">
      <c r="A58" s="3" t="s">
        <v>20</v>
      </c>
      <c r="B58" s="3"/>
      <c r="C58" s="3"/>
      <c r="D58" s="3"/>
      <c r="E58" s="3"/>
      <c r="F58" s="3"/>
      <c r="G58" s="3"/>
      <c r="H58" s="3"/>
      <c r="I58" s="3"/>
      <c r="J58" s="3"/>
      <c r="K58" s="3"/>
      <c r="L58" s="3"/>
    </row>
    <row r="59" spans="1:14" ht="15.6" customHeight="1">
      <c r="A59" s="3"/>
      <c r="B59" s="842" t="s">
        <v>49</v>
      </c>
      <c r="C59" s="844" t="s">
        <v>317</v>
      </c>
      <c r="D59" s="844"/>
      <c r="E59" s="844"/>
      <c r="F59" s="844"/>
      <c r="G59" s="844"/>
      <c r="H59" s="3"/>
      <c r="I59" s="3"/>
      <c r="J59" s="3"/>
      <c r="K59" s="3"/>
      <c r="L59" s="3"/>
    </row>
    <row r="60" spans="1:14">
      <c r="A60" s="3"/>
      <c r="B60" s="843"/>
      <c r="C60" s="107">
        <v>12</v>
      </c>
      <c r="D60" s="107">
        <f>C60+12</f>
        <v>24</v>
      </c>
      <c r="E60" s="107">
        <f t="shared" ref="E60:G60" si="1">D60+12</f>
        <v>36</v>
      </c>
      <c r="F60" s="107">
        <f t="shared" si="1"/>
        <v>48</v>
      </c>
      <c r="G60" s="107">
        <f t="shared" si="1"/>
        <v>60</v>
      </c>
      <c r="H60" s="3"/>
      <c r="I60" s="3"/>
      <c r="J60" s="3"/>
      <c r="K60" s="3"/>
      <c r="L60" s="3"/>
    </row>
    <row r="61" spans="1:14">
      <c r="B61" s="94">
        <v>2015</v>
      </c>
      <c r="C61" s="186">
        <f>C49*EXP(I49*C25)</f>
        <v>600584.54601916159</v>
      </c>
      <c r="D61" s="186">
        <f t="shared" ref="D61:F61" si="2">D49*EXP(J49*D25)</f>
        <v>2136840.8645526273</v>
      </c>
      <c r="E61" s="186">
        <f t="shared" si="2"/>
        <v>4787346.4433680279</v>
      </c>
      <c r="F61" s="186">
        <f t="shared" si="2"/>
        <v>6664812.6130123874</v>
      </c>
      <c r="G61" s="106">
        <f>G35</f>
        <v>7213000</v>
      </c>
      <c r="M61" s="3"/>
    </row>
    <row r="62" spans="1:14">
      <c r="B62" s="94">
        <v>2016</v>
      </c>
      <c r="C62" s="186">
        <f t="shared" ref="C62:E63" si="3">C50*EXP(I50*C26)</f>
        <v>525026.38338211272</v>
      </c>
      <c r="D62" s="186">
        <f t="shared" si="3"/>
        <v>2264528.0262547652</v>
      </c>
      <c r="E62" s="186">
        <f t="shared" si="3"/>
        <v>5219251.1552426303</v>
      </c>
      <c r="F62" s="106">
        <f>F36</f>
        <v>8044000</v>
      </c>
      <c r="G62" s="106"/>
      <c r="M62" s="3"/>
    </row>
    <row r="63" spans="1:14">
      <c r="B63" s="94">
        <v>2017</v>
      </c>
      <c r="C63" s="186">
        <f t="shared" si="3"/>
        <v>564056.36579226109</v>
      </c>
      <c r="D63" s="186">
        <f t="shared" si="3"/>
        <v>1969044.43697845</v>
      </c>
      <c r="E63" s="106">
        <f>E37</f>
        <v>4601000</v>
      </c>
      <c r="F63" s="106"/>
      <c r="G63" s="106"/>
      <c r="M63" s="3"/>
    </row>
    <row r="64" spans="1:14">
      <c r="B64" s="94">
        <v>2018</v>
      </c>
      <c r="C64" s="186">
        <f>C52*EXP(I52*C28)</f>
        <v>698434.94537072349</v>
      </c>
      <c r="D64" s="106">
        <f>D38</f>
        <v>2145000</v>
      </c>
      <c r="E64" s="106"/>
      <c r="F64" s="106"/>
      <c r="G64" s="106"/>
    </row>
    <row r="65" spans="2:8">
      <c r="B65" s="94">
        <v>2019</v>
      </c>
      <c r="C65" s="106">
        <f>C39</f>
        <v>832000</v>
      </c>
      <c r="D65" s="106"/>
      <c r="E65" s="106"/>
      <c r="F65" s="106"/>
      <c r="G65" s="106"/>
    </row>
    <row r="67" spans="2:8">
      <c r="B67" s="2" t="s">
        <v>318</v>
      </c>
    </row>
    <row r="68" spans="2:8">
      <c r="C68" s="34" t="str">
        <f>C60&amp;"-"&amp;D60</f>
        <v>12-24</v>
      </c>
      <c r="D68" s="34" t="str">
        <f t="shared" ref="D68:G68" si="4">D60&amp;"-"&amp;E60</f>
        <v>24-36</v>
      </c>
      <c r="E68" s="34" t="str">
        <f t="shared" si="4"/>
        <v>36-48</v>
      </c>
      <c r="F68" s="34" t="str">
        <f t="shared" si="4"/>
        <v>48-60</v>
      </c>
      <c r="G68" s="34" t="str">
        <f t="shared" si="4"/>
        <v>60-</v>
      </c>
    </row>
    <row r="69" spans="2:8">
      <c r="B69" s="2" t="s">
        <v>319</v>
      </c>
      <c r="C69" s="160">
        <f>SUM(D62:D64)/SUM(C62:C64)</f>
        <v>3.5683968235382921</v>
      </c>
      <c r="D69" s="160">
        <f>SUM(E61:E63)/SUM(D61:D63)</f>
        <v>2.2930376487341371</v>
      </c>
      <c r="E69" s="160">
        <f>SUM(F61:F62)/SUM(E61:E62)</f>
        <v>1.4699114727122231</v>
      </c>
      <c r="F69" s="160">
        <f>G61/F61</f>
        <v>1.0822509827084006</v>
      </c>
      <c r="G69" s="160">
        <v>1</v>
      </c>
    </row>
    <row r="70" spans="2:8">
      <c r="B70" s="2" t="s">
        <v>320</v>
      </c>
      <c r="C70" s="160">
        <f>PRODUCT(C69:G69)</f>
        <v>13.016777994754829</v>
      </c>
      <c r="D70" s="160">
        <f>PRODUCT(D69:G69)</f>
        <v>3.6477944125754114</v>
      </c>
      <c r="E70" s="160">
        <f>PRODUCT(E69:G69)</f>
        <v>1.5908131358371558</v>
      </c>
      <c r="F70" s="160">
        <f>PRODUCT(F69:G69)</f>
        <v>1.0822509827084006</v>
      </c>
      <c r="G70" s="160">
        <f>G69</f>
        <v>1</v>
      </c>
    </row>
    <row r="72" spans="2:8">
      <c r="B72" s="842" t="s">
        <v>49</v>
      </c>
      <c r="C72" s="34"/>
      <c r="D72" s="34" t="s">
        <v>320</v>
      </c>
      <c r="E72" s="191" t="s">
        <v>321</v>
      </c>
      <c r="F72" s="34" t="s">
        <v>322</v>
      </c>
      <c r="G72" s="191" t="s">
        <v>321</v>
      </c>
      <c r="H72" s="34" t="s">
        <v>323</v>
      </c>
    </row>
    <row r="73" spans="2:8">
      <c r="B73" s="843"/>
      <c r="C73" s="35" t="s">
        <v>324</v>
      </c>
      <c r="D73" s="35" t="s">
        <v>325</v>
      </c>
      <c r="E73" s="35" t="s">
        <v>65</v>
      </c>
      <c r="F73" s="35" t="s">
        <v>326</v>
      </c>
      <c r="G73" s="35" t="s">
        <v>66</v>
      </c>
      <c r="H73" s="35" t="s">
        <v>124</v>
      </c>
    </row>
    <row r="74" spans="2:8">
      <c r="B74" s="34">
        <f>B61</f>
        <v>2015</v>
      </c>
      <c r="C74" s="83">
        <f>G61</f>
        <v>7213000</v>
      </c>
      <c r="D74" s="160">
        <f>G70</f>
        <v>1</v>
      </c>
      <c r="E74" s="34"/>
      <c r="F74" s="83">
        <f>C74*D74+E74</f>
        <v>7213000</v>
      </c>
      <c r="G74" s="34"/>
      <c r="H74" s="83">
        <f>F74-(C74+G74)</f>
        <v>0</v>
      </c>
    </row>
    <row r="75" spans="2:8">
      <c r="B75" s="34">
        <f t="shared" ref="B75:B78" si="5">B62</f>
        <v>2016</v>
      </c>
      <c r="C75" s="83">
        <f>F62</f>
        <v>8044000</v>
      </c>
      <c r="D75" s="160">
        <f>F70</f>
        <v>1.0822509827084006</v>
      </c>
      <c r="E75" s="83">
        <f>K36</f>
        <v>801000</v>
      </c>
      <c r="F75" s="83">
        <f t="shared" ref="F75:F78" si="6">C75*D75+E75</f>
        <v>9506626.9049063735</v>
      </c>
      <c r="G75" s="83">
        <f>J36</f>
        <v>615000</v>
      </c>
      <c r="H75" s="83">
        <f t="shared" ref="H75:H78" si="7">F75-(C75+G75)</f>
        <v>847626.90490637347</v>
      </c>
    </row>
    <row r="76" spans="2:8">
      <c r="B76" s="34">
        <f t="shared" si="5"/>
        <v>2017</v>
      </c>
      <c r="C76" s="83">
        <f>E63</f>
        <v>4601000</v>
      </c>
      <c r="D76" s="160">
        <f>E70</f>
        <v>1.5908131358371558</v>
      </c>
      <c r="E76" s="34"/>
      <c r="F76" s="83">
        <f t="shared" si="6"/>
        <v>7319331.2379867537</v>
      </c>
      <c r="G76" s="34"/>
      <c r="H76" s="83">
        <f t="shared" si="7"/>
        <v>2718331.2379867537</v>
      </c>
    </row>
    <row r="77" spans="2:8">
      <c r="B77" s="34">
        <f t="shared" si="5"/>
        <v>2018</v>
      </c>
      <c r="C77" s="83">
        <f>D64</f>
        <v>2145000</v>
      </c>
      <c r="D77" s="160">
        <f>D70</f>
        <v>3.6477944125754114</v>
      </c>
      <c r="E77" s="83">
        <f>K37</f>
        <v>923000</v>
      </c>
      <c r="F77" s="83">
        <f t="shared" si="6"/>
        <v>8747519.014974257</v>
      </c>
      <c r="G77" s="83">
        <f>J37</f>
        <v>297000</v>
      </c>
      <c r="H77" s="83">
        <f t="shared" si="7"/>
        <v>6305519.014974257</v>
      </c>
    </row>
    <row r="78" spans="2:8">
      <c r="B78" s="35">
        <f t="shared" si="5"/>
        <v>2019</v>
      </c>
      <c r="C78" s="86">
        <f>C65</f>
        <v>832000</v>
      </c>
      <c r="D78" s="175">
        <f>C70</f>
        <v>13.016777994754829</v>
      </c>
      <c r="E78" s="35"/>
      <c r="F78" s="86">
        <f t="shared" si="6"/>
        <v>10829959.291636018</v>
      </c>
      <c r="G78" s="35"/>
      <c r="H78" s="86">
        <f t="shared" si="7"/>
        <v>9997959.2916360181</v>
      </c>
    </row>
    <row r="79" spans="2:8">
      <c r="C79" s="83">
        <f>SUM(C74:C78)</f>
        <v>22835000</v>
      </c>
      <c r="D79" s="34"/>
      <c r="E79" s="34"/>
      <c r="F79" s="83">
        <f>SUM(F74:F78)</f>
        <v>43616436.449503407</v>
      </c>
      <c r="H79" s="83">
        <f>SUM(H74:H78)</f>
        <v>19869436.449503399</v>
      </c>
    </row>
    <row r="81" spans="1:12">
      <c r="A81" s="15" t="s">
        <v>144</v>
      </c>
      <c r="B81" s="14"/>
      <c r="C81" s="14"/>
      <c r="D81" s="14"/>
      <c r="E81" s="14"/>
      <c r="F81" s="14"/>
      <c r="G81" s="14"/>
      <c r="H81" s="14"/>
      <c r="I81" s="14"/>
      <c r="J81" s="14"/>
      <c r="K81" s="14"/>
      <c r="L81" s="14"/>
    </row>
  </sheetData>
  <mergeCells count="18">
    <mergeCell ref="B59:B60"/>
    <mergeCell ref="C59:G59"/>
    <mergeCell ref="B72:B73"/>
    <mergeCell ref="B33:B34"/>
    <mergeCell ref="C33:G33"/>
    <mergeCell ref="J33:K34"/>
    <mergeCell ref="I34:I35"/>
    <mergeCell ref="B44:L45"/>
    <mergeCell ref="B47:B48"/>
    <mergeCell ref="C47:F47"/>
    <mergeCell ref="H47:H48"/>
    <mergeCell ref="I47:L47"/>
    <mergeCell ref="A3:L4"/>
    <mergeCell ref="B6:B7"/>
    <mergeCell ref="C6:G6"/>
    <mergeCell ref="B14:F14"/>
    <mergeCell ref="B23:B24"/>
    <mergeCell ref="C23:G23"/>
  </mergeCells>
  <hyperlinks>
    <hyperlink ref="O1" location="TOC!A1" display="Table of Contents" xr:uid="{61201207-E523-4F8A-9E55-B75CDCDCB66C}"/>
  </hyperlinks>
  <pageMargins left="0.39370078740157483" right="0.39370078740157483" top="0.39370078740157483" bottom="0.39370078740157483" header="0.31496062992125984" footer="0.31496062992125984"/>
  <pageSetup scale="78" orientation="portrait" verticalDpi="1200" r:id="rId1"/>
  <headerFooter>
    <oddFooter>&amp;L&amp;F [&amp;A]&amp;R&amp;P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E923-F70A-4C49-A1AE-6EC19CC54CAD}">
  <dimension ref="A1:R61"/>
  <sheetViews>
    <sheetView zoomScaleNormal="100" workbookViewId="0"/>
  </sheetViews>
  <sheetFormatPr defaultRowHeight="15.6"/>
  <cols>
    <col min="1" max="1" width="8.88671875" style="2" customWidth="1"/>
    <col min="2" max="3" width="14.77734375" style="2" customWidth="1"/>
    <col min="4" max="4" width="14.88671875" style="2" customWidth="1"/>
    <col min="5" max="5" width="15" style="2" customWidth="1"/>
    <col min="6" max="7" width="12.77734375" style="2" customWidth="1"/>
    <col min="8" max="9" width="8.88671875" style="2" customWidth="1"/>
    <col min="10" max="10" width="8.88671875" style="2"/>
    <col min="11" max="11" width="8.88671875" style="2" customWidth="1"/>
    <col min="12" max="16384" width="8.88671875" style="2"/>
  </cols>
  <sheetData>
    <row r="1" spans="1:15" ht="17.399999999999999">
      <c r="A1" s="13" t="s">
        <v>357</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327</v>
      </c>
      <c r="B3" s="1"/>
      <c r="C3" s="1"/>
      <c r="D3" s="1"/>
      <c r="E3" s="1"/>
      <c r="F3" s="1"/>
      <c r="G3" s="1"/>
      <c r="H3" s="1"/>
      <c r="I3" s="1"/>
      <c r="J3" s="1"/>
      <c r="K3" s="1"/>
      <c r="L3" s="14"/>
    </row>
    <row r="4" spans="1:15">
      <c r="A4" s="1"/>
      <c r="B4" s="1"/>
      <c r="C4" s="1"/>
      <c r="D4" s="1"/>
      <c r="E4" s="1"/>
      <c r="F4" s="1"/>
      <c r="G4" s="1"/>
      <c r="H4" s="1"/>
      <c r="I4" s="14"/>
      <c r="J4" s="14"/>
      <c r="K4" s="1"/>
      <c r="L4" s="1"/>
    </row>
    <row r="5" spans="1:15">
      <c r="A5" s="1"/>
      <c r="B5" s="834"/>
      <c r="C5" s="852"/>
      <c r="D5" s="853" t="s">
        <v>328</v>
      </c>
      <c r="E5" s="841"/>
      <c r="F5" s="841"/>
      <c r="G5" s="841"/>
      <c r="H5" s="1"/>
      <c r="I5" s="14"/>
      <c r="J5" s="14"/>
      <c r="K5" s="1"/>
      <c r="L5" s="1"/>
    </row>
    <row r="6" spans="1:15">
      <c r="A6" s="1"/>
      <c r="B6" s="836" t="s">
        <v>170</v>
      </c>
      <c r="C6" s="854"/>
      <c r="D6" s="195">
        <v>500000</v>
      </c>
      <c r="E6" s="196">
        <v>1000000</v>
      </c>
      <c r="F6" s="196">
        <v>1500000</v>
      </c>
      <c r="G6" s="196">
        <v>2000000</v>
      </c>
      <c r="H6" s="1"/>
      <c r="I6" s="14"/>
      <c r="J6" s="14"/>
      <c r="K6" s="1"/>
      <c r="L6" s="1"/>
    </row>
    <row r="7" spans="1:15">
      <c r="A7" s="1"/>
      <c r="B7" s="855">
        <v>2014</v>
      </c>
      <c r="C7" s="855"/>
      <c r="D7" s="92">
        <v>5056</v>
      </c>
      <c r="E7" s="92">
        <v>4424</v>
      </c>
      <c r="F7" s="92">
        <v>3476</v>
      </c>
      <c r="G7" s="92">
        <v>2844</v>
      </c>
      <c r="H7" s="1"/>
      <c r="I7" s="14"/>
      <c r="J7" s="14"/>
      <c r="K7" s="1"/>
      <c r="L7" s="1"/>
    </row>
    <row r="8" spans="1:15">
      <c r="A8" s="1"/>
      <c r="B8" s="826">
        <v>2015</v>
      </c>
      <c r="C8" s="826"/>
      <c r="D8" s="92">
        <v>5010</v>
      </c>
      <c r="E8" s="92">
        <v>4843</v>
      </c>
      <c r="F8" s="92">
        <v>3841</v>
      </c>
      <c r="G8" s="92">
        <v>3006</v>
      </c>
      <c r="H8" s="1"/>
      <c r="I8" s="14"/>
      <c r="J8" s="14"/>
      <c r="K8" s="1"/>
      <c r="L8" s="1"/>
    </row>
    <row r="9" spans="1:15">
      <c r="A9" s="1"/>
      <c r="B9" s="826">
        <v>2016</v>
      </c>
      <c r="C9" s="826"/>
      <c r="D9" s="92">
        <v>4816</v>
      </c>
      <c r="E9" s="92">
        <v>4816</v>
      </c>
      <c r="F9" s="92">
        <v>4128</v>
      </c>
      <c r="G9" s="92">
        <v>3440</v>
      </c>
      <c r="H9" s="1"/>
      <c r="I9" s="14"/>
      <c r="J9" s="14"/>
      <c r="K9" s="1"/>
      <c r="L9" s="1"/>
    </row>
    <row r="10" spans="1:15">
      <c r="A10" s="1"/>
      <c r="B10" s="826">
        <v>2017</v>
      </c>
      <c r="C10" s="826"/>
      <c r="D10" s="92">
        <v>4200</v>
      </c>
      <c r="E10" s="92">
        <v>4872</v>
      </c>
      <c r="F10" s="92">
        <v>4032</v>
      </c>
      <c r="G10" s="92">
        <v>3696</v>
      </c>
      <c r="H10" s="1"/>
      <c r="I10" s="14"/>
      <c r="J10" s="14"/>
      <c r="K10" s="1"/>
      <c r="L10" s="1"/>
    </row>
    <row r="11" spans="1:15">
      <c r="A11" s="1"/>
      <c r="B11" s="826">
        <v>2018</v>
      </c>
      <c r="C11" s="826"/>
      <c r="D11" s="92">
        <v>3588</v>
      </c>
      <c r="E11" s="92">
        <v>4524</v>
      </c>
      <c r="F11" s="92">
        <v>3900</v>
      </c>
      <c r="G11" s="92">
        <v>3588</v>
      </c>
      <c r="H11" s="1"/>
      <c r="I11" s="14"/>
      <c r="J11" s="14"/>
      <c r="K11" s="1"/>
      <c r="L11" s="1"/>
    </row>
    <row r="12" spans="1:15">
      <c r="A12" s="1"/>
      <c r="B12" s="826">
        <v>2019</v>
      </c>
      <c r="C12" s="826"/>
      <c r="D12" s="92">
        <v>3108</v>
      </c>
      <c r="E12" s="92">
        <v>4292</v>
      </c>
      <c r="F12" s="92">
        <v>3848</v>
      </c>
      <c r="G12" s="92">
        <v>3552</v>
      </c>
      <c r="H12" s="1"/>
      <c r="I12" s="14"/>
      <c r="J12" s="14"/>
      <c r="K12" s="1"/>
      <c r="L12" s="1"/>
    </row>
    <row r="13" spans="1:15">
      <c r="A13" s="1"/>
      <c r="B13" s="33"/>
      <c r="C13" s="33"/>
      <c r="D13" s="198"/>
      <c r="E13" s="198"/>
      <c r="F13" s="198"/>
      <c r="G13" s="198"/>
      <c r="H13" s="1"/>
      <c r="I13" s="1"/>
      <c r="J13" s="1"/>
      <c r="K13" s="1"/>
      <c r="L13" s="1"/>
    </row>
    <row r="14" spans="1:15">
      <c r="A14" s="1"/>
      <c r="B14" s="199"/>
      <c r="C14" s="200"/>
      <c r="D14" s="841" t="s">
        <v>329</v>
      </c>
      <c r="E14" s="841"/>
      <c r="F14" s="841"/>
      <c r="G14" s="841"/>
      <c r="H14" s="1"/>
      <c r="I14" s="1"/>
      <c r="J14" s="1"/>
      <c r="K14" s="1"/>
      <c r="L14" s="1"/>
    </row>
    <row r="15" spans="1:15">
      <c r="A15" s="1"/>
      <c r="B15" s="857"/>
      <c r="C15" s="858"/>
      <c r="D15" s="196">
        <v>500000</v>
      </c>
      <c r="E15" s="196">
        <v>1000000</v>
      </c>
      <c r="F15" s="196">
        <v>1500000</v>
      </c>
      <c r="G15" s="196">
        <v>2000000</v>
      </c>
      <c r="H15" s="1"/>
      <c r="I15" s="1"/>
      <c r="J15" s="1"/>
      <c r="K15" s="1"/>
      <c r="L15" s="1"/>
    </row>
    <row r="16" spans="1:15">
      <c r="A16" s="1"/>
      <c r="B16" s="859" t="s">
        <v>330</v>
      </c>
      <c r="C16" s="859"/>
      <c r="D16" s="201">
        <v>0.82</v>
      </c>
      <c r="E16" s="201">
        <v>1</v>
      </c>
      <c r="F16" s="201">
        <v>1.1499999999999999</v>
      </c>
      <c r="G16" s="201">
        <v>1.27</v>
      </c>
      <c r="H16" s="1"/>
      <c r="I16" s="1"/>
      <c r="J16" s="1"/>
      <c r="K16" s="1"/>
      <c r="L16" s="1"/>
    </row>
    <row r="17" spans="1:18">
      <c r="A17" s="1"/>
      <c r="B17" s="856" t="s">
        <v>331</v>
      </c>
      <c r="C17" s="856"/>
      <c r="D17" s="201">
        <v>0.85</v>
      </c>
      <c r="E17" s="201">
        <v>1</v>
      </c>
      <c r="F17" s="201">
        <v>1.1299999999999999</v>
      </c>
      <c r="G17" s="201">
        <v>1.24</v>
      </c>
      <c r="H17" s="1"/>
      <c r="I17" s="1"/>
      <c r="J17" s="1"/>
      <c r="K17" s="1"/>
      <c r="L17" s="1"/>
    </row>
    <row r="18" spans="1:18">
      <c r="A18" s="1"/>
      <c r="B18" s="1"/>
      <c r="C18" s="1"/>
      <c r="D18" s="1"/>
      <c r="E18" s="1"/>
      <c r="F18" s="1"/>
      <c r="G18" s="1"/>
      <c r="H18" s="1"/>
      <c r="I18" s="1"/>
      <c r="J18" s="1"/>
      <c r="K18" s="1"/>
      <c r="L18" s="1"/>
    </row>
    <row r="19" spans="1:18">
      <c r="A19" s="3"/>
      <c r="B19" s="3"/>
      <c r="C19" s="3"/>
      <c r="D19" s="3"/>
      <c r="E19" s="3"/>
      <c r="F19" s="3"/>
      <c r="G19" s="3"/>
      <c r="H19" s="3"/>
      <c r="I19" s="3"/>
      <c r="J19" s="3"/>
      <c r="K19" s="3"/>
      <c r="L19" s="3"/>
    </row>
    <row r="20" spans="1:18">
      <c r="A20" s="17" t="s">
        <v>91</v>
      </c>
      <c r="B20" s="1" t="s">
        <v>332</v>
      </c>
      <c r="C20" s="1"/>
      <c r="D20" s="1"/>
      <c r="E20" s="1"/>
      <c r="F20" s="1"/>
      <c r="G20" s="1"/>
      <c r="H20" s="1"/>
      <c r="I20" s="1"/>
      <c r="J20" s="1"/>
      <c r="K20" s="1"/>
      <c r="L20" s="1"/>
      <c r="M20" s="9"/>
      <c r="N20" s="9"/>
      <c r="O20" s="9"/>
      <c r="P20" s="9"/>
      <c r="Q20" s="9"/>
      <c r="R20" s="9"/>
    </row>
    <row r="21" spans="1:18">
      <c r="A21" s="14"/>
      <c r="B21" s="14"/>
      <c r="C21" s="14"/>
      <c r="D21" s="14"/>
      <c r="E21" s="14"/>
      <c r="F21" s="14"/>
      <c r="G21" s="1"/>
      <c r="H21" s="1"/>
      <c r="I21" s="1"/>
      <c r="J21" s="1"/>
      <c r="K21" s="1"/>
      <c r="L21" s="1"/>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ht="46.8">
      <c r="A24" s="3"/>
      <c r="B24" s="36" t="s">
        <v>333</v>
      </c>
      <c r="C24" s="36" t="s">
        <v>334</v>
      </c>
      <c r="D24" s="3"/>
      <c r="E24" s="3"/>
      <c r="F24" s="3"/>
      <c r="G24" s="3"/>
      <c r="H24" s="3"/>
      <c r="I24" s="3"/>
      <c r="J24" s="3"/>
      <c r="K24" s="3"/>
      <c r="L24" s="3"/>
      <c r="M24" s="3"/>
      <c r="N24" s="9"/>
    </row>
    <row r="25" spans="1:18">
      <c r="A25" s="3"/>
      <c r="B25" s="34">
        <f t="shared" ref="B25:B30" si="0">SUMPRODUCT(D7:G7,$D$17:$G$17)/SUM(D7:G7)</f>
        <v>1.0237999999999998</v>
      </c>
      <c r="C25" s="34"/>
      <c r="D25" s="3"/>
      <c r="E25" s="3"/>
      <c r="F25" s="3"/>
      <c r="G25" s="3"/>
      <c r="H25" s="3"/>
      <c r="I25" s="3"/>
      <c r="J25" s="3"/>
      <c r="K25" s="3"/>
      <c r="L25" s="3"/>
      <c r="M25" s="3"/>
      <c r="N25" s="9"/>
    </row>
    <row r="26" spans="1:18">
      <c r="A26" s="3"/>
      <c r="B26" s="34">
        <f t="shared" si="0"/>
        <v>1.0281</v>
      </c>
      <c r="C26" s="177">
        <f>B26/B25-1</f>
        <v>4.2000390701311119E-3</v>
      </c>
      <c r="D26" s="3"/>
      <c r="E26" s="3"/>
      <c r="F26" s="3"/>
      <c r="G26" s="3"/>
      <c r="H26" s="3"/>
      <c r="I26" s="3"/>
      <c r="J26" s="3"/>
      <c r="K26" s="3"/>
      <c r="L26" s="3"/>
      <c r="M26" s="3"/>
      <c r="N26" s="9"/>
    </row>
    <row r="27" spans="1:18">
      <c r="A27" s="3"/>
      <c r="B27" s="34">
        <f t="shared" si="0"/>
        <v>1.0371999999999999</v>
      </c>
      <c r="C27" s="177">
        <f t="shared" ref="C27:C30" si="1">B27/B26-1</f>
        <v>8.8512790584571732E-3</v>
      </c>
      <c r="D27" s="3"/>
      <c r="E27" s="3"/>
      <c r="F27" s="3"/>
      <c r="G27" s="3"/>
      <c r="H27" s="3"/>
      <c r="I27" s="3"/>
      <c r="J27" s="3"/>
      <c r="K27" s="3"/>
      <c r="L27" s="3"/>
      <c r="M27" s="3"/>
      <c r="N27" s="9"/>
    </row>
    <row r="28" spans="1:18">
      <c r="A28" s="3"/>
      <c r="B28" s="34">
        <f t="shared" si="0"/>
        <v>1.0465</v>
      </c>
      <c r="C28" s="177">
        <f t="shared" si="1"/>
        <v>8.9664481295796961E-3</v>
      </c>
      <c r="D28" s="3"/>
      <c r="E28" s="3"/>
      <c r="F28" s="3"/>
      <c r="G28" s="3"/>
      <c r="H28" s="3"/>
      <c r="I28" s="3"/>
      <c r="J28" s="3"/>
      <c r="K28" s="3"/>
      <c r="L28" s="3"/>
      <c r="M28" s="3"/>
      <c r="N28" s="9"/>
    </row>
    <row r="29" spans="1:18">
      <c r="A29" s="3"/>
      <c r="B29" s="34">
        <f t="shared" si="0"/>
        <v>1.0531999999999999</v>
      </c>
      <c r="C29" s="177">
        <f t="shared" si="1"/>
        <v>6.4022933588150366E-3</v>
      </c>
      <c r="D29" s="3"/>
      <c r="E29" s="3"/>
      <c r="F29" s="3"/>
      <c r="G29" s="3"/>
      <c r="H29" s="3"/>
      <c r="I29" s="3"/>
      <c r="J29" s="3"/>
      <c r="K29" s="3"/>
      <c r="L29" s="3"/>
      <c r="M29" s="3"/>
      <c r="N29" s="9"/>
    </row>
    <row r="30" spans="1:18">
      <c r="A30" s="3"/>
      <c r="B30" s="34">
        <f t="shared" si="0"/>
        <v>1.0598999999999998</v>
      </c>
      <c r="C30" s="177">
        <f t="shared" si="1"/>
        <v>6.3615647550321341E-3</v>
      </c>
      <c r="D30" s="3"/>
      <c r="E30" s="3"/>
      <c r="F30" s="3"/>
      <c r="G30" s="3"/>
      <c r="H30" s="3"/>
      <c r="I30" s="3"/>
      <c r="J30" s="3"/>
      <c r="K30" s="3"/>
      <c r="L30" s="3"/>
      <c r="M30" s="3"/>
      <c r="N30" s="9"/>
    </row>
    <row r="32" spans="1:18">
      <c r="A32" s="17" t="s">
        <v>133</v>
      </c>
      <c r="B32" s="1" t="s">
        <v>335</v>
      </c>
      <c r="C32" s="1"/>
      <c r="D32" s="1"/>
      <c r="E32" s="1"/>
      <c r="F32" s="1"/>
      <c r="G32" s="1"/>
      <c r="H32" s="1"/>
      <c r="I32" s="1"/>
      <c r="J32" s="1"/>
      <c r="K32" s="1"/>
      <c r="L32" s="1"/>
    </row>
    <row r="33" spans="1:13">
      <c r="A33" s="14"/>
      <c r="B33" s="14"/>
      <c r="C33" s="14"/>
      <c r="D33" s="14"/>
      <c r="E33" s="14"/>
      <c r="F33" s="14"/>
      <c r="G33" s="1"/>
      <c r="H33" s="1"/>
      <c r="I33" s="1"/>
      <c r="J33" s="1"/>
      <c r="K33" s="1"/>
      <c r="L33" s="1"/>
    </row>
    <row r="34" spans="1:13">
      <c r="A34" s="3"/>
      <c r="B34" s="3"/>
      <c r="C34" s="3"/>
      <c r="D34" s="3"/>
      <c r="E34" s="3"/>
      <c r="F34" s="3"/>
      <c r="G34" s="3"/>
      <c r="H34" s="3"/>
      <c r="I34" s="3"/>
      <c r="J34" s="3"/>
      <c r="K34" s="3"/>
      <c r="L34" s="3"/>
    </row>
    <row r="35" spans="1:13">
      <c r="A35" s="3" t="s">
        <v>20</v>
      </c>
      <c r="B35" s="3"/>
      <c r="C35" s="3"/>
      <c r="D35" s="3"/>
      <c r="E35" s="3"/>
      <c r="F35" s="3"/>
      <c r="G35" s="3"/>
      <c r="H35" s="3"/>
      <c r="I35" s="3"/>
      <c r="J35" s="3"/>
      <c r="K35" s="3"/>
      <c r="L35" s="3"/>
    </row>
    <row r="36" spans="1:13">
      <c r="A36" s="3"/>
      <c r="B36" s="151" t="s">
        <v>336</v>
      </c>
      <c r="C36" s="96">
        <f>AVERAGE(C26:C30)</f>
        <v>6.9563248744030307E-3</v>
      </c>
      <c r="D36" s="3"/>
      <c r="E36" s="3"/>
      <c r="F36" s="3"/>
      <c r="G36" s="3"/>
      <c r="H36" s="3"/>
      <c r="I36" s="3"/>
      <c r="J36" s="3"/>
      <c r="K36" s="3"/>
      <c r="L36" s="3"/>
    </row>
    <row r="37" spans="1:13">
      <c r="A37" s="3"/>
      <c r="B37" s="151" t="s">
        <v>337</v>
      </c>
      <c r="C37" s="177">
        <f>AVERAGE(C27,C29,C30)</f>
        <v>7.2050457241014483E-3</v>
      </c>
      <c r="D37" s="3"/>
      <c r="E37" s="3"/>
      <c r="F37" s="3"/>
      <c r="G37" s="3"/>
      <c r="H37" s="3"/>
      <c r="I37" s="3"/>
      <c r="J37" s="3"/>
      <c r="K37" s="3"/>
      <c r="L37" s="3"/>
    </row>
    <row r="38" spans="1:13">
      <c r="M38" s="3"/>
    </row>
    <row r="39" spans="1:13">
      <c r="B39" s="2" t="s">
        <v>338</v>
      </c>
      <c r="D39" s="157">
        <f>C37</f>
        <v>7.2050457241014483E-3</v>
      </c>
      <c r="M39" s="3"/>
    </row>
    <row r="40" spans="1:13">
      <c r="B40" s="2" t="s">
        <v>339</v>
      </c>
      <c r="M40" s="3"/>
    </row>
    <row r="42" spans="1:13">
      <c r="A42" s="1" t="s">
        <v>340</v>
      </c>
      <c r="B42" s="1"/>
      <c r="C42" s="1"/>
      <c r="D42" s="1"/>
      <c r="E42" s="1"/>
      <c r="F42" s="1"/>
      <c r="G42" s="1"/>
      <c r="H42" s="1"/>
      <c r="I42" s="1"/>
      <c r="J42" s="1"/>
      <c r="K42" s="1"/>
      <c r="L42" s="14"/>
    </row>
    <row r="43" spans="1:13">
      <c r="A43" s="1"/>
      <c r="B43" s="1"/>
      <c r="C43" s="1"/>
      <c r="D43" s="1"/>
      <c r="E43" s="1"/>
      <c r="F43" s="1"/>
      <c r="G43" s="1"/>
      <c r="H43" s="1"/>
      <c r="I43" s="1"/>
      <c r="J43" s="1"/>
      <c r="K43" s="1"/>
      <c r="L43" s="1"/>
    </row>
    <row r="45" spans="1:13">
      <c r="A45" s="15" t="s">
        <v>144</v>
      </c>
      <c r="B45" s="14"/>
      <c r="C45" s="14"/>
      <c r="D45" s="14"/>
      <c r="E45" s="14"/>
      <c r="F45" s="14"/>
      <c r="G45" s="14"/>
      <c r="H45" s="14"/>
      <c r="I45" s="14"/>
      <c r="J45" s="14"/>
      <c r="K45" s="14"/>
      <c r="L45" s="14"/>
    </row>
    <row r="47" spans="1:13">
      <c r="A47" s="1" t="s">
        <v>12</v>
      </c>
      <c r="B47" s="1"/>
      <c r="C47" s="1"/>
      <c r="D47" s="1"/>
      <c r="E47" s="1"/>
      <c r="F47" s="1"/>
      <c r="G47" s="1"/>
      <c r="H47" s="1"/>
      <c r="I47" s="1"/>
      <c r="J47" s="1"/>
      <c r="K47" s="1"/>
      <c r="L47" s="14"/>
    </row>
    <row r="48" spans="1:13">
      <c r="A48" s="1"/>
      <c r="B48" s="16" t="s">
        <v>9</v>
      </c>
      <c r="C48" s="1" t="s">
        <v>341</v>
      </c>
      <c r="D48" s="1"/>
      <c r="E48" s="1"/>
      <c r="F48" s="1"/>
      <c r="G48" s="1"/>
      <c r="H48" s="1"/>
      <c r="I48" s="1"/>
      <c r="J48" s="1"/>
      <c r="K48" s="1"/>
      <c r="L48" s="14"/>
    </row>
    <row r="49" spans="1:12">
      <c r="A49" s="1"/>
      <c r="B49" s="16" t="s">
        <v>9</v>
      </c>
      <c r="C49" s="1" t="s">
        <v>342</v>
      </c>
      <c r="D49" s="1"/>
      <c r="E49" s="1"/>
      <c r="F49" s="1"/>
      <c r="G49" s="1"/>
      <c r="H49" s="1"/>
      <c r="I49" s="1"/>
      <c r="J49" s="1"/>
      <c r="K49" s="1"/>
      <c r="L49" s="14"/>
    </row>
    <row r="50" spans="1:12">
      <c r="A50" s="1"/>
      <c r="B50" s="16" t="s">
        <v>9</v>
      </c>
      <c r="C50" s="1" t="s">
        <v>343</v>
      </c>
      <c r="D50" s="1"/>
      <c r="E50" s="1"/>
      <c r="F50" s="1"/>
      <c r="G50" s="1"/>
      <c r="H50" s="1"/>
      <c r="I50" s="1"/>
      <c r="J50" s="1"/>
      <c r="K50" s="1"/>
      <c r="L50" s="14"/>
    </row>
    <row r="51" spans="1:12">
      <c r="A51" s="1"/>
      <c r="B51" s="1"/>
      <c r="C51" s="1"/>
      <c r="D51" s="1"/>
      <c r="E51" s="1"/>
      <c r="F51" s="1"/>
      <c r="G51" s="1"/>
      <c r="H51" s="1"/>
      <c r="I51" s="1"/>
      <c r="J51" s="1"/>
      <c r="K51" s="1"/>
      <c r="L51" s="1"/>
    </row>
    <row r="53" spans="1:12">
      <c r="A53" s="17" t="s">
        <v>25</v>
      </c>
      <c r="B53" s="1" t="s">
        <v>344</v>
      </c>
      <c r="C53" s="1"/>
      <c r="D53" s="1"/>
      <c r="E53" s="1"/>
      <c r="F53" s="1"/>
      <c r="G53" s="1"/>
      <c r="H53" s="1"/>
      <c r="I53" s="1"/>
      <c r="J53" s="1"/>
      <c r="K53" s="1"/>
      <c r="L53" s="1"/>
    </row>
    <row r="54" spans="1:12">
      <c r="A54" s="14"/>
      <c r="B54" s="14"/>
      <c r="C54" s="14"/>
      <c r="D54" s="14"/>
      <c r="E54" s="14"/>
      <c r="F54" s="14"/>
      <c r="G54" s="1"/>
      <c r="H54" s="1"/>
      <c r="I54" s="1"/>
      <c r="J54" s="1"/>
      <c r="K54" s="1"/>
      <c r="L54" s="1"/>
    </row>
    <row r="55" spans="1:12">
      <c r="A55" s="3"/>
      <c r="B55" s="3"/>
      <c r="C55" s="3"/>
      <c r="D55" s="3"/>
      <c r="E55" s="3"/>
      <c r="F55" s="3"/>
      <c r="G55" s="3"/>
      <c r="H55" s="3"/>
      <c r="I55" s="3"/>
      <c r="J55" s="3"/>
      <c r="K55" s="3"/>
      <c r="L55" s="3"/>
    </row>
    <row r="56" spans="1:12">
      <c r="A56" s="3" t="s">
        <v>20</v>
      </c>
      <c r="B56" s="3"/>
      <c r="C56" s="3"/>
      <c r="D56" s="3"/>
      <c r="E56" s="3"/>
      <c r="F56" s="3"/>
      <c r="G56" s="3"/>
      <c r="H56" s="3"/>
      <c r="I56" s="3"/>
      <c r="J56" s="3"/>
      <c r="K56" s="3"/>
      <c r="L56" s="3"/>
    </row>
    <row r="57" spans="1:12">
      <c r="A57" s="2" t="s">
        <v>345</v>
      </c>
      <c r="E57" s="99">
        <v>44531</v>
      </c>
    </row>
    <row r="58" spans="1:12">
      <c r="A58" s="3" t="s">
        <v>346</v>
      </c>
      <c r="B58" s="62"/>
      <c r="C58" s="62"/>
      <c r="E58" s="202">
        <f>(1+D39)*(1-0.004)-1</f>
        <v>3.1762255412051132E-3</v>
      </c>
      <c r="F58" s="3"/>
      <c r="G58" s="3"/>
      <c r="H58" s="3"/>
      <c r="I58" s="3"/>
    </row>
    <row r="59" spans="1:12">
      <c r="A59" s="100" t="s">
        <v>347</v>
      </c>
      <c r="B59" s="3"/>
      <c r="C59" s="3"/>
      <c r="D59" s="3"/>
      <c r="E59" s="203">
        <f>B30/B28</f>
        <v>1.0128045867176301</v>
      </c>
      <c r="F59" s="62"/>
      <c r="G59" s="12"/>
      <c r="H59" s="3"/>
      <c r="I59" s="3"/>
    </row>
    <row r="60" spans="1:12">
      <c r="A60" s="3" t="s">
        <v>348</v>
      </c>
      <c r="B60" s="3"/>
      <c r="C60" s="3"/>
      <c r="D60" s="3"/>
      <c r="E60" s="3">
        <v>29</v>
      </c>
      <c r="F60" s="62"/>
      <c r="G60" s="12"/>
      <c r="H60" s="3"/>
      <c r="I60" s="3"/>
    </row>
    <row r="61" spans="1:12">
      <c r="A61" s="3" t="s">
        <v>349</v>
      </c>
      <c r="B61" s="3"/>
      <c r="C61" s="3"/>
      <c r="D61" s="3"/>
      <c r="E61" s="12">
        <f>17808000*E59*(1+E58)^(E60/12)</f>
        <v>18174778.016315609</v>
      </c>
      <c r="F61" s="62"/>
      <c r="G61" s="3"/>
      <c r="H61" s="3"/>
    </row>
  </sheetData>
  <mergeCells count="13">
    <mergeCell ref="B17:C17"/>
    <mergeCell ref="B10:C10"/>
    <mergeCell ref="B11:C11"/>
    <mergeCell ref="B12:C12"/>
    <mergeCell ref="D14:G14"/>
    <mergeCell ref="B15:C15"/>
    <mergeCell ref="B16:C16"/>
    <mergeCell ref="B9:C9"/>
    <mergeCell ref="B5:C5"/>
    <mergeCell ref="D5:G5"/>
    <mergeCell ref="B6:C6"/>
    <mergeCell ref="B7:C7"/>
    <mergeCell ref="B8:C8"/>
  </mergeCells>
  <hyperlinks>
    <hyperlink ref="O1" location="TOC!A1" display="Table of Contents" xr:uid="{2EB9492E-2006-423D-9270-98F1A0F09CA4}"/>
  </hyperlinks>
  <pageMargins left="0.39370078740157483" right="0.39370078740157483" top="0.39370078740157483" bottom="0.39370078740157483" header="0.31496062992125984" footer="0.31496062992125984"/>
  <pageSetup scale="73" orientation="portrait" verticalDpi="1200" r:id="rId1"/>
  <headerFooter>
    <oddFooter>&amp;L&amp;F [&amp;A]&amp;R&amp;P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084F-8A09-42C4-A0F1-D319A2CDC0C1}">
  <dimension ref="A1:T54"/>
  <sheetViews>
    <sheetView zoomScaleNormal="100" workbookViewId="0"/>
  </sheetViews>
  <sheetFormatPr defaultRowHeight="15.6"/>
  <cols>
    <col min="1" max="1" width="8.88671875" style="2" customWidth="1"/>
    <col min="2" max="2" width="14.6640625" style="2" customWidth="1"/>
    <col min="3" max="5" width="8.88671875" style="2" customWidth="1"/>
    <col min="6" max="6" width="11.109375" style="2" customWidth="1"/>
    <col min="7" max="7" width="8.88671875" style="2"/>
    <col min="8" max="8" width="8.88671875" style="2" customWidth="1"/>
    <col min="9" max="20" width="4" style="2" customWidth="1"/>
    <col min="21" max="16384" width="8.88671875" style="2"/>
  </cols>
  <sheetData>
    <row r="1" spans="1:15" ht="17.399999999999999">
      <c r="A1" s="13" t="s">
        <v>737</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451</v>
      </c>
      <c r="B3" s="1"/>
      <c r="C3" s="1"/>
      <c r="D3" s="1"/>
      <c r="E3" s="1"/>
      <c r="F3" s="1"/>
      <c r="G3" s="1"/>
      <c r="H3" s="1"/>
      <c r="I3" s="1"/>
      <c r="J3" s="1"/>
      <c r="K3" s="1"/>
      <c r="L3" s="14"/>
    </row>
    <row r="4" spans="1:15">
      <c r="A4" s="860" t="s">
        <v>452</v>
      </c>
      <c r="B4" s="860"/>
      <c r="C4" s="860"/>
      <c r="D4" s="860"/>
      <c r="E4" s="860"/>
      <c r="F4" s="860"/>
      <c r="G4" s="860"/>
      <c r="H4" s="860"/>
      <c r="I4" s="860"/>
      <c r="J4" s="1"/>
      <c r="K4" s="1"/>
      <c r="L4" s="1"/>
    </row>
    <row r="5" spans="1:15">
      <c r="A5" s="860"/>
      <c r="B5" s="860"/>
      <c r="C5" s="860"/>
      <c r="D5" s="860"/>
      <c r="E5" s="860"/>
      <c r="F5" s="860"/>
      <c r="G5" s="860"/>
      <c r="H5" s="860"/>
      <c r="I5" s="860"/>
      <c r="J5" s="1"/>
      <c r="K5" s="1"/>
      <c r="L5" s="1"/>
    </row>
    <row r="6" spans="1:15">
      <c r="A6" s="43" t="s">
        <v>453</v>
      </c>
      <c r="B6" s="1"/>
      <c r="C6" s="1"/>
      <c r="D6" s="1"/>
      <c r="E6" s="1"/>
      <c r="F6" s="1"/>
      <c r="G6" s="1"/>
      <c r="H6" s="1"/>
      <c r="I6" s="1"/>
      <c r="J6" s="1"/>
      <c r="K6" s="1"/>
      <c r="L6" s="1"/>
    </row>
    <row r="7" spans="1:15">
      <c r="A7" s="43" t="s">
        <v>454</v>
      </c>
      <c r="B7" s="1"/>
      <c r="C7" s="1"/>
      <c r="D7" s="1"/>
      <c r="E7" s="1"/>
      <c r="F7" s="1"/>
      <c r="G7" s="1"/>
      <c r="H7" s="1"/>
      <c r="I7" s="1"/>
      <c r="J7" s="1"/>
      <c r="K7" s="1"/>
      <c r="L7" s="1"/>
    </row>
    <row r="8" spans="1:15">
      <c r="A8" s="43" t="s">
        <v>455</v>
      </c>
      <c r="B8" s="1"/>
      <c r="C8" s="1"/>
      <c r="D8" s="1"/>
      <c r="E8" s="1"/>
      <c r="F8" s="1"/>
      <c r="G8" s="1"/>
      <c r="H8" s="1"/>
      <c r="I8" s="1"/>
      <c r="J8" s="1"/>
      <c r="K8" s="1"/>
      <c r="L8" s="1"/>
    </row>
    <row r="9" spans="1:15">
      <c r="A9" s="860" t="s">
        <v>456</v>
      </c>
      <c r="B9" s="860"/>
      <c r="C9" s="860"/>
      <c r="D9" s="860"/>
      <c r="E9" s="860"/>
      <c r="F9" s="860"/>
      <c r="G9" s="860"/>
      <c r="H9" s="860"/>
      <c r="I9" s="860"/>
      <c r="J9" s="1"/>
      <c r="K9" s="1"/>
      <c r="L9" s="1"/>
    </row>
    <row r="10" spans="1:15">
      <c r="A10" s="860"/>
      <c r="B10" s="860"/>
      <c r="C10" s="860"/>
      <c r="D10" s="860"/>
      <c r="E10" s="860"/>
      <c r="F10" s="860"/>
      <c r="G10" s="860"/>
      <c r="H10" s="860"/>
      <c r="I10" s="860"/>
      <c r="J10" s="1"/>
      <c r="K10" s="1"/>
      <c r="L10" s="1"/>
    </row>
    <row r="11" spans="1:15">
      <c r="A11" s="43" t="s">
        <v>457</v>
      </c>
      <c r="B11" s="1"/>
      <c r="C11" s="1"/>
      <c r="D11" s="1"/>
      <c r="E11" s="1"/>
      <c r="F11" s="1"/>
      <c r="G11" s="1"/>
      <c r="H11" s="1"/>
      <c r="I11" s="1"/>
      <c r="J11" s="1"/>
      <c r="K11" s="1"/>
      <c r="L11" s="1"/>
    </row>
    <row r="12" spans="1:15">
      <c r="A12" s="1"/>
      <c r="B12" s="1" t="s">
        <v>458</v>
      </c>
      <c r="C12" s="1"/>
      <c r="D12" s="1"/>
      <c r="E12" s="1"/>
      <c r="F12" s="1"/>
      <c r="G12" s="1"/>
      <c r="H12" s="1"/>
      <c r="I12" s="1"/>
      <c r="J12" s="1"/>
      <c r="K12" s="1"/>
      <c r="L12" s="1"/>
    </row>
    <row r="13" spans="1:15">
      <c r="A13" s="1"/>
      <c r="B13" s="1" t="s">
        <v>459</v>
      </c>
      <c r="C13" s="1"/>
      <c r="D13" s="1"/>
      <c r="E13" s="1"/>
      <c r="F13" s="1"/>
      <c r="G13" s="1"/>
      <c r="H13" s="1"/>
      <c r="I13" s="1"/>
      <c r="J13" s="1"/>
      <c r="K13" s="1"/>
      <c r="L13" s="1"/>
    </row>
    <row r="14" spans="1:15">
      <c r="A14" s="43" t="s">
        <v>460</v>
      </c>
      <c r="B14" s="1"/>
      <c r="C14" s="1"/>
      <c r="D14" s="1"/>
      <c r="E14" s="1"/>
      <c r="F14" s="1"/>
      <c r="G14" s="1"/>
      <c r="H14" s="1"/>
      <c r="I14" s="1"/>
      <c r="J14" s="1"/>
      <c r="K14" s="1"/>
      <c r="L14" s="1"/>
    </row>
    <row r="15" spans="1:15">
      <c r="A15" s="1"/>
      <c r="B15" s="1" t="s">
        <v>461</v>
      </c>
      <c r="C15" s="1"/>
      <c r="D15" s="1"/>
      <c r="E15" s="1"/>
      <c r="F15" s="1"/>
      <c r="G15" s="1"/>
      <c r="H15" s="1"/>
      <c r="I15" s="1"/>
      <c r="J15" s="1"/>
      <c r="K15" s="1"/>
      <c r="L15" s="1"/>
    </row>
    <row r="16" spans="1:15">
      <c r="A16" s="1"/>
      <c r="B16" s="1" t="s">
        <v>462</v>
      </c>
      <c r="C16" s="1"/>
      <c r="D16" s="1"/>
      <c r="E16" s="1"/>
      <c r="F16" s="1"/>
      <c r="G16" s="1"/>
      <c r="H16" s="1"/>
      <c r="I16" s="1"/>
      <c r="J16" s="1"/>
      <c r="K16" s="1"/>
      <c r="L16" s="1"/>
    </row>
    <row r="17" spans="1:20">
      <c r="A17" s="1"/>
      <c r="B17" s="1"/>
      <c r="C17" s="1"/>
      <c r="D17" s="1"/>
      <c r="E17" s="1"/>
      <c r="F17" s="1"/>
      <c r="G17" s="1"/>
      <c r="H17" s="1"/>
      <c r="I17" s="1"/>
      <c r="J17" s="1"/>
      <c r="K17" s="1"/>
      <c r="L17" s="1"/>
    </row>
    <row r="18" spans="1:20">
      <c r="A18" s="3"/>
      <c r="B18" s="3"/>
      <c r="C18" s="3"/>
      <c r="D18" s="3"/>
      <c r="E18" s="3"/>
      <c r="F18" s="3"/>
      <c r="G18" s="3"/>
      <c r="H18" s="3"/>
      <c r="I18" s="3"/>
      <c r="J18" s="3"/>
      <c r="K18" s="3"/>
      <c r="L18" s="3"/>
    </row>
    <row r="19" spans="1:20">
      <c r="A19" s="17" t="s">
        <v>91</v>
      </c>
      <c r="B19" s="17" t="s">
        <v>463</v>
      </c>
      <c r="C19" s="1"/>
      <c r="D19" s="1"/>
      <c r="E19" s="1"/>
      <c r="F19" s="1"/>
      <c r="G19" s="1"/>
      <c r="H19" s="1"/>
      <c r="I19" s="1"/>
      <c r="J19" s="1"/>
      <c r="K19" s="1"/>
      <c r="L19" s="1"/>
      <c r="M19" s="9"/>
      <c r="N19" s="9"/>
      <c r="O19" s="9"/>
      <c r="P19" s="9"/>
      <c r="Q19" s="9"/>
      <c r="R19" s="9"/>
    </row>
    <row r="20" spans="1:20">
      <c r="A20" s="3"/>
      <c r="B20" s="3"/>
      <c r="C20" s="3"/>
      <c r="D20" s="3"/>
      <c r="E20" s="3"/>
      <c r="F20" s="3"/>
      <c r="G20" s="3"/>
      <c r="H20" s="3"/>
      <c r="I20" s="3"/>
      <c r="J20" s="3"/>
      <c r="K20" s="3"/>
      <c r="L20" s="3"/>
      <c r="M20" s="3"/>
    </row>
    <row r="21" spans="1:20">
      <c r="A21" s="3" t="s">
        <v>20</v>
      </c>
      <c r="B21" s="3"/>
      <c r="C21" s="3"/>
      <c r="D21" s="3"/>
      <c r="E21" s="3"/>
      <c r="F21" s="3"/>
      <c r="G21" s="3"/>
      <c r="H21" s="3"/>
      <c r="I21" s="3"/>
      <c r="J21" s="3"/>
      <c r="K21" s="3"/>
      <c r="L21" s="3"/>
      <c r="M21" s="3"/>
      <c r="N21" s="9"/>
    </row>
    <row r="22" spans="1:20">
      <c r="A22" s="3"/>
      <c r="B22" s="3"/>
      <c r="C22" s="3"/>
      <c r="D22" s="3"/>
      <c r="E22" s="3"/>
      <c r="F22" s="3"/>
      <c r="G22" s="3"/>
      <c r="H22" s="3"/>
      <c r="I22" s="3"/>
      <c r="J22" s="3"/>
      <c r="K22" s="3"/>
      <c r="L22" s="3"/>
      <c r="M22" s="3"/>
      <c r="N22" s="9"/>
    </row>
    <row r="23" spans="1:20" ht="16.2">
      <c r="A23" s="114" t="s">
        <v>189</v>
      </c>
      <c r="B23" s="3"/>
      <c r="C23" s="3"/>
      <c r="D23" s="3"/>
      <c r="E23" s="3"/>
      <c r="F23" s="3"/>
      <c r="G23" s="3"/>
      <c r="H23" s="3"/>
      <c r="I23" s="3"/>
      <c r="J23" s="3"/>
      <c r="K23" s="3"/>
      <c r="L23" s="3"/>
      <c r="M23" s="3"/>
      <c r="N23" s="9"/>
    </row>
    <row r="24" spans="1:20">
      <c r="I24" s="861">
        <v>2017</v>
      </c>
      <c r="J24" s="861"/>
      <c r="K24" s="861"/>
      <c r="L24" s="861"/>
      <c r="M24" s="861">
        <f>I24+1</f>
        <v>2018</v>
      </c>
      <c r="N24" s="861"/>
      <c r="O24" s="861"/>
      <c r="P24" s="861"/>
      <c r="Q24" s="861">
        <f>M24+1</f>
        <v>2019</v>
      </c>
      <c r="R24" s="861"/>
      <c r="S24" s="861"/>
      <c r="T24" s="861"/>
    </row>
    <row r="25" spans="1:20" ht="19.95" customHeight="1">
      <c r="I25" s="207"/>
      <c r="J25" s="208"/>
      <c r="K25" s="208"/>
      <c r="L25" s="209"/>
      <c r="M25" s="207"/>
      <c r="N25" s="208"/>
      <c r="O25" s="208"/>
      <c r="P25" s="209"/>
      <c r="Q25" s="207"/>
      <c r="R25" s="208"/>
      <c r="S25" s="208"/>
      <c r="T25" s="209"/>
    </row>
    <row r="26" spans="1:20" ht="19.95" customHeight="1">
      <c r="I26" s="210"/>
      <c r="J26" s="211"/>
      <c r="K26" s="211"/>
      <c r="L26" s="212"/>
      <c r="M26" s="210" t="s">
        <v>464</v>
      </c>
      <c r="N26" s="211"/>
      <c r="O26" s="211"/>
      <c r="P26" s="212"/>
      <c r="Q26" s="210"/>
      <c r="R26" s="211"/>
      <c r="S26" s="211"/>
      <c r="T26" s="212"/>
    </row>
    <row r="27" spans="1:20" ht="19.95" customHeight="1">
      <c r="I27" s="210"/>
      <c r="J27" s="211"/>
      <c r="K27" s="211"/>
      <c r="L27" s="212"/>
      <c r="M27" s="210"/>
      <c r="N27" s="211"/>
      <c r="O27" s="211" t="s">
        <v>191</v>
      </c>
      <c r="P27" s="212"/>
      <c r="Q27" s="210"/>
      <c r="R27" s="211"/>
      <c r="S27" s="211"/>
      <c r="T27" s="212"/>
    </row>
    <row r="28" spans="1:20" ht="19.95" customHeight="1">
      <c r="I28" s="213"/>
      <c r="J28" s="214"/>
      <c r="K28" s="214"/>
      <c r="L28" s="215"/>
      <c r="M28" s="213"/>
      <c r="N28" s="214"/>
      <c r="O28" s="214"/>
      <c r="P28" s="215"/>
      <c r="Q28" s="213"/>
      <c r="R28" s="214"/>
      <c r="S28" s="214"/>
      <c r="T28" s="215"/>
    </row>
    <row r="29" spans="1:20">
      <c r="M29" s="9"/>
      <c r="N29" s="9"/>
    </row>
    <row r="30" spans="1:20">
      <c r="A30" s="2" t="s">
        <v>465</v>
      </c>
    </row>
    <row r="31" spans="1:20">
      <c r="A31" s="151" t="s">
        <v>466</v>
      </c>
      <c r="B31" s="2" t="s">
        <v>467</v>
      </c>
    </row>
    <row r="32" spans="1:20">
      <c r="B32" s="2" t="s">
        <v>468</v>
      </c>
      <c r="D32" s="216">
        <v>0.25</v>
      </c>
    </row>
    <row r="33" spans="1:14">
      <c r="B33" s="2" t="s">
        <v>469</v>
      </c>
      <c r="F33" s="11">
        <f>2500*750*0.25</f>
        <v>468750</v>
      </c>
    </row>
    <row r="34" spans="1:14">
      <c r="A34" s="151" t="s">
        <v>470</v>
      </c>
      <c r="B34" s="2" t="s">
        <v>471</v>
      </c>
    </row>
    <row r="35" spans="1:14">
      <c r="B35" s="2" t="s">
        <v>472</v>
      </c>
      <c r="D35" s="217">
        <f>0.5-1/8</f>
        <v>0.375</v>
      </c>
    </row>
    <row r="36" spans="1:14">
      <c r="B36" s="2" t="s">
        <v>473</v>
      </c>
      <c r="H36" s="218">
        <f>2500*750*0.375*0.8*1.04</f>
        <v>585000</v>
      </c>
    </row>
    <row r="38" spans="1:14">
      <c r="A38" s="2" t="s">
        <v>474</v>
      </c>
    </row>
    <row r="39" spans="1:14">
      <c r="B39" s="2" t="s">
        <v>475</v>
      </c>
      <c r="F39" s="11">
        <f>2750*780*0.5</f>
        <v>1072500</v>
      </c>
    </row>
    <row r="40" spans="1:14">
      <c r="M40" s="9"/>
      <c r="N40" s="9"/>
    </row>
    <row r="41" spans="1:14">
      <c r="A41" s="2" t="s">
        <v>476</v>
      </c>
      <c r="F41" s="11">
        <f>F33+H36+F39</f>
        <v>2126250</v>
      </c>
      <c r="M41" s="9"/>
      <c r="N41" s="9"/>
    </row>
    <row r="43" spans="1:14">
      <c r="A43" s="17" t="s">
        <v>133</v>
      </c>
      <c r="B43" s="1" t="s">
        <v>477</v>
      </c>
      <c r="C43" s="1"/>
      <c r="D43" s="1"/>
      <c r="E43" s="1"/>
      <c r="F43" s="1"/>
      <c r="G43" s="1"/>
      <c r="H43" s="1"/>
      <c r="I43" s="1"/>
      <c r="J43" s="1"/>
      <c r="K43" s="1"/>
      <c r="L43" s="1"/>
    </row>
    <row r="44" spans="1:14">
      <c r="A44" s="3"/>
      <c r="B44" s="3"/>
      <c r="C44" s="3"/>
      <c r="D44" s="3"/>
      <c r="E44" s="3"/>
      <c r="F44" s="3"/>
      <c r="G44" s="3"/>
      <c r="H44" s="3"/>
      <c r="I44" s="3"/>
      <c r="J44" s="3"/>
      <c r="K44" s="3"/>
      <c r="L44" s="3"/>
    </row>
    <row r="45" spans="1:14">
      <c r="A45" s="3" t="s">
        <v>20</v>
      </c>
      <c r="B45" s="3"/>
      <c r="C45" s="3"/>
      <c r="D45" s="3"/>
      <c r="E45" s="3"/>
      <c r="F45" s="3"/>
      <c r="G45" s="3"/>
      <c r="H45" s="3"/>
      <c r="I45" s="3"/>
      <c r="J45" s="3"/>
      <c r="K45" s="3"/>
      <c r="L45" s="3"/>
    </row>
    <row r="46" spans="1:14">
      <c r="A46" s="3"/>
      <c r="B46" s="3"/>
      <c r="C46" s="3"/>
      <c r="D46" s="3"/>
      <c r="E46" s="3"/>
      <c r="F46" s="3"/>
      <c r="G46" s="3"/>
      <c r="H46" s="3"/>
      <c r="I46" s="3"/>
      <c r="J46" s="3"/>
      <c r="K46" s="3"/>
      <c r="L46" s="3"/>
    </row>
    <row r="47" spans="1:14">
      <c r="A47" s="219" t="s">
        <v>478</v>
      </c>
      <c r="B47" s="2" t="s">
        <v>479</v>
      </c>
      <c r="G47" s="3"/>
      <c r="H47" s="3"/>
      <c r="I47" s="3"/>
      <c r="J47" s="3"/>
      <c r="K47" s="3"/>
      <c r="L47" s="3"/>
    </row>
    <row r="48" spans="1:14">
      <c r="B48" s="2" t="s">
        <v>480</v>
      </c>
      <c r="F48" s="11">
        <f>F33*1.04*1.05</f>
        <v>511875</v>
      </c>
      <c r="M48" s="3"/>
    </row>
    <row r="49" spans="1:13">
      <c r="A49" s="60" t="s">
        <v>481</v>
      </c>
      <c r="B49" s="2" t="s">
        <v>482</v>
      </c>
      <c r="M49" s="3"/>
    </row>
    <row r="50" spans="1:13">
      <c r="B50" s="2" t="s">
        <v>483</v>
      </c>
      <c r="F50" s="11">
        <f>H36*1.05</f>
        <v>614250</v>
      </c>
      <c r="M50" s="3"/>
    </row>
    <row r="51" spans="1:13">
      <c r="A51" s="60" t="s">
        <v>484</v>
      </c>
      <c r="B51" s="2" t="s">
        <v>482</v>
      </c>
    </row>
    <row r="52" spans="1:13">
      <c r="B52" s="2" t="s">
        <v>485</v>
      </c>
      <c r="F52" s="11">
        <f>F39*1.05</f>
        <v>1126125</v>
      </c>
    </row>
    <row r="54" spans="1:13">
      <c r="A54" s="2" t="s">
        <v>486</v>
      </c>
      <c r="F54" s="11">
        <f>F48+F50+F52</f>
        <v>2252250</v>
      </c>
    </row>
  </sheetData>
  <mergeCells count="5">
    <mergeCell ref="A4:I5"/>
    <mergeCell ref="A9:I10"/>
    <mergeCell ref="I24:L24"/>
    <mergeCell ref="M24:P24"/>
    <mergeCell ref="Q24:T24"/>
  </mergeCells>
  <hyperlinks>
    <hyperlink ref="O1" location="TOC!A1" display="Table of Contents" xr:uid="{2065F4E6-F1B6-4BD8-B4B6-FB89D6E2486E}"/>
  </hyperlinks>
  <pageMargins left="0.7" right="0.7" top="0.75" bottom="0.75" header="0.3" footer="0.3"/>
  <pageSetup scale="84" orientation="portrait"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D62A-1475-461D-93E4-AEF516F0D1F2}">
  <dimension ref="A1:R86"/>
  <sheetViews>
    <sheetView zoomScaleNormal="100" workbookViewId="0"/>
  </sheetViews>
  <sheetFormatPr defaultRowHeight="15.6"/>
  <cols>
    <col min="1" max="6" width="8.88671875" style="2" customWidth="1"/>
    <col min="7" max="7" width="8.88671875" style="2"/>
    <col min="8" max="8" width="8.88671875" style="2" customWidth="1"/>
    <col min="9" max="16384" width="8.88671875" style="2"/>
  </cols>
  <sheetData>
    <row r="1" spans="1:15" ht="17.399999999999999">
      <c r="A1" s="13" t="s">
        <v>738</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487</v>
      </c>
      <c r="B3" s="1"/>
      <c r="C3" s="1"/>
      <c r="D3" s="1"/>
      <c r="E3" s="1"/>
      <c r="F3" s="1"/>
      <c r="G3" s="1"/>
      <c r="H3" s="1"/>
      <c r="I3" s="1"/>
      <c r="J3" s="1"/>
      <c r="K3" s="1"/>
      <c r="L3" s="14"/>
    </row>
    <row r="4" spans="1:15">
      <c r="A4" s="1"/>
      <c r="B4" s="1"/>
      <c r="C4" s="1"/>
      <c r="D4" s="1"/>
      <c r="E4" s="1"/>
      <c r="F4" s="1"/>
      <c r="G4" s="1"/>
      <c r="H4" s="1"/>
      <c r="I4" s="1"/>
      <c r="J4" s="1"/>
      <c r="K4" s="1"/>
      <c r="L4" s="14"/>
    </row>
    <row r="5" spans="1:15">
      <c r="A5" s="220" t="s">
        <v>53</v>
      </c>
      <c r="B5" s="221" t="s">
        <v>488</v>
      </c>
      <c r="C5" s="221"/>
      <c r="D5" s="221"/>
      <c r="E5" s="221"/>
      <c r="F5" s="221"/>
      <c r="G5" s="221"/>
      <c r="H5" s="221"/>
      <c r="I5" s="221"/>
      <c r="J5" s="222"/>
      <c r="K5" s="1"/>
      <c r="L5" s="14"/>
    </row>
    <row r="6" spans="1:15">
      <c r="A6" s="223" t="s">
        <v>55</v>
      </c>
      <c r="B6" s="224">
        <v>12</v>
      </c>
      <c r="C6" s="225">
        <v>24</v>
      </c>
      <c r="D6" s="225">
        <v>36</v>
      </c>
      <c r="E6" s="225">
        <v>48</v>
      </c>
      <c r="F6" s="225">
        <v>60</v>
      </c>
      <c r="G6" s="225">
        <v>72</v>
      </c>
      <c r="H6" s="225">
        <v>84</v>
      </c>
      <c r="I6" s="225">
        <v>96</v>
      </c>
      <c r="J6" s="225">
        <v>108</v>
      </c>
      <c r="K6" s="1"/>
      <c r="L6" s="14"/>
    </row>
    <row r="7" spans="1:15">
      <c r="A7" s="226">
        <v>2012</v>
      </c>
      <c r="B7" s="227">
        <v>0.88200000000000001</v>
      </c>
      <c r="C7" s="227">
        <v>0.86499999999999999</v>
      </c>
      <c r="D7" s="227">
        <v>0.89500000000000002</v>
      </c>
      <c r="E7" s="227">
        <v>0.89700000000000002</v>
      </c>
      <c r="F7" s="227">
        <v>0.91100000000000003</v>
      </c>
      <c r="G7" s="227">
        <v>0.95599999999999996</v>
      </c>
      <c r="H7" s="227">
        <v>0.97499999999999998</v>
      </c>
      <c r="I7" s="227">
        <v>1</v>
      </c>
      <c r="J7" s="227">
        <v>1</v>
      </c>
      <c r="K7" s="1"/>
      <c r="L7" s="14"/>
    </row>
    <row r="8" spans="1:15">
      <c r="A8" s="228">
        <v>2013</v>
      </c>
      <c r="B8" s="227">
        <v>0.88200000000000001</v>
      </c>
      <c r="C8" s="227">
        <v>0.86499999999999999</v>
      </c>
      <c r="D8" s="227">
        <v>0.89500000000000002</v>
      </c>
      <c r="E8" s="227">
        <v>0.89700000000000002</v>
      </c>
      <c r="F8" s="227">
        <v>0.91100000000000003</v>
      </c>
      <c r="G8" s="227">
        <v>0.95599999999999996</v>
      </c>
      <c r="H8" s="227">
        <v>0.97499999999999998</v>
      </c>
      <c r="I8" s="227">
        <v>1</v>
      </c>
      <c r="J8" s="227"/>
      <c r="K8" s="1"/>
      <c r="L8" s="14"/>
    </row>
    <row r="9" spans="1:15">
      <c r="A9" s="228">
        <v>2014</v>
      </c>
      <c r="B9" s="227">
        <v>0.88200000000000001</v>
      </c>
      <c r="C9" s="227">
        <v>0.86499999999999999</v>
      </c>
      <c r="D9" s="227">
        <v>0.89500000000000002</v>
      </c>
      <c r="E9" s="227">
        <v>0.89700000000000002</v>
      </c>
      <c r="F9" s="227">
        <v>0.91100000000000003</v>
      </c>
      <c r="G9" s="227">
        <v>0.95099999999999996</v>
      </c>
      <c r="H9" s="227">
        <v>0.97599999999999998</v>
      </c>
      <c r="I9" s="227"/>
      <c r="J9" s="227"/>
      <c r="K9" s="1"/>
      <c r="L9" s="14"/>
    </row>
    <row r="10" spans="1:15">
      <c r="A10" s="228">
        <v>2015</v>
      </c>
      <c r="B10" s="227">
        <v>0.88200000000000001</v>
      </c>
      <c r="C10" s="227">
        <v>0.86499999999999999</v>
      </c>
      <c r="D10" s="227">
        <v>0.89500000000000002</v>
      </c>
      <c r="E10" s="227">
        <v>0.89700000000000002</v>
      </c>
      <c r="F10" s="227">
        <v>0.89400000000000002</v>
      </c>
      <c r="G10" s="227">
        <v>0.95099999999999996</v>
      </c>
      <c r="H10" s="227"/>
      <c r="I10" s="227"/>
      <c r="J10" s="227"/>
      <c r="K10" s="1"/>
      <c r="L10" s="14"/>
    </row>
    <row r="11" spans="1:15">
      <c r="A11" s="228">
        <v>2016</v>
      </c>
      <c r="B11" s="227">
        <v>0.88200000000000001</v>
      </c>
      <c r="C11" s="227">
        <v>0.86499999999999999</v>
      </c>
      <c r="D11" s="227">
        <v>0.89500000000000002</v>
      </c>
      <c r="E11" s="227">
        <v>0.86399999999999999</v>
      </c>
      <c r="F11" s="227">
        <v>0.89400000000000002</v>
      </c>
      <c r="G11" s="227"/>
      <c r="H11" s="227"/>
      <c r="I11" s="227"/>
      <c r="J11" s="227"/>
      <c r="K11" s="1"/>
      <c r="L11" s="14"/>
    </row>
    <row r="12" spans="1:15">
      <c r="A12" s="228">
        <v>2017</v>
      </c>
      <c r="B12" s="227">
        <v>0.88200000000000001</v>
      </c>
      <c r="C12" s="227">
        <v>0.86499999999999999</v>
      </c>
      <c r="D12" s="227">
        <v>0.82499999999999996</v>
      </c>
      <c r="E12" s="227">
        <v>0.86399999999999999</v>
      </c>
      <c r="F12" s="227"/>
      <c r="G12" s="227"/>
      <c r="H12" s="227"/>
      <c r="I12" s="227"/>
      <c r="J12" s="227"/>
      <c r="K12" s="1"/>
      <c r="L12" s="14"/>
    </row>
    <row r="13" spans="1:15">
      <c r="A13" s="228">
        <v>2018</v>
      </c>
      <c r="B13" s="227">
        <v>0.88200000000000001</v>
      </c>
      <c r="C13" s="227">
        <v>0.77400000000000002</v>
      </c>
      <c r="D13" s="227">
        <v>0.82499999999999996</v>
      </c>
      <c r="E13" s="227"/>
      <c r="F13" s="227"/>
      <c r="G13" s="227"/>
      <c r="H13" s="227"/>
      <c r="I13" s="227"/>
      <c r="J13" s="227"/>
      <c r="K13" s="1"/>
      <c r="L13" s="14"/>
    </row>
    <row r="14" spans="1:15">
      <c r="A14" s="228">
        <v>2019</v>
      </c>
      <c r="B14" s="227">
        <v>0.71099999999999997</v>
      </c>
      <c r="C14" s="227">
        <v>0.77400000000000002</v>
      </c>
      <c r="D14" s="227"/>
      <c r="E14" s="227"/>
      <c r="F14" s="227"/>
      <c r="G14" s="227"/>
      <c r="H14" s="227"/>
      <c r="I14" s="227"/>
      <c r="J14" s="227"/>
      <c r="K14" s="1"/>
      <c r="L14" s="14"/>
    </row>
    <row r="15" spans="1:15">
      <c r="A15" s="228">
        <v>2020</v>
      </c>
      <c r="B15" s="227">
        <v>0.71099999999999997</v>
      </c>
      <c r="C15" s="227"/>
      <c r="D15" s="227"/>
      <c r="E15" s="227"/>
      <c r="F15" s="227"/>
      <c r="G15" s="227"/>
      <c r="H15" s="227"/>
      <c r="I15" s="227"/>
      <c r="J15" s="227"/>
      <c r="K15" s="1"/>
      <c r="L15" s="14"/>
    </row>
    <row r="16" spans="1:15">
      <c r="A16" s="1"/>
      <c r="B16" s="1"/>
      <c r="C16" s="1"/>
      <c r="D16" s="1"/>
      <c r="E16" s="1"/>
      <c r="F16" s="1"/>
      <c r="G16" s="1"/>
      <c r="H16" s="1"/>
      <c r="I16" s="1"/>
      <c r="J16" s="1"/>
      <c r="K16" s="1"/>
      <c r="L16" s="14"/>
    </row>
    <row r="17" spans="1:12">
      <c r="A17" s="220" t="s">
        <v>53</v>
      </c>
      <c r="B17" s="221" t="s">
        <v>489</v>
      </c>
      <c r="C17" s="221"/>
      <c r="D17" s="221"/>
      <c r="E17" s="221"/>
      <c r="F17" s="221"/>
      <c r="G17" s="221"/>
      <c r="H17" s="221"/>
      <c r="I17" s="221"/>
      <c r="J17" s="222"/>
      <c r="K17" s="1"/>
      <c r="L17" s="14"/>
    </row>
    <row r="18" spans="1:12">
      <c r="A18" s="223" t="s">
        <v>55</v>
      </c>
      <c r="B18" s="224">
        <v>12</v>
      </c>
      <c r="C18" s="225">
        <v>24</v>
      </c>
      <c r="D18" s="225">
        <v>36</v>
      </c>
      <c r="E18" s="225">
        <v>48</v>
      </c>
      <c r="F18" s="225">
        <v>60</v>
      </c>
      <c r="G18" s="225">
        <v>72</v>
      </c>
      <c r="H18" s="225">
        <v>84</v>
      </c>
      <c r="I18" s="225">
        <v>96</v>
      </c>
      <c r="J18" s="225">
        <v>108</v>
      </c>
      <c r="K18" s="1"/>
      <c r="L18" s="14"/>
    </row>
    <row r="19" spans="1:12">
      <c r="A19" s="226">
        <v>2012</v>
      </c>
      <c r="B19" s="229">
        <v>882</v>
      </c>
      <c r="C19" s="229">
        <v>1135</v>
      </c>
      <c r="D19" s="229">
        <v>1382</v>
      </c>
      <c r="E19" s="229">
        <v>1564</v>
      </c>
      <c r="F19" s="229">
        <v>1709</v>
      </c>
      <c r="G19" s="229">
        <v>1792</v>
      </c>
      <c r="H19" s="229">
        <v>1856</v>
      </c>
      <c r="I19" s="229">
        <v>1875</v>
      </c>
      <c r="J19" s="229">
        <v>1875</v>
      </c>
      <c r="K19" s="1"/>
      <c r="L19" s="14"/>
    </row>
    <row r="20" spans="1:12">
      <c r="A20" s="228">
        <v>2013</v>
      </c>
      <c r="B20" s="229">
        <v>882</v>
      </c>
      <c r="C20" s="229">
        <v>1135</v>
      </c>
      <c r="D20" s="229">
        <v>1382</v>
      </c>
      <c r="E20" s="229">
        <v>1564</v>
      </c>
      <c r="F20" s="229">
        <v>1709</v>
      </c>
      <c r="G20" s="229">
        <v>1792</v>
      </c>
      <c r="H20" s="229">
        <v>1856</v>
      </c>
      <c r="I20" s="229">
        <v>1875</v>
      </c>
      <c r="J20" s="229"/>
      <c r="K20" s="1"/>
      <c r="L20" s="14"/>
    </row>
    <row r="21" spans="1:12">
      <c r="A21" s="228">
        <v>2014</v>
      </c>
      <c r="B21" s="229">
        <v>882</v>
      </c>
      <c r="C21" s="229">
        <v>1135</v>
      </c>
      <c r="D21" s="229">
        <v>1647</v>
      </c>
      <c r="E21" s="229">
        <v>1823</v>
      </c>
      <c r="F21" s="229">
        <v>1964</v>
      </c>
      <c r="G21" s="229">
        <v>2046</v>
      </c>
      <c r="H21" s="229">
        <v>2108</v>
      </c>
      <c r="I21" s="229"/>
      <c r="J21" s="229"/>
      <c r="K21" s="1"/>
      <c r="L21" s="14"/>
    </row>
    <row r="22" spans="1:12">
      <c r="A22" s="228">
        <v>2015</v>
      </c>
      <c r="B22" s="229">
        <v>882</v>
      </c>
      <c r="C22" s="229">
        <v>1135</v>
      </c>
      <c r="D22" s="229">
        <v>1382</v>
      </c>
      <c r="E22" s="229">
        <v>1564</v>
      </c>
      <c r="F22" s="229">
        <v>1709</v>
      </c>
      <c r="G22" s="229">
        <v>1793</v>
      </c>
      <c r="H22" s="229"/>
      <c r="I22" s="229"/>
      <c r="J22" s="229"/>
      <c r="K22" s="1"/>
      <c r="L22" s="14"/>
    </row>
    <row r="23" spans="1:12">
      <c r="A23" s="228">
        <v>2016</v>
      </c>
      <c r="B23" s="229">
        <v>882</v>
      </c>
      <c r="C23" s="229">
        <v>1135</v>
      </c>
      <c r="D23" s="229">
        <v>1382</v>
      </c>
      <c r="E23" s="229">
        <v>1564</v>
      </c>
      <c r="F23" s="229">
        <v>1709</v>
      </c>
      <c r="G23" s="229"/>
      <c r="H23" s="229"/>
      <c r="I23" s="229"/>
      <c r="J23" s="229"/>
      <c r="K23" s="1"/>
      <c r="L23" s="14"/>
    </row>
    <row r="24" spans="1:12">
      <c r="A24" s="228">
        <v>2017</v>
      </c>
      <c r="B24" s="229">
        <v>882</v>
      </c>
      <c r="C24" s="229">
        <v>1135</v>
      </c>
      <c r="D24" s="229">
        <v>1381</v>
      </c>
      <c r="E24" s="229">
        <v>1564</v>
      </c>
      <c r="F24" s="229"/>
      <c r="G24" s="229"/>
      <c r="H24" s="229"/>
      <c r="I24" s="229"/>
      <c r="J24" s="229"/>
      <c r="K24" s="1"/>
      <c r="L24" s="14"/>
    </row>
    <row r="25" spans="1:12">
      <c r="A25" s="228">
        <v>2018</v>
      </c>
      <c r="B25" s="229">
        <v>882</v>
      </c>
      <c r="C25" s="229">
        <v>1135</v>
      </c>
      <c r="D25" s="229">
        <v>1381</v>
      </c>
      <c r="E25" s="229"/>
      <c r="F25" s="229"/>
      <c r="G25" s="229"/>
      <c r="H25" s="229"/>
      <c r="I25" s="229"/>
      <c r="J25" s="229"/>
      <c r="K25" s="1"/>
      <c r="L25" s="14"/>
    </row>
    <row r="26" spans="1:12">
      <c r="A26" s="228">
        <v>2019</v>
      </c>
      <c r="B26" s="229">
        <v>882</v>
      </c>
      <c r="C26" s="229">
        <v>1135</v>
      </c>
      <c r="D26" s="229"/>
      <c r="E26" s="229"/>
      <c r="F26" s="229"/>
      <c r="G26" s="229"/>
      <c r="H26" s="229"/>
      <c r="I26" s="229"/>
      <c r="J26" s="229"/>
      <c r="K26" s="1"/>
      <c r="L26" s="14"/>
    </row>
    <row r="27" spans="1:12">
      <c r="A27" s="228">
        <v>2020</v>
      </c>
      <c r="B27" s="229">
        <v>882</v>
      </c>
      <c r="C27" s="229"/>
      <c r="D27" s="229"/>
      <c r="E27" s="229"/>
      <c r="F27" s="229"/>
      <c r="G27" s="229"/>
      <c r="H27" s="229"/>
      <c r="I27" s="229"/>
      <c r="J27" s="229"/>
      <c r="K27" s="1"/>
      <c r="L27" s="14"/>
    </row>
    <row r="28" spans="1:12">
      <c r="A28" s="46"/>
      <c r="B28" s="46"/>
      <c r="C28" s="46"/>
      <c r="D28" s="46"/>
      <c r="E28" s="46"/>
      <c r="F28" s="46"/>
      <c r="G28" s="46"/>
      <c r="H28" s="46"/>
      <c r="I28" s="46"/>
      <c r="J28" s="46"/>
      <c r="K28" s="1"/>
      <c r="L28" s="14"/>
    </row>
    <row r="29" spans="1:12">
      <c r="A29" s="220" t="s">
        <v>53</v>
      </c>
      <c r="B29" s="221" t="s">
        <v>490</v>
      </c>
      <c r="C29" s="221"/>
      <c r="D29" s="221"/>
      <c r="E29" s="221"/>
      <c r="F29" s="221"/>
      <c r="G29" s="221"/>
      <c r="H29" s="221"/>
      <c r="I29" s="221"/>
      <c r="J29" s="222"/>
      <c r="K29" s="1"/>
      <c r="L29" s="14"/>
    </row>
    <row r="30" spans="1:12">
      <c r="A30" s="223" t="s">
        <v>55</v>
      </c>
      <c r="B30" s="224">
        <v>12</v>
      </c>
      <c r="C30" s="225">
        <v>24</v>
      </c>
      <c r="D30" s="225">
        <v>36</v>
      </c>
      <c r="E30" s="225">
        <v>48</v>
      </c>
      <c r="F30" s="225">
        <v>60</v>
      </c>
      <c r="G30" s="225">
        <v>72</v>
      </c>
      <c r="H30" s="225">
        <v>84</v>
      </c>
      <c r="I30" s="225">
        <v>96</v>
      </c>
      <c r="J30" s="225">
        <v>108</v>
      </c>
      <c r="K30" s="1"/>
      <c r="L30" s="14"/>
    </row>
    <row r="31" spans="1:12">
      <c r="A31" s="226">
        <v>2012</v>
      </c>
      <c r="B31" s="229">
        <v>625</v>
      </c>
      <c r="C31" s="229">
        <v>1055</v>
      </c>
      <c r="D31" s="229">
        <v>1324</v>
      </c>
      <c r="E31" s="229">
        <v>1500</v>
      </c>
      <c r="F31" s="229">
        <v>1667</v>
      </c>
      <c r="G31" s="229">
        <v>1678</v>
      </c>
      <c r="H31" s="229">
        <v>1731</v>
      </c>
      <c r="I31" s="229">
        <v>1744</v>
      </c>
      <c r="J31" s="229">
        <v>1800</v>
      </c>
      <c r="K31" s="1"/>
      <c r="L31" s="14"/>
    </row>
    <row r="32" spans="1:12">
      <c r="A32" s="228">
        <v>2013</v>
      </c>
      <c r="B32" s="229">
        <v>625</v>
      </c>
      <c r="C32" s="229">
        <v>1055</v>
      </c>
      <c r="D32" s="229">
        <v>1323</v>
      </c>
      <c r="E32" s="229">
        <v>1500</v>
      </c>
      <c r="F32" s="229">
        <v>1667</v>
      </c>
      <c r="G32" s="229">
        <v>1678</v>
      </c>
      <c r="H32" s="229">
        <v>1731</v>
      </c>
      <c r="I32" s="229">
        <v>1744</v>
      </c>
      <c r="J32" s="229"/>
      <c r="K32" s="1"/>
      <c r="L32" s="14"/>
    </row>
    <row r="33" spans="1:12">
      <c r="A33" s="228">
        <v>2014</v>
      </c>
      <c r="B33" s="229">
        <v>625</v>
      </c>
      <c r="C33" s="229">
        <v>1055</v>
      </c>
      <c r="D33" s="229">
        <v>1323</v>
      </c>
      <c r="E33" s="229">
        <v>1500</v>
      </c>
      <c r="F33" s="229">
        <v>1667</v>
      </c>
      <c r="G33" s="229">
        <v>1669</v>
      </c>
      <c r="H33" s="229">
        <v>1731</v>
      </c>
      <c r="I33" s="229"/>
      <c r="J33" s="229"/>
      <c r="K33" s="1"/>
      <c r="L33" s="14"/>
    </row>
    <row r="34" spans="1:12">
      <c r="A34" s="228">
        <v>2015</v>
      </c>
      <c r="B34" s="229">
        <v>625</v>
      </c>
      <c r="C34" s="229">
        <v>1055</v>
      </c>
      <c r="D34" s="229">
        <v>1323</v>
      </c>
      <c r="E34" s="229">
        <v>1500</v>
      </c>
      <c r="F34" s="229">
        <v>1658</v>
      </c>
      <c r="G34" s="229">
        <v>1669</v>
      </c>
      <c r="H34" s="229"/>
      <c r="I34" s="229"/>
      <c r="J34" s="229"/>
      <c r="K34" s="1"/>
      <c r="L34" s="14"/>
    </row>
    <row r="35" spans="1:12">
      <c r="A35" s="228">
        <v>2016</v>
      </c>
      <c r="B35" s="229">
        <v>625</v>
      </c>
      <c r="C35" s="229">
        <v>1055</v>
      </c>
      <c r="D35" s="229">
        <v>1323</v>
      </c>
      <c r="E35" s="229">
        <v>1491</v>
      </c>
      <c r="F35" s="229">
        <v>1657.05</v>
      </c>
      <c r="G35" s="229"/>
      <c r="H35" s="229"/>
      <c r="I35" s="229"/>
      <c r="J35" s="229"/>
      <c r="K35" s="1"/>
      <c r="L35" s="14"/>
    </row>
    <row r="36" spans="1:12">
      <c r="A36" s="228">
        <v>2017</v>
      </c>
      <c r="B36" s="229">
        <v>625</v>
      </c>
      <c r="C36" s="229">
        <v>1055</v>
      </c>
      <c r="D36" s="229">
        <v>1316</v>
      </c>
      <c r="E36" s="229">
        <v>1491</v>
      </c>
      <c r="F36" s="229"/>
      <c r="G36" s="229"/>
      <c r="H36" s="229"/>
      <c r="I36" s="229"/>
      <c r="J36" s="229"/>
      <c r="K36" s="1"/>
      <c r="L36" s="14"/>
    </row>
    <row r="37" spans="1:12">
      <c r="A37" s="228">
        <v>2018</v>
      </c>
      <c r="B37" s="229">
        <v>625</v>
      </c>
      <c r="C37" s="229">
        <v>1048</v>
      </c>
      <c r="D37" s="229">
        <v>1316</v>
      </c>
      <c r="E37" s="229"/>
      <c r="F37" s="229"/>
      <c r="G37" s="229"/>
      <c r="H37" s="229"/>
      <c r="I37" s="229"/>
      <c r="J37" s="229"/>
      <c r="K37" s="1"/>
      <c r="L37" s="14"/>
    </row>
    <row r="38" spans="1:12">
      <c r="A38" s="228">
        <v>2019</v>
      </c>
      <c r="B38" s="229">
        <v>620</v>
      </c>
      <c r="C38" s="229">
        <v>1048</v>
      </c>
      <c r="D38" s="229"/>
      <c r="E38" s="229"/>
      <c r="F38" s="229"/>
      <c r="G38" s="229"/>
      <c r="H38" s="229"/>
      <c r="I38" s="229"/>
      <c r="J38" s="229"/>
      <c r="K38" s="1"/>
      <c r="L38" s="14"/>
    </row>
    <row r="39" spans="1:12">
      <c r="A39" s="228">
        <v>2020</v>
      </c>
      <c r="B39" s="229">
        <v>620</v>
      </c>
      <c r="C39" s="229"/>
      <c r="D39" s="229"/>
      <c r="E39" s="229"/>
      <c r="F39" s="229"/>
      <c r="G39" s="229"/>
      <c r="H39" s="229"/>
      <c r="I39" s="229"/>
      <c r="J39" s="229"/>
      <c r="K39" s="1"/>
      <c r="L39" s="14"/>
    </row>
    <row r="40" spans="1:12">
      <c r="A40" s="1"/>
      <c r="B40" s="1"/>
      <c r="C40" s="1"/>
      <c r="D40" s="1"/>
      <c r="E40" s="1"/>
      <c r="F40" s="1"/>
      <c r="G40" s="1"/>
      <c r="H40" s="1"/>
      <c r="I40" s="1"/>
      <c r="J40" s="1"/>
      <c r="K40" s="1"/>
      <c r="L40" s="14"/>
    </row>
    <row r="41" spans="1:12">
      <c r="A41" s="220" t="s">
        <v>53</v>
      </c>
      <c r="B41" s="221" t="s">
        <v>491</v>
      </c>
      <c r="C41" s="221"/>
      <c r="D41" s="221"/>
      <c r="E41" s="221"/>
      <c r="F41" s="221"/>
      <c r="G41" s="221"/>
      <c r="H41" s="221"/>
      <c r="I41" s="221"/>
      <c r="J41" s="222"/>
      <c r="K41" s="1"/>
      <c r="L41" s="14"/>
    </row>
    <row r="42" spans="1:12">
      <c r="A42" s="223" t="s">
        <v>55</v>
      </c>
      <c r="B42" s="224">
        <v>12</v>
      </c>
      <c r="C42" s="225">
        <v>24</v>
      </c>
      <c r="D42" s="225">
        <v>36</v>
      </c>
      <c r="E42" s="225">
        <v>48</v>
      </c>
      <c r="F42" s="225">
        <v>60</v>
      </c>
      <c r="G42" s="225">
        <v>72</v>
      </c>
      <c r="H42" s="225">
        <v>84</v>
      </c>
      <c r="I42" s="225">
        <v>96</v>
      </c>
      <c r="J42" s="225">
        <v>108</v>
      </c>
      <c r="K42" s="1"/>
      <c r="L42" s="14"/>
    </row>
    <row r="43" spans="1:12">
      <c r="A43" s="226">
        <v>2012</v>
      </c>
      <c r="B43" s="227">
        <v>0.625</v>
      </c>
      <c r="C43" s="227">
        <v>0.8035714285714286</v>
      </c>
      <c r="D43" s="227">
        <v>0.8571428571428571</v>
      </c>
      <c r="E43" s="227">
        <v>0.86065573770491799</v>
      </c>
      <c r="F43" s="227">
        <v>0.88888888888888884</v>
      </c>
      <c r="G43" s="227">
        <v>0.89473684210526316</v>
      </c>
      <c r="H43" s="227">
        <v>0.90909090909090906</v>
      </c>
      <c r="I43" s="227">
        <v>0.93</v>
      </c>
      <c r="J43" s="227">
        <v>0.96</v>
      </c>
      <c r="K43" s="1"/>
      <c r="L43" s="1"/>
    </row>
    <row r="44" spans="1:12">
      <c r="A44" s="228">
        <v>2013</v>
      </c>
      <c r="B44" s="227">
        <v>0.62500016751204412</v>
      </c>
      <c r="C44" s="227">
        <v>0.80357135592591666</v>
      </c>
      <c r="D44" s="227">
        <v>0.85714288449175702</v>
      </c>
      <c r="E44" s="227">
        <v>0.86065580793301799</v>
      </c>
      <c r="F44" s="227">
        <v>0.8888889054332858</v>
      </c>
      <c r="G44" s="227">
        <v>0.894736864378328</v>
      </c>
      <c r="H44" s="227">
        <v>0.9090908598679126</v>
      </c>
      <c r="I44" s="227">
        <v>0.93000007638548188</v>
      </c>
      <c r="J44" s="227"/>
      <c r="K44" s="1"/>
      <c r="L44" s="1"/>
    </row>
    <row r="45" spans="1:12">
      <c r="A45" s="228">
        <v>2014</v>
      </c>
      <c r="B45" s="227">
        <v>0.62500016797982094</v>
      </c>
      <c r="C45" s="227">
        <v>0.80357139428983904</v>
      </c>
      <c r="D45" s="227">
        <v>0.71909353579343405</v>
      </c>
      <c r="E45" s="227">
        <v>0.73861703568260917</v>
      </c>
      <c r="F45" s="227">
        <v>0.77340730449405592</v>
      </c>
      <c r="G45" s="227">
        <v>0.77568497439110784</v>
      </c>
      <c r="H45" s="227">
        <v>0.80152493349978027</v>
      </c>
      <c r="I45" s="227"/>
      <c r="J45" s="227"/>
      <c r="K45" s="1"/>
      <c r="L45" s="1"/>
    </row>
    <row r="46" spans="1:12">
      <c r="A46" s="228">
        <v>2015</v>
      </c>
      <c r="B46" s="227">
        <v>0.62500012474083011</v>
      </c>
      <c r="C46" s="227">
        <v>0.80357148372892806</v>
      </c>
      <c r="D46" s="227">
        <v>0.85714293860623703</v>
      </c>
      <c r="E46" s="227">
        <v>0.86065576854650383</v>
      </c>
      <c r="F46" s="227">
        <v>0.86666676107737584</v>
      </c>
      <c r="G46" s="227">
        <v>0.88421052631578945</v>
      </c>
      <c r="H46" s="227"/>
      <c r="I46" s="227"/>
      <c r="J46" s="227"/>
      <c r="K46" s="1"/>
      <c r="L46" s="1"/>
    </row>
    <row r="47" spans="1:12">
      <c r="A47" s="228">
        <v>2016</v>
      </c>
      <c r="B47" s="227">
        <v>0.62500004096540718</v>
      </c>
      <c r="C47" s="227">
        <v>0.80357157487645414</v>
      </c>
      <c r="D47" s="227">
        <v>0.85714301766034839</v>
      </c>
      <c r="E47" s="227">
        <v>0.82377061965732767</v>
      </c>
      <c r="F47" s="227">
        <v>0.86666666666666681</v>
      </c>
      <c r="G47" s="227"/>
      <c r="H47" s="227"/>
      <c r="I47" s="227"/>
      <c r="J47" s="227"/>
      <c r="K47" s="1"/>
      <c r="L47" s="1"/>
    </row>
    <row r="48" spans="1:12">
      <c r="A48" s="228">
        <v>2017</v>
      </c>
      <c r="B48" s="227">
        <v>0.62500024716306235</v>
      </c>
      <c r="C48" s="227">
        <v>0.80357152945430166</v>
      </c>
      <c r="D48" s="227">
        <v>0.7857142165847234</v>
      </c>
      <c r="E48" s="227">
        <v>0.82377049180327866</v>
      </c>
      <c r="F48" s="227"/>
      <c r="G48" s="227"/>
      <c r="H48" s="227"/>
      <c r="I48" s="227"/>
      <c r="J48" s="227"/>
      <c r="K48" s="1"/>
      <c r="L48" s="1"/>
    </row>
    <row r="49" spans="1:18">
      <c r="A49" s="228">
        <v>2018</v>
      </c>
      <c r="B49" s="227">
        <v>0.62500036800845271</v>
      </c>
      <c r="C49" s="227">
        <v>0.71428581442406891</v>
      </c>
      <c r="D49" s="227">
        <v>0.78571428571428581</v>
      </c>
      <c r="E49" s="227"/>
      <c r="F49" s="227"/>
      <c r="G49" s="227"/>
      <c r="H49" s="227"/>
      <c r="I49" s="227"/>
      <c r="J49" s="227"/>
      <c r="K49" s="1"/>
      <c r="L49" s="1"/>
    </row>
    <row r="50" spans="1:18">
      <c r="A50" s="228">
        <v>2019</v>
      </c>
      <c r="B50" s="227">
        <v>0.50000002086534079</v>
      </c>
      <c r="C50" s="227">
        <v>0.7142857142857143</v>
      </c>
      <c r="D50" s="227"/>
      <c r="E50" s="227"/>
      <c r="F50" s="227"/>
      <c r="G50" s="227"/>
      <c r="H50" s="227"/>
      <c r="I50" s="227"/>
      <c r="J50" s="227"/>
      <c r="K50" s="1"/>
      <c r="L50" s="1"/>
    </row>
    <row r="51" spans="1:18">
      <c r="A51" s="228">
        <v>2020</v>
      </c>
      <c r="B51" s="227">
        <v>0.5</v>
      </c>
      <c r="C51" s="227"/>
      <c r="D51" s="227"/>
      <c r="E51" s="227"/>
      <c r="F51" s="227"/>
      <c r="G51" s="227"/>
      <c r="H51" s="227"/>
      <c r="I51" s="227"/>
      <c r="J51" s="227"/>
      <c r="K51" s="1"/>
      <c r="L51" s="1"/>
    </row>
    <row r="52" spans="1:18">
      <c r="A52" s="1"/>
      <c r="B52" s="1"/>
      <c r="C52" s="1"/>
      <c r="D52" s="1"/>
      <c r="E52" s="1"/>
      <c r="F52" s="1"/>
      <c r="G52" s="1"/>
      <c r="H52" s="1"/>
      <c r="I52" s="1"/>
      <c r="J52" s="1"/>
      <c r="K52" s="1"/>
      <c r="L52" s="1"/>
    </row>
    <row r="53" spans="1:18">
      <c r="A53" s="43" t="s">
        <v>492</v>
      </c>
      <c r="B53" s="1"/>
      <c r="C53" s="1"/>
      <c r="D53" s="1"/>
      <c r="E53" s="1"/>
      <c r="F53" s="1"/>
      <c r="G53" s="1"/>
      <c r="H53" s="1"/>
      <c r="I53" s="1"/>
      <c r="J53" s="1"/>
      <c r="K53" s="1"/>
      <c r="L53" s="1"/>
    </row>
    <row r="54" spans="1:18">
      <c r="A54" s="1"/>
      <c r="B54" s="1"/>
      <c r="C54" s="1"/>
      <c r="D54" s="1"/>
      <c r="E54" s="1"/>
      <c r="F54" s="1"/>
      <c r="G54" s="1"/>
      <c r="H54" s="1"/>
      <c r="I54" s="1"/>
      <c r="J54" s="1"/>
      <c r="K54" s="1"/>
      <c r="L54" s="1"/>
    </row>
    <row r="55" spans="1:18">
      <c r="A55" s="1" t="s">
        <v>493</v>
      </c>
      <c r="B55" s="1"/>
      <c r="C55" s="1"/>
      <c r="D55" s="1"/>
      <c r="E55" s="1"/>
      <c r="F55" s="1"/>
      <c r="G55" s="1"/>
      <c r="H55" s="1"/>
      <c r="I55" s="1"/>
      <c r="J55" s="1"/>
      <c r="K55" s="1"/>
      <c r="L55" s="1"/>
    </row>
    <row r="56" spans="1:18">
      <c r="A56" s="1"/>
      <c r="B56" s="1"/>
      <c r="C56" s="1"/>
      <c r="D56" s="1"/>
      <c r="E56" s="1"/>
      <c r="F56" s="1"/>
      <c r="G56" s="1"/>
      <c r="H56" s="1"/>
      <c r="I56" s="1"/>
      <c r="J56" s="1"/>
      <c r="K56" s="1"/>
      <c r="L56" s="1"/>
    </row>
    <row r="58" spans="1:18">
      <c r="A58" s="17" t="s">
        <v>91</v>
      </c>
      <c r="B58" s="1" t="s">
        <v>494</v>
      </c>
      <c r="C58" s="1"/>
      <c r="D58" s="1"/>
      <c r="E58" s="1"/>
      <c r="F58" s="1"/>
      <c r="G58" s="1"/>
      <c r="H58" s="1"/>
      <c r="I58" s="1"/>
      <c r="J58" s="1"/>
      <c r="K58" s="1"/>
      <c r="L58" s="1"/>
      <c r="M58" s="9"/>
      <c r="N58" s="9"/>
      <c r="O58" s="9"/>
      <c r="P58" s="9"/>
      <c r="Q58" s="9"/>
      <c r="R58" s="9"/>
    </row>
    <row r="59" spans="1:18">
      <c r="A59" s="3"/>
      <c r="B59" s="3"/>
      <c r="C59" s="3"/>
      <c r="D59" s="3"/>
      <c r="E59" s="3"/>
      <c r="F59" s="3"/>
      <c r="G59" s="3"/>
      <c r="H59" s="3"/>
      <c r="I59" s="3"/>
      <c r="J59" s="3"/>
      <c r="K59" s="3"/>
      <c r="L59" s="3"/>
      <c r="M59" s="3"/>
    </row>
    <row r="60" spans="1:18">
      <c r="A60" s="3" t="s">
        <v>20</v>
      </c>
      <c r="B60" s="3"/>
      <c r="C60" s="3"/>
      <c r="D60" s="3"/>
      <c r="E60" s="3"/>
      <c r="F60" s="3"/>
      <c r="G60" s="3"/>
      <c r="H60" s="3"/>
      <c r="I60" s="3"/>
      <c r="J60" s="3"/>
      <c r="K60" s="3"/>
      <c r="L60" s="3"/>
      <c r="M60" s="3"/>
      <c r="N60" s="9"/>
    </row>
    <row r="61" spans="1:18">
      <c r="A61" s="3"/>
      <c r="B61" s="3"/>
      <c r="C61" s="3"/>
      <c r="D61" s="3"/>
      <c r="E61" s="3"/>
      <c r="F61" s="3"/>
      <c r="G61" s="3"/>
      <c r="H61" s="3"/>
      <c r="I61" s="3"/>
      <c r="J61" s="3"/>
      <c r="K61" s="3"/>
      <c r="L61" s="3"/>
      <c r="M61" s="3"/>
      <c r="N61" s="9"/>
    </row>
    <row r="62" spans="1:18">
      <c r="A62" s="2" t="s">
        <v>495</v>
      </c>
      <c r="B62" s="3"/>
      <c r="C62" s="3"/>
      <c r="D62" s="3"/>
      <c r="E62" s="3"/>
      <c r="F62" s="3"/>
      <c r="G62" s="3"/>
      <c r="H62" s="3"/>
      <c r="I62" s="3"/>
      <c r="J62" s="3"/>
      <c r="K62" s="3"/>
      <c r="L62" s="3"/>
      <c r="M62" s="3"/>
      <c r="N62" s="9"/>
    </row>
    <row r="63" spans="1:18">
      <c r="A63" s="2" t="s">
        <v>496</v>
      </c>
      <c r="B63" s="3"/>
      <c r="C63" s="3"/>
      <c r="D63" s="3"/>
      <c r="E63" s="3"/>
      <c r="F63" s="3"/>
      <c r="G63" s="3"/>
      <c r="H63" s="3"/>
      <c r="I63" s="3"/>
      <c r="J63" s="3"/>
      <c r="K63" s="3"/>
      <c r="L63" s="3"/>
      <c r="M63" s="3"/>
      <c r="N63" s="9"/>
    </row>
    <row r="64" spans="1:18">
      <c r="A64" s="60" t="s">
        <v>497</v>
      </c>
      <c r="B64" s="98"/>
      <c r="M64" s="9"/>
      <c r="N64" s="9"/>
    </row>
    <row r="65" spans="1:14">
      <c r="A65" s="60" t="s">
        <v>498</v>
      </c>
      <c r="B65" s="98"/>
      <c r="M65" s="9"/>
      <c r="N65" s="9"/>
    </row>
    <row r="66" spans="1:14">
      <c r="A66" s="60" t="s">
        <v>499</v>
      </c>
      <c r="B66" s="98"/>
      <c r="M66" s="9"/>
      <c r="N66" s="9"/>
    </row>
    <row r="68" spans="1:14">
      <c r="A68" s="17" t="s">
        <v>133</v>
      </c>
      <c r="B68" s="1" t="s">
        <v>500</v>
      </c>
      <c r="C68" s="1"/>
      <c r="D68" s="1"/>
      <c r="E68" s="1"/>
      <c r="F68" s="1"/>
      <c r="G68" s="1"/>
      <c r="H68" s="1"/>
      <c r="I68" s="1"/>
      <c r="J68" s="1"/>
      <c r="K68" s="1"/>
      <c r="L68" s="1"/>
    </row>
    <row r="69" spans="1:14">
      <c r="A69" s="3"/>
      <c r="B69" s="3"/>
      <c r="C69" s="3"/>
      <c r="D69" s="3"/>
      <c r="E69" s="3"/>
      <c r="F69" s="3"/>
      <c r="G69" s="3"/>
      <c r="H69" s="3"/>
      <c r="I69" s="3"/>
      <c r="J69" s="3"/>
      <c r="K69" s="3"/>
      <c r="L69" s="3"/>
    </row>
    <row r="70" spans="1:14">
      <c r="A70" s="3" t="s">
        <v>20</v>
      </c>
      <c r="B70" s="3"/>
      <c r="C70" s="3"/>
      <c r="D70" s="3"/>
      <c r="E70" s="3"/>
      <c r="F70" s="3"/>
      <c r="G70" s="3"/>
      <c r="H70" s="3"/>
      <c r="I70" s="3"/>
      <c r="J70" s="3"/>
      <c r="K70" s="3"/>
      <c r="L70" s="3"/>
    </row>
    <row r="71" spans="1:14">
      <c r="A71" s="3"/>
      <c r="B71" s="3"/>
      <c r="C71" s="3"/>
      <c r="D71" s="3"/>
      <c r="E71" s="3"/>
      <c r="F71" s="3"/>
      <c r="G71" s="3"/>
      <c r="H71" s="3"/>
      <c r="I71" s="3"/>
      <c r="J71" s="3"/>
      <c r="K71" s="3"/>
      <c r="L71" s="3"/>
    </row>
    <row r="72" spans="1:14">
      <c r="A72" s="230" t="s">
        <v>501</v>
      </c>
      <c r="B72" s="3"/>
      <c r="C72" s="3"/>
      <c r="D72" s="3"/>
      <c r="E72" s="3"/>
      <c r="F72" s="3"/>
      <c r="G72" s="3"/>
      <c r="H72" s="3"/>
      <c r="I72" s="3"/>
      <c r="J72" s="3"/>
      <c r="K72" s="3"/>
      <c r="L72" s="3"/>
    </row>
    <row r="73" spans="1:14">
      <c r="A73" s="230" t="s">
        <v>502</v>
      </c>
      <c r="M73" s="3"/>
    </row>
    <row r="74" spans="1:14">
      <c r="A74" s="98" t="s">
        <v>503</v>
      </c>
      <c r="M74" s="3"/>
    </row>
    <row r="75" spans="1:14" ht="15.6" customHeight="1"/>
    <row r="76" spans="1:14">
      <c r="A76" s="17" t="s">
        <v>18</v>
      </c>
      <c r="B76" s="831" t="s">
        <v>504</v>
      </c>
      <c r="C76" s="840"/>
      <c r="D76" s="840"/>
      <c r="E76" s="840"/>
      <c r="F76" s="840"/>
      <c r="G76" s="840"/>
      <c r="H76" s="840"/>
      <c r="I76" s="840"/>
      <c r="J76" s="840"/>
      <c r="K76" s="840"/>
      <c r="L76" s="840"/>
    </row>
    <row r="77" spans="1:14">
      <c r="A77" s="14"/>
      <c r="B77" s="840"/>
      <c r="C77" s="840"/>
      <c r="D77" s="840"/>
      <c r="E77" s="840"/>
      <c r="F77" s="840"/>
      <c r="G77" s="840"/>
      <c r="H77" s="840"/>
      <c r="I77" s="840"/>
      <c r="J77" s="840"/>
      <c r="K77" s="840"/>
      <c r="L77" s="840"/>
    </row>
    <row r="78" spans="1:14">
      <c r="A78" s="3"/>
      <c r="B78" s="3"/>
      <c r="C78" s="3"/>
      <c r="D78" s="3"/>
      <c r="E78" s="3"/>
      <c r="F78" s="3"/>
      <c r="G78" s="3"/>
      <c r="H78" s="3"/>
      <c r="I78" s="3"/>
      <c r="J78" s="3"/>
      <c r="K78" s="3"/>
      <c r="L78" s="3"/>
    </row>
    <row r="79" spans="1:14">
      <c r="A79" s="3" t="s">
        <v>20</v>
      </c>
      <c r="B79" s="3"/>
      <c r="C79" s="3"/>
      <c r="D79" s="3"/>
      <c r="E79" s="3"/>
      <c r="F79" s="3"/>
      <c r="G79" s="3"/>
      <c r="H79" s="3"/>
      <c r="I79" s="3"/>
      <c r="J79" s="3"/>
      <c r="K79" s="3"/>
      <c r="L79" s="3"/>
    </row>
    <row r="80" spans="1:14">
      <c r="A80" s="3"/>
      <c r="B80" s="3"/>
      <c r="C80" s="3"/>
      <c r="D80" s="3"/>
      <c r="E80" s="3"/>
      <c r="F80" s="3"/>
      <c r="G80" s="3"/>
      <c r="H80" s="3"/>
      <c r="I80" s="3"/>
      <c r="J80" s="3"/>
      <c r="K80" s="3"/>
      <c r="L80" s="3"/>
    </row>
    <row r="81" spans="1:14">
      <c r="A81" s="3" t="s">
        <v>505</v>
      </c>
      <c r="B81" s="3"/>
      <c r="C81" s="3"/>
      <c r="D81" s="3"/>
      <c r="E81" s="3"/>
      <c r="F81" s="3"/>
      <c r="G81" s="3"/>
      <c r="H81" s="3"/>
      <c r="I81" s="3"/>
      <c r="J81" s="3"/>
      <c r="K81" s="3"/>
      <c r="L81" s="3"/>
    </row>
    <row r="82" spans="1:14">
      <c r="A82" s="2" t="s">
        <v>496</v>
      </c>
    </row>
    <row r="83" spans="1:14">
      <c r="A83" s="60" t="s">
        <v>506</v>
      </c>
    </row>
    <row r="84" spans="1:14">
      <c r="A84" s="60" t="s">
        <v>507</v>
      </c>
    </row>
    <row r="85" spans="1:14">
      <c r="A85" s="60" t="s">
        <v>508</v>
      </c>
      <c r="M85" s="3"/>
      <c r="N85" s="3"/>
    </row>
    <row r="86" spans="1:14">
      <c r="A86" s="60" t="s">
        <v>509</v>
      </c>
      <c r="M86" s="3"/>
      <c r="N86" s="3"/>
    </row>
  </sheetData>
  <mergeCells count="1">
    <mergeCell ref="B76:L77"/>
  </mergeCells>
  <hyperlinks>
    <hyperlink ref="O1" location="TOC!A1" display="Table of Contents" xr:uid="{CF9EBA51-1596-4190-88A7-0CB1A0C4D5AE}"/>
  </hyperlinks>
  <pageMargins left="0.7" right="0.7" top="0.75" bottom="0.75" header="0.3" footer="0.3"/>
  <pageSetup scale="74" orientation="portrait"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AE8C-6D78-48CE-9CC2-F17D32567CFF}">
  <dimension ref="A1:R120"/>
  <sheetViews>
    <sheetView zoomScaleNormal="100" workbookViewId="0"/>
  </sheetViews>
  <sheetFormatPr defaultRowHeight="15.6"/>
  <cols>
    <col min="1" max="1" width="8.88671875" style="2" customWidth="1"/>
    <col min="2" max="2" width="23.44140625" style="2" customWidth="1"/>
    <col min="3" max="3" width="11.77734375" style="2" customWidth="1"/>
    <col min="4" max="5" width="12.77734375" style="2" customWidth="1"/>
    <col min="6" max="12" width="11.77734375" style="2" customWidth="1"/>
    <col min="13" max="16384" width="8.88671875" style="2"/>
  </cols>
  <sheetData>
    <row r="1" spans="1:15" ht="17.399999999999999">
      <c r="A1" s="13" t="s">
        <v>739</v>
      </c>
      <c r="B1" s="1"/>
      <c r="C1" s="1" t="s">
        <v>240</v>
      </c>
      <c r="D1" s="1"/>
      <c r="E1" s="1"/>
      <c r="F1" s="1"/>
      <c r="G1" s="1"/>
      <c r="H1" s="1"/>
      <c r="I1" s="1"/>
      <c r="J1" s="1"/>
      <c r="K1" s="1"/>
      <c r="L1" s="14"/>
      <c r="O1" s="21" t="s">
        <v>2927</v>
      </c>
    </row>
    <row r="2" spans="1:15">
      <c r="A2" s="1"/>
      <c r="B2" s="1"/>
      <c r="C2" s="1"/>
      <c r="D2" s="1"/>
      <c r="E2" s="1"/>
      <c r="F2" s="1"/>
      <c r="G2" s="1"/>
      <c r="H2" s="1"/>
      <c r="I2" s="1"/>
      <c r="J2" s="1"/>
      <c r="K2" s="1"/>
      <c r="L2" s="14"/>
    </row>
    <row r="3" spans="1:15">
      <c r="A3" s="1" t="s">
        <v>510</v>
      </c>
      <c r="B3" s="1"/>
      <c r="C3" s="1"/>
      <c r="D3" s="1"/>
      <c r="E3" s="1"/>
      <c r="F3" s="1"/>
      <c r="G3" s="1"/>
      <c r="H3" s="1"/>
      <c r="I3" s="1"/>
      <c r="J3" s="1"/>
      <c r="K3" s="1"/>
      <c r="L3" s="14"/>
    </row>
    <row r="4" spans="1:15">
      <c r="A4" s="43"/>
      <c r="B4" s="1"/>
      <c r="C4" s="1"/>
      <c r="D4" s="1"/>
      <c r="E4" s="1"/>
      <c r="F4" s="1"/>
      <c r="G4" s="1"/>
      <c r="H4" s="1"/>
      <c r="I4" s="1"/>
      <c r="J4" s="1"/>
      <c r="K4" s="1"/>
      <c r="L4" s="1"/>
    </row>
    <row r="5" spans="1:15">
      <c r="A5" s="43"/>
      <c r="B5" s="206"/>
      <c r="C5" s="206"/>
      <c r="D5" s="863" t="s">
        <v>511</v>
      </c>
      <c r="E5" s="864"/>
      <c r="F5" s="865"/>
      <c r="G5" s="1"/>
      <c r="H5" s="1"/>
      <c r="I5" s="1"/>
      <c r="J5" s="1"/>
      <c r="K5" s="1"/>
      <c r="L5" s="1"/>
    </row>
    <row r="6" spans="1:15" ht="15.6" customHeight="1">
      <c r="A6" s="43"/>
      <c r="B6" s="849" t="s">
        <v>49</v>
      </c>
      <c r="C6" s="849" t="s">
        <v>4</v>
      </c>
      <c r="D6" s="866"/>
      <c r="E6" s="867"/>
      <c r="F6" s="868"/>
      <c r="G6" s="1"/>
      <c r="H6" s="1"/>
      <c r="I6" s="1"/>
      <c r="J6" s="1"/>
      <c r="K6" s="1"/>
      <c r="L6" s="1"/>
    </row>
    <row r="7" spans="1:15">
      <c r="A7" s="43"/>
      <c r="B7" s="869"/>
      <c r="C7" s="869"/>
      <c r="D7" s="4" t="s">
        <v>304</v>
      </c>
      <c r="E7" s="4" t="s">
        <v>124</v>
      </c>
      <c r="F7" s="4" t="s">
        <v>512</v>
      </c>
      <c r="G7" s="1"/>
      <c r="H7" s="1"/>
      <c r="I7" s="1"/>
      <c r="J7" s="1"/>
      <c r="K7" s="1"/>
      <c r="L7" s="1"/>
    </row>
    <row r="8" spans="1:15">
      <c r="A8" s="43"/>
      <c r="B8" s="226">
        <v>2015</v>
      </c>
      <c r="C8" s="231">
        <v>25200</v>
      </c>
      <c r="D8" s="231">
        <v>2088</v>
      </c>
      <c r="E8" s="231">
        <v>9028629</v>
      </c>
      <c r="F8" s="231">
        <v>4324</v>
      </c>
      <c r="G8" s="1"/>
      <c r="H8" s="1"/>
      <c r="I8" s="1"/>
      <c r="J8" s="1"/>
      <c r="K8" s="1"/>
      <c r="L8" s="1"/>
    </row>
    <row r="9" spans="1:15">
      <c r="A9" s="43"/>
      <c r="B9" s="228">
        <f>B8+1</f>
        <v>2016</v>
      </c>
      <c r="C9" s="231">
        <v>26700</v>
      </c>
      <c r="D9" s="231">
        <v>2194</v>
      </c>
      <c r="E9" s="231">
        <v>9779132</v>
      </c>
      <c r="F9" s="231">
        <v>4458</v>
      </c>
      <c r="G9" s="1"/>
      <c r="H9" s="1"/>
      <c r="I9" s="1"/>
      <c r="J9" s="1"/>
      <c r="K9" s="1"/>
      <c r="L9" s="1"/>
    </row>
    <row r="10" spans="1:15">
      <c r="A10" s="1"/>
      <c r="B10" s="228">
        <f t="shared" ref="B10:B13" si="0">B9+1</f>
        <v>2017</v>
      </c>
      <c r="C10" s="231">
        <v>25300</v>
      </c>
      <c r="D10" s="231">
        <v>2063</v>
      </c>
      <c r="E10" s="231">
        <v>9477056</v>
      </c>
      <c r="F10" s="231">
        <v>4594</v>
      </c>
      <c r="G10" s="1"/>
      <c r="H10" s="1"/>
      <c r="I10" s="1"/>
      <c r="J10" s="1"/>
      <c r="K10" s="1"/>
      <c r="L10" s="1"/>
    </row>
    <row r="11" spans="1:15">
      <c r="A11" s="1"/>
      <c r="B11" s="228">
        <f t="shared" si="0"/>
        <v>2018</v>
      </c>
      <c r="C11" s="231">
        <v>24500</v>
      </c>
      <c r="D11" s="231">
        <v>1983</v>
      </c>
      <c r="E11" s="231">
        <v>9375491</v>
      </c>
      <c r="F11" s="231">
        <v>4733</v>
      </c>
      <c r="G11" s="1"/>
      <c r="H11" s="1"/>
      <c r="I11" s="1"/>
      <c r="J11" s="1"/>
      <c r="K11" s="1"/>
      <c r="L11" s="1"/>
    </row>
    <row r="12" spans="1:15">
      <c r="A12" s="43"/>
      <c r="B12" s="228">
        <f t="shared" si="0"/>
        <v>2019</v>
      </c>
      <c r="C12" s="231">
        <v>23900</v>
      </c>
      <c r="D12" s="231">
        <v>1933</v>
      </c>
      <c r="E12" s="231">
        <v>8987726</v>
      </c>
      <c r="F12" s="231">
        <v>4724</v>
      </c>
      <c r="G12" s="1"/>
      <c r="H12" s="1"/>
      <c r="I12" s="1"/>
      <c r="J12" s="1"/>
      <c r="K12" s="1"/>
      <c r="L12" s="1"/>
    </row>
    <row r="13" spans="1:15">
      <c r="A13" s="1"/>
      <c r="B13" s="228">
        <f t="shared" si="0"/>
        <v>2020</v>
      </c>
      <c r="C13" s="231">
        <v>24200</v>
      </c>
      <c r="D13" s="231">
        <v>1709</v>
      </c>
      <c r="E13" s="231">
        <v>7810473</v>
      </c>
      <c r="F13" s="231">
        <v>4749</v>
      </c>
      <c r="G13" s="1"/>
      <c r="H13" s="1"/>
      <c r="I13" s="1"/>
      <c r="J13" s="1"/>
      <c r="K13" s="1"/>
      <c r="L13" s="1"/>
    </row>
    <row r="14" spans="1:15">
      <c r="A14" s="1"/>
      <c r="B14" s="232" t="s">
        <v>132</v>
      </c>
      <c r="C14" s="233">
        <f>SUM(C8:C13)</f>
        <v>149800</v>
      </c>
      <c r="D14" s="233">
        <f>SUM(D8:D13)</f>
        <v>11970</v>
      </c>
      <c r="E14" s="233">
        <f>SUM(E8:E13)</f>
        <v>54458507</v>
      </c>
      <c r="F14" s="233"/>
      <c r="G14" s="1"/>
      <c r="H14" s="1"/>
      <c r="I14" s="1"/>
      <c r="J14" s="1"/>
      <c r="K14" s="1"/>
      <c r="L14" s="1"/>
    </row>
    <row r="15" spans="1:15">
      <c r="A15" s="1"/>
      <c r="B15" s="1"/>
      <c r="C15" s="1"/>
      <c r="D15" s="1"/>
      <c r="E15" s="1"/>
      <c r="F15" s="1"/>
      <c r="G15" s="1"/>
      <c r="H15" s="1"/>
      <c r="I15" s="1"/>
      <c r="J15" s="1"/>
      <c r="K15" s="1"/>
      <c r="L15" s="1"/>
    </row>
    <row r="16" spans="1:15">
      <c r="A16" s="831" t="s">
        <v>513</v>
      </c>
      <c r="B16" s="840"/>
      <c r="C16" s="840"/>
      <c r="D16" s="840"/>
      <c r="E16" s="840"/>
      <c r="F16" s="840"/>
      <c r="G16" s="840"/>
      <c r="H16" s="840"/>
      <c r="I16" s="840"/>
      <c r="J16" s="840"/>
      <c r="K16" s="840"/>
      <c r="L16" s="840"/>
    </row>
    <row r="17" spans="1:18">
      <c r="A17" s="840"/>
      <c r="B17" s="840"/>
      <c r="C17" s="840"/>
      <c r="D17" s="840"/>
      <c r="E17" s="840"/>
      <c r="F17" s="840"/>
      <c r="G17" s="840"/>
      <c r="H17" s="840"/>
      <c r="I17" s="840"/>
      <c r="J17" s="840"/>
      <c r="K17" s="840"/>
      <c r="L17" s="840"/>
    </row>
    <row r="19" spans="1:18">
      <c r="A19" s="15" t="s">
        <v>1</v>
      </c>
      <c r="B19" s="14"/>
      <c r="C19" s="14"/>
      <c r="D19" s="14"/>
      <c r="E19" s="14"/>
      <c r="F19" s="14"/>
      <c r="G19" s="14"/>
      <c r="H19" s="14"/>
      <c r="I19" s="14"/>
      <c r="J19" s="14"/>
      <c r="K19" s="14"/>
      <c r="L19" s="14"/>
    </row>
    <row r="20" spans="1:18">
      <c r="A20" s="3"/>
      <c r="B20" s="3"/>
      <c r="C20" s="3"/>
      <c r="D20" s="3"/>
      <c r="E20" s="3"/>
      <c r="F20" s="3"/>
      <c r="G20" s="3"/>
      <c r="H20" s="3"/>
      <c r="I20" s="3"/>
      <c r="J20" s="3"/>
      <c r="K20" s="3"/>
      <c r="L20" s="3"/>
    </row>
    <row r="21" spans="1:18">
      <c r="A21" s="17" t="s">
        <v>133</v>
      </c>
      <c r="B21" s="1" t="s">
        <v>514</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ht="31.2">
      <c r="A24" s="3"/>
      <c r="B24" s="36" t="s">
        <v>49</v>
      </c>
      <c r="C24" s="36" t="s">
        <v>515</v>
      </c>
      <c r="D24" s="36" t="s">
        <v>516</v>
      </c>
      <c r="E24" s="36" t="s">
        <v>517</v>
      </c>
      <c r="F24" s="36" t="s">
        <v>518</v>
      </c>
      <c r="G24" s="3"/>
      <c r="H24" s="3"/>
      <c r="I24" s="3"/>
      <c r="J24" s="3"/>
      <c r="K24" s="3"/>
      <c r="L24" s="3"/>
      <c r="M24" s="3"/>
      <c r="N24" s="9"/>
    </row>
    <row r="25" spans="1:18">
      <c r="B25" s="34">
        <v>2015</v>
      </c>
      <c r="C25" s="234">
        <f t="shared" ref="C25:C30" si="1">D8/C8</f>
        <v>8.2857142857142851E-2</v>
      </c>
      <c r="D25" s="234"/>
      <c r="E25" s="234">
        <f>E26*(1+$D$33)</f>
        <v>0.96160367295865612</v>
      </c>
      <c r="F25" s="234">
        <f>E25*C25</f>
        <v>7.9675732902288646E-2</v>
      </c>
      <c r="M25" s="9"/>
      <c r="N25" s="9"/>
    </row>
    <row r="26" spans="1:18">
      <c r="B26" s="34">
        <f>B25+1</f>
        <v>2016</v>
      </c>
      <c r="C26" s="234">
        <f t="shared" si="1"/>
        <v>8.2172284644194751E-2</v>
      </c>
      <c r="D26" s="234">
        <f>C26/C25-1</f>
        <v>-8.2655301562701844E-3</v>
      </c>
      <c r="E26" s="234">
        <f t="shared" ref="E26:E29" si="2">E27*(1+$D$33)</f>
        <v>0.96916314549350546</v>
      </c>
      <c r="F26" s="234">
        <f t="shared" ref="F26:F30" si="3">E26*C26</f>
        <v>7.9638349858155461E-2</v>
      </c>
      <c r="M26" s="9"/>
      <c r="N26" s="9"/>
    </row>
    <row r="27" spans="1:18">
      <c r="B27" s="34">
        <f t="shared" ref="B27:B30" si="4">B26+1</f>
        <v>2017</v>
      </c>
      <c r="C27" s="234">
        <f t="shared" si="1"/>
        <v>8.1541501976284583E-2</v>
      </c>
      <c r="D27" s="234">
        <f t="shared" ref="D27:D30" si="5">C27/C26-1</f>
        <v>-7.6763433150417448E-3</v>
      </c>
      <c r="E27" s="234">
        <f t="shared" si="2"/>
        <v>0.97678204544799985</v>
      </c>
      <c r="F27" s="234">
        <f t="shared" si="3"/>
        <v>7.964827508929738E-2</v>
      </c>
      <c r="M27" s="9"/>
      <c r="N27" s="9"/>
    </row>
    <row r="28" spans="1:18">
      <c r="B28" s="34">
        <f t="shared" si="4"/>
        <v>2018</v>
      </c>
      <c r="C28" s="234">
        <f t="shared" si="1"/>
        <v>8.0938775510204078E-2</v>
      </c>
      <c r="D28" s="234">
        <f t="shared" si="5"/>
        <v>-7.3916527347730465E-3</v>
      </c>
      <c r="E28" s="234">
        <f t="shared" si="2"/>
        <v>0.98446083999999989</v>
      </c>
      <c r="F28" s="234">
        <f t="shared" si="3"/>
        <v>7.9681054927346923E-2</v>
      </c>
      <c r="M28" s="9"/>
      <c r="N28" s="9"/>
    </row>
    <row r="29" spans="1:18">
      <c r="B29" s="34">
        <f t="shared" si="4"/>
        <v>2019</v>
      </c>
      <c r="C29" s="234">
        <f t="shared" si="1"/>
        <v>8.0878661087866108E-2</v>
      </c>
      <c r="D29" s="234">
        <f t="shared" si="5"/>
        <v>-7.4271474900666767E-4</v>
      </c>
      <c r="E29" s="234">
        <f t="shared" si="2"/>
        <v>0.99219999999999997</v>
      </c>
      <c r="F29" s="234">
        <f t="shared" si="3"/>
        <v>8.0247807531380749E-2</v>
      </c>
      <c r="M29" s="9"/>
      <c r="N29" s="9"/>
    </row>
    <row r="30" spans="1:18">
      <c r="B30" s="34">
        <f t="shared" si="4"/>
        <v>2020</v>
      </c>
      <c r="C30" s="234">
        <f t="shared" si="1"/>
        <v>7.0619834710743803E-2</v>
      </c>
      <c r="D30" s="234">
        <f t="shared" si="5"/>
        <v>-0.12684218852210194</v>
      </c>
      <c r="E30" s="234">
        <v>1</v>
      </c>
      <c r="F30" s="234">
        <f t="shared" si="3"/>
        <v>7.0619834710743803E-2</v>
      </c>
      <c r="M30" s="9"/>
      <c r="N30" s="9"/>
    </row>
    <row r="31" spans="1:18">
      <c r="C31" s="235"/>
      <c r="M31" s="9"/>
      <c r="N31" s="9"/>
    </row>
    <row r="32" spans="1:18">
      <c r="B32" s="2" t="s">
        <v>519</v>
      </c>
      <c r="D32" s="236">
        <f>AVERAGE(D26:D28)</f>
        <v>-7.7778420686949916E-3</v>
      </c>
      <c r="E32" s="18"/>
      <c r="F32" s="234">
        <f>AVERAGE(F25:F29)</f>
        <v>7.9778244061693829E-2</v>
      </c>
      <c r="M32" s="9"/>
      <c r="N32" s="9"/>
    </row>
    <row r="33" spans="1:14">
      <c r="B33" s="2" t="s">
        <v>520</v>
      </c>
      <c r="D33" s="112">
        <v>-7.7999999999999996E-3</v>
      </c>
      <c r="E33" s="18"/>
      <c r="M33" s="9"/>
      <c r="N33" s="9"/>
    </row>
    <row r="34" spans="1:14">
      <c r="B34" s="2" t="s">
        <v>521</v>
      </c>
      <c r="C34" s="18"/>
      <c r="D34" s="18"/>
      <c r="M34" s="9"/>
      <c r="N34" s="9"/>
    </row>
    <row r="35" spans="1:14">
      <c r="B35" s="18"/>
      <c r="M35" s="9"/>
      <c r="N35" s="9"/>
    </row>
    <row r="36" spans="1:14">
      <c r="B36" s="2" t="s">
        <v>522</v>
      </c>
      <c r="F36" s="234">
        <f>F32</f>
        <v>7.9778244061693829E-2</v>
      </c>
      <c r="M36" s="9"/>
      <c r="N36" s="9"/>
    </row>
    <row r="37" spans="1:14">
      <c r="B37" s="2" t="s">
        <v>521</v>
      </c>
      <c r="M37" s="9"/>
      <c r="N37" s="9"/>
    </row>
    <row r="39" spans="1:14">
      <c r="A39" s="17" t="s">
        <v>18</v>
      </c>
      <c r="B39" s="1" t="s">
        <v>523</v>
      </c>
      <c r="C39" s="1"/>
      <c r="D39" s="1"/>
      <c r="E39" s="1"/>
      <c r="F39" s="1"/>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ht="31.2">
      <c r="A42" s="3"/>
      <c r="B42" s="36" t="s">
        <v>49</v>
      </c>
      <c r="C42" s="36" t="s">
        <v>524</v>
      </c>
      <c r="D42" s="36" t="s">
        <v>516</v>
      </c>
      <c r="E42" s="36" t="s">
        <v>525</v>
      </c>
      <c r="F42" s="36" t="s">
        <v>526</v>
      </c>
      <c r="G42" s="3"/>
      <c r="H42" s="3"/>
      <c r="I42" s="3"/>
      <c r="J42" s="3"/>
      <c r="K42" s="3"/>
      <c r="L42" s="3"/>
    </row>
    <row r="43" spans="1:14">
      <c r="A43" s="3"/>
      <c r="B43" s="34">
        <v>2015</v>
      </c>
      <c r="C43" s="83">
        <f t="shared" ref="C43:C48" si="6">F8</f>
        <v>4324</v>
      </c>
      <c r="D43" s="234"/>
      <c r="E43" s="234">
        <f t="shared" ref="E43:E46" si="7">E44*(1+$D$51)</f>
        <v>1.1626545368394114</v>
      </c>
      <c r="F43" s="237">
        <f>E43*C43</f>
        <v>5027.3182172936149</v>
      </c>
      <c r="G43" s="3"/>
      <c r="H43" s="3"/>
      <c r="I43" s="3"/>
      <c r="J43" s="3"/>
      <c r="K43" s="3"/>
      <c r="L43" s="3"/>
    </row>
    <row r="44" spans="1:14">
      <c r="A44" s="3"/>
      <c r="B44" s="34">
        <f>B43+1</f>
        <v>2016</v>
      </c>
      <c r="C44" s="83">
        <f t="shared" si="6"/>
        <v>4458</v>
      </c>
      <c r="D44" s="234">
        <f>C44/C43-1</f>
        <v>3.0989824236817842E-2</v>
      </c>
      <c r="E44" s="234">
        <f t="shared" si="7"/>
        <v>1.1281336472340495</v>
      </c>
      <c r="F44" s="237">
        <f t="shared" ref="F44:F48" si="8">E44*C44</f>
        <v>5029.2197993693926</v>
      </c>
      <c r="G44" s="3"/>
      <c r="H44" s="3"/>
      <c r="I44" s="3"/>
      <c r="J44" s="3"/>
      <c r="K44" s="3"/>
      <c r="L44" s="3"/>
    </row>
    <row r="45" spans="1:14">
      <c r="A45" s="3"/>
      <c r="B45" s="34">
        <f t="shared" ref="B45:B48" si="9">B44+1</f>
        <v>2017</v>
      </c>
      <c r="C45" s="83">
        <f t="shared" si="6"/>
        <v>4594</v>
      </c>
      <c r="D45" s="234">
        <f t="shared" ref="D45:D48" si="10">C45/C44-1</f>
        <v>3.0506953790937708E-2</v>
      </c>
      <c r="E45" s="234">
        <f t="shared" si="7"/>
        <v>1.0946377326159999</v>
      </c>
      <c r="F45" s="237">
        <f t="shared" si="8"/>
        <v>5028.7657436379041</v>
      </c>
      <c r="G45" s="3"/>
      <c r="H45" s="3"/>
      <c r="I45" s="3"/>
      <c r="J45" s="3"/>
      <c r="K45" s="3"/>
      <c r="L45" s="3"/>
    </row>
    <row r="46" spans="1:14">
      <c r="A46" s="3"/>
      <c r="B46" s="34">
        <f t="shared" si="9"/>
        <v>2018</v>
      </c>
      <c r="C46" s="83">
        <f t="shared" si="6"/>
        <v>4733</v>
      </c>
      <c r="D46" s="234">
        <f t="shared" si="10"/>
        <v>3.0256856769699692E-2</v>
      </c>
      <c r="E46" s="234">
        <f t="shared" si="7"/>
        <v>1.06213636</v>
      </c>
      <c r="F46" s="237">
        <f t="shared" si="8"/>
        <v>5027.0913918799997</v>
      </c>
      <c r="G46" s="3"/>
      <c r="H46" s="3"/>
      <c r="I46" s="3"/>
      <c r="J46" s="3"/>
      <c r="K46" s="3"/>
      <c r="L46" s="3"/>
    </row>
    <row r="47" spans="1:14">
      <c r="A47" s="3"/>
      <c r="B47" s="34">
        <f t="shared" si="9"/>
        <v>2019</v>
      </c>
      <c r="C47" s="83">
        <f t="shared" si="6"/>
        <v>4724</v>
      </c>
      <c r="D47" s="234">
        <f t="shared" si="10"/>
        <v>-1.9015423621381311E-3</v>
      </c>
      <c r="E47" s="234">
        <f>E48*(1+$D$51)</f>
        <v>1.0306</v>
      </c>
      <c r="F47" s="237">
        <f t="shared" si="8"/>
        <v>4868.5544</v>
      </c>
      <c r="G47" s="3"/>
      <c r="H47" s="3"/>
      <c r="I47" s="3"/>
      <c r="J47" s="3"/>
      <c r="K47" s="3"/>
      <c r="L47" s="3"/>
    </row>
    <row r="48" spans="1:14">
      <c r="A48" s="3"/>
      <c r="B48" s="34">
        <f t="shared" si="9"/>
        <v>2020</v>
      </c>
      <c r="C48" s="83">
        <f t="shared" si="6"/>
        <v>4749</v>
      </c>
      <c r="D48" s="234">
        <f t="shared" si="10"/>
        <v>5.2921253175275407E-3</v>
      </c>
      <c r="E48" s="234">
        <v>1</v>
      </c>
      <c r="F48" s="237">
        <f t="shared" si="8"/>
        <v>4749</v>
      </c>
      <c r="G48" s="3"/>
      <c r="H48" s="3"/>
      <c r="I48" s="3"/>
      <c r="J48" s="3"/>
      <c r="K48" s="3"/>
      <c r="L48" s="3"/>
    </row>
    <row r="49" spans="1:13">
      <c r="A49" s="3"/>
      <c r="B49" s="3"/>
      <c r="C49" s="238"/>
      <c r="D49" s="3"/>
      <c r="E49" s="3"/>
      <c r="F49" s="3"/>
      <c r="G49" s="3"/>
      <c r="H49" s="3"/>
      <c r="I49" s="3"/>
      <c r="J49" s="3"/>
      <c r="K49" s="3"/>
      <c r="L49" s="3"/>
    </row>
    <row r="50" spans="1:13">
      <c r="A50" s="3"/>
      <c r="B50" s="3" t="s">
        <v>519</v>
      </c>
      <c r="C50" s="3"/>
      <c r="D50" s="239">
        <f>AVERAGE(D44:D46)</f>
        <v>3.058454493248508E-2</v>
      </c>
      <c r="E50" s="62"/>
      <c r="F50" s="240">
        <f>AVERAGE(F43:F46)</f>
        <v>5028.0987880452276</v>
      </c>
      <c r="G50" s="3"/>
      <c r="H50" s="3"/>
      <c r="I50" s="3"/>
      <c r="J50" s="3"/>
      <c r="K50" s="3"/>
      <c r="L50" s="3"/>
    </row>
    <row r="51" spans="1:13">
      <c r="A51" s="3"/>
      <c r="B51" s="3" t="s">
        <v>520</v>
      </c>
      <c r="C51" s="3"/>
      <c r="D51" s="112">
        <v>3.0599999999999999E-2</v>
      </c>
      <c r="E51" s="62"/>
      <c r="F51" s="3"/>
      <c r="G51" s="3"/>
      <c r="H51" s="3"/>
      <c r="I51" s="3"/>
      <c r="J51" s="3"/>
      <c r="K51" s="3"/>
      <c r="L51" s="3"/>
    </row>
    <row r="52" spans="1:13">
      <c r="A52" s="3"/>
      <c r="B52" s="2" t="s">
        <v>521</v>
      </c>
      <c r="C52" s="62"/>
      <c r="D52" s="62"/>
      <c r="E52" s="3"/>
      <c r="F52" s="3"/>
      <c r="G52" s="3"/>
      <c r="H52" s="3"/>
      <c r="I52" s="3"/>
      <c r="J52" s="3"/>
      <c r="K52" s="3"/>
      <c r="L52" s="3"/>
    </row>
    <row r="53" spans="1:13">
      <c r="A53" s="3"/>
      <c r="B53" s="62"/>
      <c r="C53" s="3"/>
      <c r="D53" s="3"/>
      <c r="E53" s="3"/>
      <c r="F53" s="3"/>
      <c r="G53" s="3"/>
      <c r="H53" s="3"/>
      <c r="I53" s="3"/>
      <c r="J53" s="3"/>
      <c r="K53" s="3"/>
      <c r="L53" s="3"/>
    </row>
    <row r="54" spans="1:13">
      <c r="A54" s="3"/>
      <c r="B54" s="3" t="s">
        <v>527</v>
      </c>
      <c r="C54" s="3"/>
      <c r="D54" s="3"/>
      <c r="E54" s="3"/>
      <c r="F54" s="240">
        <f>AVERAGE(F43:F46)</f>
        <v>5028.0987880452276</v>
      </c>
      <c r="G54" s="3"/>
      <c r="H54" s="3"/>
      <c r="I54" s="3"/>
      <c r="J54" s="3"/>
      <c r="K54" s="3"/>
      <c r="L54" s="3"/>
    </row>
    <row r="55" spans="1:13">
      <c r="A55" s="3"/>
      <c r="B55" s="2" t="s">
        <v>521</v>
      </c>
      <c r="C55" s="3"/>
      <c r="D55" s="3"/>
      <c r="E55" s="3"/>
      <c r="F55" s="3"/>
      <c r="G55" s="3"/>
      <c r="H55" s="3"/>
      <c r="I55" s="3"/>
      <c r="J55" s="3"/>
      <c r="K55" s="3"/>
      <c r="L55" s="3"/>
    </row>
    <row r="56" spans="1:13">
      <c r="A56" s="3"/>
      <c r="B56" s="3"/>
      <c r="C56" s="3"/>
      <c r="D56" s="3"/>
      <c r="E56" s="3"/>
      <c r="F56" s="3"/>
      <c r="G56" s="3"/>
      <c r="H56" s="3"/>
      <c r="I56" s="3"/>
      <c r="J56" s="3"/>
      <c r="K56" s="3"/>
      <c r="L56" s="3"/>
    </row>
    <row r="57" spans="1:13" ht="31.2">
      <c r="A57" s="3"/>
      <c r="B57" s="36" t="s">
        <v>49</v>
      </c>
      <c r="C57" s="36" t="s">
        <v>528</v>
      </c>
      <c r="D57" s="36" t="s">
        <v>529</v>
      </c>
      <c r="E57" s="36" t="s">
        <v>131</v>
      </c>
      <c r="F57" s="3"/>
      <c r="G57" s="3"/>
      <c r="H57" s="3"/>
      <c r="I57" s="3"/>
      <c r="J57" s="3"/>
      <c r="K57" s="3"/>
      <c r="L57" s="3"/>
    </row>
    <row r="58" spans="1:13">
      <c r="A58" s="3"/>
      <c r="B58" s="34">
        <v>2015</v>
      </c>
      <c r="C58" s="237">
        <f t="shared" ref="C58:C63" si="11">$F$36*C8/E25</f>
        <v>2090.6864302723202</v>
      </c>
      <c r="D58" s="237">
        <f t="shared" ref="D58:D63" si="12">$F$54/E43</f>
        <v>4324.6713694626214</v>
      </c>
      <c r="E58" s="83">
        <f>C58*D58</f>
        <v>9041531.7475227136</v>
      </c>
      <c r="F58" s="3"/>
      <c r="G58" s="3"/>
      <c r="H58" s="3"/>
      <c r="I58" s="3"/>
      <c r="J58" s="3"/>
      <c r="K58" s="3"/>
      <c r="L58" s="3"/>
    </row>
    <row r="59" spans="1:13">
      <c r="A59" s="3"/>
      <c r="B59" s="34">
        <f>B58+1</f>
        <v>2016</v>
      </c>
      <c r="C59" s="237">
        <f t="shared" si="11"/>
        <v>2197.8540211231125</v>
      </c>
      <c r="D59" s="237">
        <f t="shared" si="12"/>
        <v>4457.0063133681779</v>
      </c>
      <c r="E59" s="83">
        <f t="shared" ref="E59:E63" si="13">C59*D59</f>
        <v>9795849.2480073497</v>
      </c>
      <c r="F59" s="3"/>
      <c r="G59" s="3"/>
      <c r="H59" s="3"/>
      <c r="I59" s="3"/>
      <c r="J59" s="3"/>
      <c r="K59" s="3"/>
      <c r="L59" s="3"/>
    </row>
    <row r="60" spans="1:13">
      <c r="A60" s="3"/>
      <c r="B60" s="34">
        <f t="shared" ref="B60:B63" si="14">B59+1</f>
        <v>2017</v>
      </c>
      <c r="C60" s="237">
        <f t="shared" si="11"/>
        <v>2066.3663753515475</v>
      </c>
      <c r="D60" s="237">
        <f t="shared" si="12"/>
        <v>4593.3907065572439</v>
      </c>
      <c r="E60" s="83">
        <f t="shared" si="13"/>
        <v>9491628.1048821751</v>
      </c>
      <c r="F60" s="3"/>
      <c r="G60" s="3"/>
      <c r="H60" s="3"/>
      <c r="I60" s="3"/>
      <c r="J60" s="3"/>
      <c r="K60" s="3"/>
      <c r="L60" s="3"/>
    </row>
    <row r="61" spans="1:13">
      <c r="A61" s="3"/>
      <c r="B61" s="34">
        <f t="shared" si="14"/>
        <v>2018</v>
      </c>
      <c r="C61" s="237">
        <f t="shared" si="11"/>
        <v>1985.4187186475585</v>
      </c>
      <c r="D61" s="237">
        <f t="shared" si="12"/>
        <v>4733.9484621778956</v>
      </c>
      <c r="E61" s="83">
        <f t="shared" si="13"/>
        <v>9398869.8899208177</v>
      </c>
      <c r="F61" s="3"/>
      <c r="G61" s="3"/>
      <c r="H61" s="3"/>
      <c r="I61" s="3"/>
      <c r="J61" s="3"/>
      <c r="K61" s="3"/>
      <c r="L61" s="3"/>
    </row>
    <row r="62" spans="1:13">
      <c r="B62" s="34">
        <f t="shared" si="14"/>
        <v>2019</v>
      </c>
      <c r="C62" s="237">
        <f t="shared" si="11"/>
        <v>1921.6892089039331</v>
      </c>
      <c r="D62" s="237">
        <f t="shared" si="12"/>
        <v>4878.8072851205388</v>
      </c>
      <c r="E62" s="83">
        <f t="shared" si="13"/>
        <v>9375551.312138034</v>
      </c>
      <c r="M62" s="3"/>
    </row>
    <row r="63" spans="1:13">
      <c r="B63" s="35">
        <f t="shared" si="14"/>
        <v>2020</v>
      </c>
      <c r="C63" s="241">
        <f t="shared" si="11"/>
        <v>1930.6335062929907</v>
      </c>
      <c r="D63" s="241">
        <f t="shared" si="12"/>
        <v>5028.0987880452276</v>
      </c>
      <c r="E63" s="86">
        <f t="shared" si="13"/>
        <v>9707415.9931512941</v>
      </c>
      <c r="M63" s="3"/>
    </row>
    <row r="64" spans="1:13">
      <c r="B64" s="34" t="s">
        <v>132</v>
      </c>
      <c r="C64" s="237"/>
      <c r="D64" s="18"/>
      <c r="E64" s="83">
        <f>SUM(E58:E63)</f>
        <v>56810846.295622379</v>
      </c>
      <c r="M64" s="3"/>
    </row>
    <row r="66" spans="1:12">
      <c r="A66" s="1" t="s">
        <v>530</v>
      </c>
      <c r="B66" s="1"/>
      <c r="C66" s="1"/>
      <c r="D66" s="1"/>
      <c r="E66" s="1"/>
      <c r="F66" s="1"/>
      <c r="G66" s="1"/>
      <c r="H66" s="1"/>
      <c r="I66" s="1"/>
      <c r="J66" s="1"/>
      <c r="K66" s="1"/>
      <c r="L66" s="1"/>
    </row>
    <row r="67" spans="1:12">
      <c r="A67" s="1"/>
      <c r="B67" s="1"/>
      <c r="C67" s="1"/>
      <c r="D67" s="1"/>
      <c r="E67" s="1"/>
      <c r="F67" s="1"/>
      <c r="G67" s="1"/>
      <c r="H67" s="1"/>
      <c r="I67" s="1"/>
      <c r="J67" s="1"/>
      <c r="K67" s="1"/>
      <c r="L67" s="1"/>
    </row>
    <row r="68" spans="1:12">
      <c r="A68" s="1"/>
      <c r="B68" s="242"/>
      <c r="C68" s="243"/>
      <c r="D68" s="243"/>
      <c r="E68" s="244">
        <v>12</v>
      </c>
      <c r="F68" s="232">
        <v>24</v>
      </c>
      <c r="G68" s="232">
        <v>36</v>
      </c>
      <c r="H68" s="232">
        <v>48</v>
      </c>
      <c r="I68" s="232">
        <v>60</v>
      </c>
      <c r="J68" s="245">
        <v>72</v>
      </c>
      <c r="K68" s="1"/>
      <c r="L68" s="1"/>
    </row>
    <row r="69" spans="1:12">
      <c r="A69" s="1"/>
      <c r="B69" s="870" t="s">
        <v>531</v>
      </c>
      <c r="C69" s="871"/>
      <c r="D69" s="871"/>
      <c r="E69" s="65"/>
      <c r="F69" s="206"/>
      <c r="G69" s="206"/>
      <c r="H69" s="206"/>
      <c r="I69" s="206"/>
      <c r="J69" s="246"/>
      <c r="K69" s="1"/>
      <c r="L69" s="1"/>
    </row>
    <row r="70" spans="1:12">
      <c r="A70" s="1"/>
      <c r="B70" s="872"/>
      <c r="C70" s="873"/>
      <c r="D70" s="873"/>
      <c r="E70" s="247">
        <v>11.244999999999999</v>
      </c>
      <c r="F70" s="248">
        <v>2.0169999999999999</v>
      </c>
      <c r="G70" s="248">
        <v>1.228</v>
      </c>
      <c r="H70" s="248">
        <v>1.0629999999999999</v>
      </c>
      <c r="I70" s="248">
        <v>1.01</v>
      </c>
      <c r="J70" s="249">
        <v>1</v>
      </c>
      <c r="K70" s="1"/>
      <c r="L70" s="1"/>
    </row>
    <row r="71" spans="1:12">
      <c r="A71" s="1"/>
      <c r="B71" s="1"/>
      <c r="C71" s="1"/>
      <c r="D71" s="1"/>
      <c r="E71" s="1"/>
      <c r="F71" s="1"/>
      <c r="G71" s="1"/>
      <c r="H71" s="1"/>
      <c r="I71" s="1"/>
      <c r="J71" s="1"/>
      <c r="K71" s="1"/>
      <c r="L71" s="1"/>
    </row>
    <row r="72" spans="1:12">
      <c r="A72" s="1"/>
      <c r="B72" s="4" t="s">
        <v>3</v>
      </c>
      <c r="C72" s="4" t="s">
        <v>5</v>
      </c>
      <c r="D72" s="1"/>
      <c r="E72" s="1"/>
      <c r="F72" s="1"/>
      <c r="G72" s="1"/>
      <c r="H72" s="1"/>
      <c r="I72" s="1"/>
      <c r="J72" s="1"/>
      <c r="K72" s="1"/>
      <c r="L72" s="1"/>
    </row>
    <row r="73" spans="1:12">
      <c r="A73" s="1"/>
      <c r="B73" s="226">
        <v>2017</v>
      </c>
      <c r="C73" s="250">
        <v>738905</v>
      </c>
      <c r="D73" s="1"/>
      <c r="E73" s="1"/>
      <c r="F73" s="1"/>
      <c r="G73" s="1"/>
      <c r="H73" s="1"/>
      <c r="I73" s="1"/>
      <c r="J73" s="1"/>
      <c r="K73" s="1"/>
      <c r="L73" s="1"/>
    </row>
    <row r="74" spans="1:12">
      <c r="A74" s="1"/>
      <c r="B74" s="228">
        <v>2018</v>
      </c>
      <c r="C74" s="231">
        <v>851350</v>
      </c>
      <c r="D74" s="1"/>
      <c r="E74" s="1"/>
      <c r="F74" s="1"/>
      <c r="G74" s="1"/>
      <c r="H74" s="1"/>
      <c r="I74" s="1"/>
      <c r="J74" s="1"/>
      <c r="K74" s="1"/>
      <c r="L74" s="1"/>
    </row>
    <row r="75" spans="1:12">
      <c r="A75" s="1"/>
      <c r="B75" s="228">
        <v>2019</v>
      </c>
      <c r="C75" s="231">
        <v>883245</v>
      </c>
      <c r="D75" s="1"/>
      <c r="E75" s="1"/>
      <c r="F75" s="1"/>
      <c r="G75" s="1"/>
      <c r="H75" s="1"/>
      <c r="I75" s="1"/>
      <c r="J75" s="1"/>
      <c r="K75" s="1"/>
      <c r="L75" s="1"/>
    </row>
    <row r="76" spans="1:12">
      <c r="A76" s="1"/>
      <c r="B76" s="228">
        <v>2020</v>
      </c>
      <c r="C76" s="231">
        <v>879224</v>
      </c>
      <c r="D76" s="1"/>
      <c r="E76" s="1"/>
      <c r="F76" s="1"/>
      <c r="G76" s="1"/>
      <c r="H76" s="1"/>
      <c r="I76" s="1"/>
      <c r="J76" s="1"/>
      <c r="K76" s="1"/>
      <c r="L76" s="1"/>
    </row>
    <row r="77" spans="1:12">
      <c r="A77" s="1"/>
      <c r="B77" s="232" t="s">
        <v>132</v>
      </c>
      <c r="C77" s="233">
        <f>SUM(C73:C76)</f>
        <v>3352724</v>
      </c>
      <c r="D77" s="1"/>
      <c r="E77" s="1"/>
      <c r="F77" s="1"/>
      <c r="G77" s="1"/>
      <c r="H77" s="1"/>
      <c r="I77" s="1"/>
      <c r="J77" s="1"/>
      <c r="K77" s="1"/>
      <c r="L77" s="1"/>
    </row>
    <row r="78" spans="1:12">
      <c r="A78" s="1"/>
      <c r="B78" s="1"/>
      <c r="C78" s="1"/>
      <c r="D78" s="1"/>
      <c r="E78" s="1"/>
      <c r="F78" s="1"/>
      <c r="G78" s="1"/>
      <c r="H78" s="1"/>
      <c r="I78" s="1"/>
      <c r="J78" s="1"/>
      <c r="K78" s="1"/>
      <c r="L78" s="1"/>
    </row>
    <row r="79" spans="1:12">
      <c r="A79" s="1"/>
      <c r="B79" s="43" t="s">
        <v>532</v>
      </c>
      <c r="C79" s="14"/>
      <c r="D79" s="1"/>
      <c r="E79" s="1"/>
      <c r="F79" s="1"/>
      <c r="G79" s="1"/>
      <c r="H79" s="1"/>
      <c r="I79" s="1"/>
      <c r="J79" s="1"/>
      <c r="K79" s="1"/>
      <c r="L79" s="1"/>
    </row>
    <row r="80" spans="1:12">
      <c r="A80" s="1"/>
      <c r="B80" s="43" t="s">
        <v>533</v>
      </c>
      <c r="C80" s="14"/>
      <c r="D80" s="1"/>
      <c r="E80" s="1"/>
      <c r="F80" s="1"/>
      <c r="G80" s="1"/>
      <c r="H80" s="1"/>
      <c r="I80" s="1"/>
      <c r="J80" s="1"/>
      <c r="K80" s="1"/>
      <c r="L80" s="1"/>
    </row>
    <row r="81" spans="1:12">
      <c r="A81" s="1"/>
      <c r="B81" s="43" t="s">
        <v>534</v>
      </c>
      <c r="C81" s="1"/>
      <c r="D81" s="1"/>
      <c r="E81" s="1"/>
      <c r="F81" s="1"/>
      <c r="G81" s="1"/>
      <c r="H81" s="1"/>
      <c r="I81" s="1"/>
      <c r="J81" s="1"/>
      <c r="K81" s="1"/>
      <c r="L81" s="1"/>
    </row>
    <row r="82" spans="1:12">
      <c r="A82" s="1"/>
      <c r="B82" s="43" t="s">
        <v>535</v>
      </c>
      <c r="C82" s="1"/>
      <c r="D82" s="14"/>
      <c r="E82" s="251">
        <v>4351459</v>
      </c>
      <c r="F82" s="1"/>
      <c r="G82" s="1"/>
      <c r="H82" s="1"/>
      <c r="I82" s="1"/>
      <c r="J82" s="1"/>
      <c r="K82" s="1"/>
      <c r="L82" s="1"/>
    </row>
    <row r="83" spans="1:12">
      <c r="A83" s="1"/>
      <c r="B83" s="43" t="s">
        <v>536</v>
      </c>
      <c r="C83" s="1"/>
      <c r="D83" s="14"/>
      <c r="E83" s="251">
        <v>11117813</v>
      </c>
      <c r="F83" s="1"/>
      <c r="G83" s="1"/>
      <c r="H83" s="1"/>
      <c r="I83" s="1"/>
      <c r="J83" s="1"/>
      <c r="K83" s="1"/>
      <c r="L83" s="1"/>
    </row>
    <row r="84" spans="1:12">
      <c r="A84" s="9"/>
      <c r="B84" s="9"/>
      <c r="C84" s="9"/>
      <c r="D84" s="9"/>
      <c r="E84" s="9"/>
      <c r="F84" s="9"/>
      <c r="G84" s="9"/>
      <c r="H84" s="9"/>
      <c r="I84" s="9"/>
      <c r="J84" s="9"/>
      <c r="K84" s="9"/>
      <c r="L84" s="9"/>
    </row>
    <row r="85" spans="1:12">
      <c r="A85" s="17" t="s">
        <v>25</v>
      </c>
      <c r="B85" s="1" t="s">
        <v>537</v>
      </c>
      <c r="C85" s="1"/>
      <c r="D85" s="1"/>
      <c r="E85" s="1"/>
      <c r="F85" s="1"/>
      <c r="G85" s="1"/>
      <c r="H85" s="1"/>
      <c r="I85" s="1"/>
      <c r="J85" s="1"/>
      <c r="K85" s="1"/>
      <c r="L85" s="1"/>
    </row>
    <row r="86" spans="1:12">
      <c r="A86" s="3"/>
      <c r="B86" s="3"/>
      <c r="C86" s="3"/>
      <c r="D86" s="3"/>
      <c r="E86" s="3"/>
      <c r="F86" s="3"/>
      <c r="G86" s="3"/>
      <c r="H86" s="3"/>
      <c r="I86" s="3"/>
      <c r="J86" s="3"/>
      <c r="K86" s="3"/>
      <c r="L86" s="3"/>
    </row>
    <row r="87" spans="1:12">
      <c r="A87" s="3" t="s">
        <v>20</v>
      </c>
      <c r="B87" s="3"/>
      <c r="C87" s="3"/>
      <c r="D87" s="3"/>
      <c r="E87" s="3"/>
      <c r="F87" s="3"/>
      <c r="G87" s="3"/>
      <c r="H87" s="3"/>
      <c r="I87" s="3"/>
      <c r="J87" s="3"/>
      <c r="K87" s="3"/>
      <c r="L87" s="3"/>
    </row>
    <row r="88" spans="1:12">
      <c r="A88" s="3"/>
      <c r="B88" s="252"/>
      <c r="C88" s="253">
        <v>12</v>
      </c>
      <c r="D88" s="253">
        <v>24</v>
      </c>
      <c r="E88" s="253">
        <v>36</v>
      </c>
      <c r="F88" s="253">
        <v>48</v>
      </c>
      <c r="G88" s="253">
        <v>60</v>
      </c>
      <c r="H88" s="253">
        <v>72</v>
      </c>
      <c r="I88" s="3"/>
      <c r="J88" s="3"/>
      <c r="K88" s="3"/>
      <c r="L88" s="3"/>
    </row>
    <row r="89" spans="1:12">
      <c r="B89" s="254" t="s">
        <v>538</v>
      </c>
      <c r="C89" s="255">
        <f t="shared" ref="C89:H89" si="15">1/E70</f>
        <v>8.8928412627834602E-2</v>
      </c>
      <c r="D89" s="255">
        <f t="shared" si="15"/>
        <v>0.49578582052553299</v>
      </c>
      <c r="E89" s="255">
        <f t="shared" si="15"/>
        <v>0.81433224755700329</v>
      </c>
      <c r="F89" s="255">
        <f t="shared" si="15"/>
        <v>0.94073377234242717</v>
      </c>
      <c r="G89" s="255">
        <f t="shared" si="15"/>
        <v>0.99009900990099009</v>
      </c>
      <c r="H89" s="255">
        <f t="shared" si="15"/>
        <v>1</v>
      </c>
    </row>
    <row r="90" spans="1:12">
      <c r="B90" s="254" t="s">
        <v>539</v>
      </c>
      <c r="C90" s="256">
        <f>C89</f>
        <v>8.8928412627834602E-2</v>
      </c>
      <c r="D90" s="256">
        <f>D89-C89</f>
        <v>0.40685740789769842</v>
      </c>
      <c r="E90" s="256">
        <f>E89-D89</f>
        <v>0.31854642703147029</v>
      </c>
      <c r="F90" s="256">
        <f>F89-E89</f>
        <v>0.12640152478542388</v>
      </c>
      <c r="G90" s="256">
        <f>G89-F89</f>
        <v>4.9365237558562924E-2</v>
      </c>
      <c r="H90" s="256">
        <f>H89-G89</f>
        <v>9.9009900990099098E-3</v>
      </c>
    </row>
    <row r="91" spans="1:12">
      <c r="C91" s="257"/>
      <c r="D91" s="89"/>
      <c r="E91" s="257"/>
      <c r="F91" s="257"/>
      <c r="G91" s="257"/>
      <c r="H91" s="257"/>
    </row>
    <row r="93" spans="1:12">
      <c r="D93" s="18"/>
      <c r="E93" s="862" t="s">
        <v>540</v>
      </c>
      <c r="F93" s="862"/>
      <c r="G93" s="862"/>
      <c r="H93" s="862"/>
    </row>
    <row r="94" spans="1:12" ht="31.2">
      <c r="C94" s="36" t="s">
        <v>49</v>
      </c>
      <c r="D94" s="36" t="s">
        <v>131</v>
      </c>
      <c r="E94" s="35">
        <v>2017</v>
      </c>
      <c r="F94" s="35">
        <f>E94+1</f>
        <v>2018</v>
      </c>
      <c r="G94" s="35">
        <f t="shared" ref="G94:H94" si="16">F94+1</f>
        <v>2019</v>
      </c>
      <c r="H94" s="35">
        <f t="shared" si="16"/>
        <v>2020</v>
      </c>
    </row>
    <row r="95" spans="1:12">
      <c r="C95" s="34">
        <v>2015</v>
      </c>
      <c r="D95" s="106">
        <f t="shared" ref="D95:D100" si="17">E58</f>
        <v>9041531.7475227136</v>
      </c>
      <c r="E95" s="83">
        <f>$D95*E90</f>
        <v>2880147.6330649662</v>
      </c>
      <c r="F95" s="83">
        <f>$D95*F90</f>
        <v>1142863.3992826892</v>
      </c>
      <c r="G95" s="83">
        <f>$D95*G90</f>
        <v>446337.36260974733</v>
      </c>
      <c r="H95" s="83">
        <f>$D95*H90</f>
        <v>89520.116312106155</v>
      </c>
    </row>
    <row r="96" spans="1:12">
      <c r="C96" s="34">
        <f>C95+1</f>
        <v>2016</v>
      </c>
      <c r="D96" s="106">
        <f t="shared" si="17"/>
        <v>9795849.2480073497</v>
      </c>
      <c r="E96" s="83">
        <f>$D96*D90</f>
        <v>3985513.8332008887</v>
      </c>
      <c r="F96" s="83">
        <f>$D96*E90</f>
        <v>3120432.7776916563</v>
      </c>
      <c r="G96" s="83">
        <f>$D96*F90</f>
        <v>1238210.281516277</v>
      </c>
      <c r="H96" s="83">
        <f>$D96*G90</f>
        <v>483574.4252157528</v>
      </c>
    </row>
    <row r="97" spans="1:14">
      <c r="B97" s="18"/>
      <c r="C97" s="34">
        <f t="shared" ref="C97:C100" si="18">C96+1</f>
        <v>2017</v>
      </c>
      <c r="D97" s="106">
        <f t="shared" si="17"/>
        <v>9491628.1048821751</v>
      </c>
      <c r="E97" s="83">
        <f>$D97*C90</f>
        <v>844075.42062091385</v>
      </c>
      <c r="F97" s="83">
        <f>$D97*D90</f>
        <v>3861739.2074813056</v>
      </c>
      <c r="G97" s="83">
        <f>$D97*E90</f>
        <v>3023524.2195217023</v>
      </c>
      <c r="H97" s="83">
        <f>$D97*F90</f>
        <v>1199756.2651532902</v>
      </c>
    </row>
    <row r="98" spans="1:14">
      <c r="C98" s="34">
        <f t="shared" si="18"/>
        <v>2018</v>
      </c>
      <c r="D98" s="106">
        <f t="shared" si="17"/>
        <v>9398869.8899208177</v>
      </c>
      <c r="E98" s="83"/>
      <c r="F98" s="83">
        <f>$D98*C90</f>
        <v>835826.57980620884</v>
      </c>
      <c r="G98" s="83">
        <f>$D98*D90</f>
        <v>3823999.84058091</v>
      </c>
      <c r="H98" s="83">
        <f>$D98*E90</f>
        <v>2993976.4215679448</v>
      </c>
    </row>
    <row r="99" spans="1:14">
      <c r="C99" s="34">
        <f t="shared" si="18"/>
        <v>2019</v>
      </c>
      <c r="D99" s="106">
        <f t="shared" si="17"/>
        <v>9375551.312138034</v>
      </c>
      <c r="E99" s="83"/>
      <c r="F99" s="83"/>
      <c r="G99" s="83">
        <f>$D99*C90</f>
        <v>833752.89569924725</v>
      </c>
      <c r="H99" s="83">
        <f>$D99*D90</f>
        <v>3814512.5044683455</v>
      </c>
    </row>
    <row r="100" spans="1:14">
      <c r="C100" s="35">
        <f t="shared" si="18"/>
        <v>2020</v>
      </c>
      <c r="D100" s="110">
        <f t="shared" si="17"/>
        <v>9707415.9931512941</v>
      </c>
      <c r="E100" s="86"/>
      <c r="F100" s="86"/>
      <c r="G100" s="86"/>
      <c r="H100" s="86">
        <f>D100*C90</f>
        <v>863265.09498899907</v>
      </c>
      <c r="M100" s="3"/>
      <c r="N100" s="3"/>
    </row>
    <row r="101" spans="1:14">
      <c r="C101" s="34" t="s">
        <v>132</v>
      </c>
      <c r="E101" s="83">
        <f>SUM(E95:E100)</f>
        <v>7709736.886886769</v>
      </c>
      <c r="F101" s="83">
        <f t="shared" ref="F101:H101" si="19">SUM(F95:F100)</f>
        <v>8960861.9642618597</v>
      </c>
      <c r="G101" s="83">
        <f t="shared" si="19"/>
        <v>9365824.5999278836</v>
      </c>
      <c r="H101" s="83">
        <f t="shared" si="19"/>
        <v>9444604.8277064394</v>
      </c>
      <c r="M101" s="3"/>
      <c r="N101" s="3"/>
    </row>
    <row r="103" spans="1:14">
      <c r="A103" s="17" t="s">
        <v>147</v>
      </c>
      <c r="B103" s="1" t="s">
        <v>541</v>
      </c>
      <c r="C103" s="1"/>
      <c r="D103" s="1"/>
      <c r="E103" s="1"/>
      <c r="F103" s="1"/>
      <c r="G103" s="1"/>
      <c r="H103" s="1"/>
      <c r="I103" s="1"/>
      <c r="J103" s="1"/>
      <c r="K103" s="1"/>
      <c r="L103" s="1"/>
    </row>
    <row r="104" spans="1:14">
      <c r="A104" s="3"/>
      <c r="B104" s="3"/>
      <c r="C104" s="3"/>
      <c r="D104" s="3"/>
      <c r="E104" s="3"/>
      <c r="F104" s="3"/>
      <c r="G104" s="3"/>
      <c r="H104" s="3"/>
      <c r="I104" s="3"/>
      <c r="J104" s="3"/>
      <c r="K104" s="3"/>
      <c r="L104" s="3"/>
    </row>
    <row r="105" spans="1:14">
      <c r="A105" s="3" t="s">
        <v>20</v>
      </c>
      <c r="B105" s="3"/>
      <c r="C105" s="3"/>
      <c r="D105" s="3"/>
      <c r="E105" s="3"/>
      <c r="F105" s="3"/>
      <c r="G105" s="3"/>
      <c r="H105" s="3"/>
      <c r="I105" s="3"/>
      <c r="J105" s="3"/>
      <c r="K105" s="3"/>
      <c r="L105" s="3"/>
    </row>
    <row r="106" spans="1:14" ht="31.2">
      <c r="A106" s="3"/>
      <c r="B106" s="93" t="s">
        <v>3</v>
      </c>
      <c r="C106" s="93" t="s">
        <v>5</v>
      </c>
      <c r="D106" s="93" t="s">
        <v>138</v>
      </c>
      <c r="E106" s="93" t="s">
        <v>542</v>
      </c>
      <c r="F106" s="3"/>
      <c r="G106" s="3"/>
      <c r="H106" s="3"/>
      <c r="I106" s="3"/>
      <c r="J106" s="3"/>
      <c r="K106" s="3"/>
      <c r="L106" s="3"/>
    </row>
    <row r="107" spans="1:14">
      <c r="A107" s="3"/>
      <c r="B107" s="94">
        <v>2017</v>
      </c>
      <c r="C107" s="106">
        <f>C73</f>
        <v>738905</v>
      </c>
      <c r="D107" s="106">
        <f>E101</f>
        <v>7709736.886886769</v>
      </c>
      <c r="E107" s="258">
        <f>C107/D107</f>
        <v>9.5840495057202088E-2</v>
      </c>
      <c r="F107" s="3"/>
      <c r="G107" s="3"/>
      <c r="H107" s="3"/>
      <c r="I107" s="3"/>
      <c r="J107" s="3"/>
      <c r="K107" s="3"/>
      <c r="L107" s="3"/>
    </row>
    <row r="108" spans="1:14">
      <c r="B108" s="94">
        <v>2018</v>
      </c>
      <c r="C108" s="106">
        <f t="shared" ref="C108:C110" si="20">C74</f>
        <v>851350</v>
      </c>
      <c r="D108" s="106">
        <f>F101</f>
        <v>8960861.9642618597</v>
      </c>
      <c r="E108" s="258">
        <f t="shared" ref="E108:E111" si="21">C108/D108</f>
        <v>9.5007601210173195E-2</v>
      </c>
      <c r="F108" s="3"/>
      <c r="G108" s="3"/>
    </row>
    <row r="109" spans="1:14">
      <c r="B109" s="94">
        <v>2019</v>
      </c>
      <c r="C109" s="106">
        <f t="shared" si="20"/>
        <v>883245</v>
      </c>
      <c r="D109" s="106">
        <f>G101</f>
        <v>9365824.5999278836</v>
      </c>
      <c r="E109" s="258">
        <f t="shared" si="21"/>
        <v>9.4305097279613906E-2</v>
      </c>
      <c r="F109" s="3"/>
      <c r="G109" s="3"/>
    </row>
    <row r="110" spans="1:14">
      <c r="B110" s="107">
        <v>2020</v>
      </c>
      <c r="C110" s="110">
        <f t="shared" si="20"/>
        <v>879224</v>
      </c>
      <c r="D110" s="110">
        <f>H101</f>
        <v>9444604.8277064394</v>
      </c>
      <c r="E110" s="111">
        <f t="shared" si="21"/>
        <v>9.3092725004304266E-2</v>
      </c>
      <c r="F110" s="3"/>
      <c r="G110" s="3"/>
      <c r="M110" s="3"/>
    </row>
    <row r="111" spans="1:14">
      <c r="B111" s="94" t="s">
        <v>132</v>
      </c>
      <c r="C111" s="106">
        <f>SUM(C107:C110)</f>
        <v>3352724</v>
      </c>
      <c r="D111" s="106">
        <f>SUM(D107:D110)</f>
        <v>35481028.278782949</v>
      </c>
      <c r="E111" s="258">
        <f t="shared" si="21"/>
        <v>9.4493428252891754E-2</v>
      </c>
      <c r="F111" s="3"/>
      <c r="G111" s="3"/>
      <c r="M111" s="3"/>
    </row>
    <row r="112" spans="1:14">
      <c r="B112" s="62"/>
      <c r="C112" s="62"/>
      <c r="D112" s="62"/>
      <c r="E112" s="62"/>
      <c r="F112" s="3"/>
      <c r="G112" s="3"/>
    </row>
    <row r="113" spans="1:12">
      <c r="B113" s="3" t="s">
        <v>543</v>
      </c>
      <c r="C113" s="3"/>
      <c r="E113" s="259">
        <f>E111</f>
        <v>9.4493428252891754E-2</v>
      </c>
      <c r="F113" s="3"/>
      <c r="G113" s="3"/>
    </row>
    <row r="114" spans="1:12">
      <c r="B114" s="3" t="s">
        <v>544</v>
      </c>
      <c r="C114" s="3"/>
      <c r="D114" s="259"/>
      <c r="E114" s="3"/>
      <c r="F114" s="3"/>
      <c r="G114" s="3"/>
    </row>
    <row r="116" spans="1:12">
      <c r="A116" s="17" t="s">
        <v>545</v>
      </c>
      <c r="B116" s="1" t="s">
        <v>546</v>
      </c>
      <c r="C116" s="1"/>
      <c r="D116" s="1"/>
      <c r="E116" s="1"/>
      <c r="F116" s="1"/>
      <c r="G116" s="1"/>
      <c r="H116" s="1"/>
      <c r="I116" s="1"/>
      <c r="J116" s="1"/>
      <c r="K116" s="1"/>
      <c r="L116" s="1"/>
    </row>
    <row r="117" spans="1:12">
      <c r="A117" s="3"/>
      <c r="B117" s="3"/>
      <c r="C117" s="3"/>
      <c r="D117" s="3"/>
      <c r="E117" s="3"/>
      <c r="F117" s="3"/>
      <c r="G117" s="3"/>
      <c r="H117" s="3"/>
      <c r="I117" s="3"/>
      <c r="J117" s="3"/>
      <c r="K117" s="3"/>
      <c r="L117" s="3"/>
    </row>
    <row r="118" spans="1:12">
      <c r="A118" s="3" t="s">
        <v>20</v>
      </c>
      <c r="B118" s="3"/>
      <c r="C118" s="3"/>
      <c r="D118" s="3"/>
      <c r="E118" s="3"/>
      <c r="F118" s="3"/>
      <c r="G118" s="3"/>
      <c r="H118" s="3"/>
      <c r="I118" s="3"/>
      <c r="J118" s="3"/>
      <c r="K118" s="3"/>
      <c r="L118" s="3"/>
    </row>
    <row r="119" spans="1:12">
      <c r="B119" s="18"/>
      <c r="C119" s="18"/>
      <c r="D119" s="18"/>
      <c r="E119" s="18"/>
      <c r="F119" s="18"/>
    </row>
    <row r="120" spans="1:12">
      <c r="B120" s="2" t="s">
        <v>547</v>
      </c>
      <c r="C120" s="11">
        <f>E113*(E82*(1-0.25)+E83)</f>
        <v>1358948.4741534924</v>
      </c>
      <c r="D120" s="18"/>
      <c r="E120" s="18"/>
    </row>
  </sheetData>
  <mergeCells count="6">
    <mergeCell ref="E93:H93"/>
    <mergeCell ref="D5:F6"/>
    <mergeCell ref="B6:B7"/>
    <mergeCell ref="C6:C7"/>
    <mergeCell ref="A16:L17"/>
    <mergeCell ref="B69:D70"/>
  </mergeCells>
  <hyperlinks>
    <hyperlink ref="O1" location="TOC!A1" display="Table of Contents" xr:uid="{AE7B93BF-2AE4-4F3D-93FB-93B6526ED545}"/>
  </hyperlinks>
  <pageMargins left="0.7" right="0.7" top="0.75" bottom="0.75" header="0.3" footer="0.3"/>
  <pageSetup scale="64"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8B69-7611-46EB-8AD9-02C02CEA1488}">
  <dimension ref="A1:R131"/>
  <sheetViews>
    <sheetView zoomScaleNormal="100" workbookViewId="0"/>
  </sheetViews>
  <sheetFormatPr defaultRowHeight="15.6"/>
  <cols>
    <col min="1" max="1" width="8.88671875" style="2" customWidth="1"/>
    <col min="2" max="2" width="16.5546875" style="2" customWidth="1"/>
    <col min="3" max="7" width="11.77734375" style="2" customWidth="1"/>
    <col min="8" max="8" width="8.88671875" style="2" customWidth="1"/>
    <col min="9" max="16384" width="8.88671875" style="2"/>
  </cols>
  <sheetData>
    <row r="1" spans="1:15" ht="17.399999999999999">
      <c r="A1" s="13" t="s">
        <v>740</v>
      </c>
      <c r="B1" s="1"/>
      <c r="C1" s="1" t="s">
        <v>548</v>
      </c>
      <c r="D1" s="1"/>
      <c r="E1" s="1"/>
      <c r="F1" s="1"/>
      <c r="G1" s="1"/>
      <c r="H1" s="1"/>
      <c r="I1" s="1"/>
      <c r="J1" s="1"/>
      <c r="K1" s="1"/>
      <c r="L1" s="14"/>
      <c r="O1" s="21" t="s">
        <v>2927</v>
      </c>
    </row>
    <row r="2" spans="1:15">
      <c r="A2" s="1"/>
      <c r="B2" s="1"/>
      <c r="C2" s="1"/>
      <c r="D2" s="1"/>
      <c r="E2" s="1"/>
      <c r="F2" s="1"/>
      <c r="G2" s="1"/>
      <c r="H2" s="1"/>
      <c r="I2" s="1"/>
      <c r="J2" s="1"/>
      <c r="K2" s="1"/>
      <c r="L2" s="14"/>
    </row>
    <row r="3" spans="1:15">
      <c r="A3" s="831" t="s">
        <v>549</v>
      </c>
      <c r="B3" s="840"/>
      <c r="C3" s="840"/>
      <c r="D3" s="840"/>
      <c r="E3" s="840"/>
      <c r="F3" s="840"/>
      <c r="G3" s="840"/>
      <c r="H3" s="840"/>
      <c r="I3" s="840"/>
      <c r="J3" s="840"/>
      <c r="K3" s="840"/>
      <c r="L3" s="840"/>
    </row>
    <row r="4" spans="1:15">
      <c r="A4" s="840"/>
      <c r="B4" s="840"/>
      <c r="C4" s="840"/>
      <c r="D4" s="840"/>
      <c r="E4" s="840"/>
      <c r="F4" s="840"/>
      <c r="G4" s="840"/>
      <c r="H4" s="840"/>
      <c r="I4" s="840"/>
      <c r="J4" s="840"/>
      <c r="K4" s="840"/>
      <c r="L4" s="840"/>
    </row>
    <row r="5" spans="1:15">
      <c r="A5" s="43"/>
      <c r="B5" s="1"/>
      <c r="C5" s="1"/>
      <c r="D5" s="1"/>
      <c r="E5" s="1"/>
      <c r="F5" s="1"/>
      <c r="G5" s="1"/>
      <c r="H5" s="1"/>
      <c r="I5" s="1"/>
      <c r="J5" s="1"/>
      <c r="K5" s="1"/>
      <c r="L5" s="1"/>
    </row>
    <row r="6" spans="1:15">
      <c r="A6" s="43"/>
      <c r="B6" s="23" t="s">
        <v>53</v>
      </c>
      <c r="C6" s="813" t="s">
        <v>88</v>
      </c>
      <c r="D6" s="829"/>
      <c r="E6" s="829"/>
      <c r="F6" s="829"/>
      <c r="G6" s="829"/>
      <c r="H6" s="1"/>
      <c r="I6" s="1"/>
      <c r="J6" s="1"/>
      <c r="K6" s="1"/>
      <c r="L6" s="1"/>
    </row>
    <row r="7" spans="1:15">
      <c r="A7" s="43"/>
      <c r="B7" s="24" t="s">
        <v>55</v>
      </c>
      <c r="C7" s="39">
        <v>12</v>
      </c>
      <c r="D7" s="5">
        <v>24</v>
      </c>
      <c r="E7" s="5">
        <v>36</v>
      </c>
      <c r="F7" s="5">
        <v>48</v>
      </c>
      <c r="G7" s="5">
        <v>60</v>
      </c>
      <c r="H7" s="1"/>
      <c r="I7" s="1"/>
      <c r="J7" s="1"/>
      <c r="K7" s="1"/>
      <c r="L7" s="1"/>
    </row>
    <row r="8" spans="1:15">
      <c r="A8" s="43"/>
      <c r="B8" s="25">
        <v>2016</v>
      </c>
      <c r="C8" s="7">
        <v>32000</v>
      </c>
      <c r="D8" s="7">
        <v>54000</v>
      </c>
      <c r="E8" s="7">
        <v>61400</v>
      </c>
      <c r="F8" s="7">
        <v>70240</v>
      </c>
      <c r="G8" s="7">
        <v>76000</v>
      </c>
      <c r="H8" s="1"/>
      <c r="I8" s="1"/>
      <c r="J8" s="1"/>
      <c r="K8" s="1"/>
      <c r="L8" s="1"/>
    </row>
    <row r="9" spans="1:15">
      <c r="A9" s="43"/>
      <c r="B9" s="6">
        <v>2017</v>
      </c>
      <c r="C9" s="7">
        <v>34827</v>
      </c>
      <c r="D9" s="7">
        <v>58270</v>
      </c>
      <c r="E9" s="7">
        <v>65388</v>
      </c>
      <c r="F9" s="7">
        <v>74040</v>
      </c>
      <c r="G9" s="6"/>
      <c r="H9" s="1"/>
      <c r="I9" s="1"/>
      <c r="J9" s="1"/>
      <c r="K9" s="1"/>
      <c r="L9" s="1"/>
    </row>
    <row r="10" spans="1:15">
      <c r="A10" s="43"/>
      <c r="B10" s="6">
        <v>2018</v>
      </c>
      <c r="C10" s="7">
        <v>35998</v>
      </c>
      <c r="D10" s="7">
        <v>61348</v>
      </c>
      <c r="E10" s="7">
        <v>72363</v>
      </c>
      <c r="F10" s="6"/>
      <c r="G10" s="6"/>
      <c r="H10" s="1"/>
      <c r="I10" s="1"/>
      <c r="J10" s="1"/>
      <c r="K10" s="1"/>
      <c r="L10" s="1"/>
    </row>
    <row r="11" spans="1:15">
      <c r="A11" s="43"/>
      <c r="B11" s="6">
        <v>2019</v>
      </c>
      <c r="C11" s="7">
        <v>37820</v>
      </c>
      <c r="D11" s="7">
        <v>67306</v>
      </c>
      <c r="E11" s="6"/>
      <c r="F11" s="6"/>
      <c r="G11" s="6"/>
      <c r="H11" s="1"/>
      <c r="I11" s="1"/>
      <c r="J11" s="1"/>
      <c r="K11" s="1"/>
      <c r="L11" s="1"/>
    </row>
    <row r="12" spans="1:15">
      <c r="A12" s="43"/>
      <c r="B12" s="6">
        <v>2020</v>
      </c>
      <c r="C12" s="7">
        <v>44192</v>
      </c>
      <c r="D12" s="6"/>
      <c r="E12" s="6"/>
      <c r="F12" s="6"/>
      <c r="G12" s="6"/>
      <c r="H12" s="1"/>
      <c r="I12" s="1"/>
      <c r="J12" s="1"/>
      <c r="K12" s="1"/>
      <c r="L12" s="1"/>
    </row>
    <row r="13" spans="1:15">
      <c r="A13" s="43"/>
      <c r="B13" s="260"/>
      <c r="C13" s="1"/>
      <c r="D13" s="1"/>
      <c r="E13" s="1"/>
      <c r="F13" s="1"/>
      <c r="G13" s="1"/>
      <c r="H13" s="1"/>
      <c r="I13" s="1"/>
      <c r="J13" s="1"/>
      <c r="K13" s="1"/>
      <c r="L13" s="1"/>
    </row>
    <row r="14" spans="1:15" ht="16.2" customHeight="1">
      <c r="A14" s="43"/>
      <c r="B14" s="23" t="s">
        <v>53</v>
      </c>
      <c r="C14" s="813" t="s">
        <v>89</v>
      </c>
      <c r="D14" s="829"/>
      <c r="E14" s="829"/>
      <c r="F14" s="829"/>
      <c r="G14" s="829"/>
      <c r="H14" s="1"/>
      <c r="I14" s="1"/>
      <c r="J14" s="1"/>
      <c r="K14" s="1"/>
      <c r="L14" s="1"/>
    </row>
    <row r="15" spans="1:15">
      <c r="A15" s="43"/>
      <c r="B15" s="24" t="s">
        <v>55</v>
      </c>
      <c r="C15" s="39">
        <v>12</v>
      </c>
      <c r="D15" s="5">
        <v>24</v>
      </c>
      <c r="E15" s="5">
        <v>36</v>
      </c>
      <c r="F15" s="5">
        <v>48</v>
      </c>
      <c r="G15" s="5">
        <v>60</v>
      </c>
      <c r="H15" s="1"/>
      <c r="I15" s="1"/>
      <c r="J15" s="1"/>
      <c r="K15" s="1"/>
      <c r="L15" s="1"/>
    </row>
    <row r="16" spans="1:15">
      <c r="A16" s="43"/>
      <c r="B16" s="25">
        <v>2016</v>
      </c>
      <c r="C16" s="7">
        <v>24400</v>
      </c>
      <c r="D16" s="7">
        <v>42800</v>
      </c>
      <c r="E16" s="7">
        <v>57600</v>
      </c>
      <c r="F16" s="7">
        <v>65000</v>
      </c>
      <c r="G16" s="7">
        <v>72400</v>
      </c>
      <c r="H16" s="1"/>
      <c r="I16" s="1"/>
      <c r="J16" s="1"/>
      <c r="K16" s="1"/>
      <c r="L16" s="1"/>
    </row>
    <row r="17" spans="1:12">
      <c r="A17" s="43"/>
      <c r="B17" s="6">
        <v>2017</v>
      </c>
      <c r="C17" s="7">
        <v>25965</v>
      </c>
      <c r="D17" s="7">
        <v>45571</v>
      </c>
      <c r="E17" s="7">
        <v>61341</v>
      </c>
      <c r="F17" s="7">
        <v>69225</v>
      </c>
      <c r="G17" s="6"/>
      <c r="H17" s="1"/>
      <c r="I17" s="1"/>
      <c r="J17" s="1"/>
      <c r="K17" s="1"/>
      <c r="L17" s="1"/>
    </row>
    <row r="18" spans="1:12">
      <c r="A18" s="43"/>
      <c r="B18" s="6">
        <v>2018</v>
      </c>
      <c r="C18" s="7">
        <v>28075</v>
      </c>
      <c r="D18" s="7">
        <v>49276</v>
      </c>
      <c r="E18" s="7">
        <v>66327</v>
      </c>
      <c r="F18" s="6"/>
      <c r="G18" s="6"/>
      <c r="H18" s="1"/>
      <c r="I18" s="1"/>
      <c r="J18" s="1"/>
      <c r="K18" s="1"/>
      <c r="L18" s="1"/>
    </row>
    <row r="19" spans="1:12">
      <c r="A19" s="43"/>
      <c r="B19" s="6">
        <v>2019</v>
      </c>
      <c r="C19" s="7">
        <v>28824</v>
      </c>
      <c r="D19" s="7">
        <v>50626</v>
      </c>
      <c r="E19" s="6"/>
      <c r="F19" s="6"/>
      <c r="G19" s="6"/>
      <c r="H19" s="1"/>
      <c r="I19" s="1"/>
      <c r="J19" s="1"/>
      <c r="K19" s="1"/>
      <c r="L19" s="1"/>
    </row>
    <row r="20" spans="1:12">
      <c r="A20" s="43"/>
      <c r="B20" s="6">
        <v>2020</v>
      </c>
      <c r="C20" s="7">
        <v>30891</v>
      </c>
      <c r="D20" s="6"/>
      <c r="E20" s="6"/>
      <c r="F20" s="6"/>
      <c r="G20" s="6"/>
      <c r="H20" s="1"/>
      <c r="I20" s="1"/>
      <c r="J20" s="1"/>
      <c r="K20" s="1"/>
      <c r="L20" s="1"/>
    </row>
    <row r="21" spans="1:12">
      <c r="A21" s="43"/>
      <c r="B21" s="260"/>
      <c r="C21" s="1"/>
      <c r="D21" s="1"/>
      <c r="E21" s="1"/>
      <c r="F21" s="1"/>
      <c r="G21" s="1"/>
      <c r="H21" s="1"/>
      <c r="I21" s="1"/>
      <c r="J21" s="1"/>
      <c r="K21" s="1"/>
      <c r="L21" s="1"/>
    </row>
    <row r="22" spans="1:12" ht="16.2" customHeight="1">
      <c r="A22" s="1"/>
      <c r="B22" s="23" t="s">
        <v>53</v>
      </c>
      <c r="C22" s="813" t="s">
        <v>550</v>
      </c>
      <c r="D22" s="829"/>
      <c r="E22" s="829"/>
      <c r="F22" s="829"/>
      <c r="G22" s="829"/>
      <c r="H22" s="1"/>
      <c r="I22" s="1"/>
      <c r="J22" s="1"/>
      <c r="K22" s="1"/>
      <c r="L22" s="1"/>
    </row>
    <row r="23" spans="1:12">
      <c r="A23" s="1"/>
      <c r="B23" s="24" t="s">
        <v>55</v>
      </c>
      <c r="C23" s="39">
        <v>12</v>
      </c>
      <c r="D23" s="5">
        <v>24</v>
      </c>
      <c r="E23" s="5">
        <v>36</v>
      </c>
      <c r="F23" s="5">
        <v>48</v>
      </c>
      <c r="G23" s="5">
        <v>60</v>
      </c>
      <c r="H23" s="1"/>
      <c r="I23" s="1"/>
      <c r="J23" s="1"/>
      <c r="K23" s="1"/>
      <c r="L23" s="1"/>
    </row>
    <row r="24" spans="1:12">
      <c r="A24" s="43"/>
      <c r="B24" s="25">
        <v>2016</v>
      </c>
      <c r="C24" s="7">
        <v>1040</v>
      </c>
      <c r="D24" s="7">
        <v>1320</v>
      </c>
      <c r="E24" s="7">
        <v>1480</v>
      </c>
      <c r="F24" s="7">
        <v>1540</v>
      </c>
      <c r="G24" s="7">
        <v>1600</v>
      </c>
      <c r="H24" s="1"/>
      <c r="I24" s="1"/>
      <c r="J24" s="1"/>
      <c r="K24" s="1"/>
      <c r="L24" s="1"/>
    </row>
    <row r="25" spans="1:12">
      <c r="A25" s="1"/>
      <c r="B25" s="6">
        <v>2017</v>
      </c>
      <c r="C25" s="7">
        <v>1061</v>
      </c>
      <c r="D25" s="7">
        <v>1346</v>
      </c>
      <c r="E25" s="7">
        <v>1510</v>
      </c>
      <c r="F25" s="7">
        <v>1571</v>
      </c>
      <c r="G25" s="6"/>
      <c r="H25" s="1"/>
      <c r="I25" s="1"/>
      <c r="J25" s="1"/>
      <c r="K25" s="1"/>
      <c r="L25" s="1"/>
    </row>
    <row r="26" spans="1:12">
      <c r="A26" s="1"/>
      <c r="B26" s="6">
        <v>2018</v>
      </c>
      <c r="C26" s="7">
        <v>1113</v>
      </c>
      <c r="D26" s="7">
        <v>1413</v>
      </c>
      <c r="E26" s="7">
        <v>1585</v>
      </c>
      <c r="F26" s="6"/>
      <c r="G26" s="6"/>
      <c r="H26" s="1"/>
      <c r="I26" s="1"/>
      <c r="J26" s="1"/>
      <c r="K26" s="1"/>
      <c r="L26" s="1"/>
    </row>
    <row r="27" spans="1:12">
      <c r="A27" s="1"/>
      <c r="B27" s="6">
        <v>2019</v>
      </c>
      <c r="C27" s="7">
        <v>1091</v>
      </c>
      <c r="D27" s="7">
        <v>1385</v>
      </c>
      <c r="E27" s="6"/>
      <c r="F27" s="6"/>
      <c r="G27" s="6"/>
      <c r="H27" s="1"/>
      <c r="I27" s="1"/>
      <c r="J27" s="1"/>
      <c r="K27" s="1"/>
      <c r="L27" s="1"/>
    </row>
    <row r="28" spans="1:12">
      <c r="A28" s="1"/>
      <c r="B28" s="6">
        <v>2020</v>
      </c>
      <c r="C28" s="7">
        <v>1136</v>
      </c>
      <c r="D28" s="6"/>
      <c r="E28" s="6"/>
      <c r="F28" s="6"/>
      <c r="G28" s="6"/>
      <c r="H28" s="1"/>
      <c r="I28" s="1"/>
      <c r="J28" s="1"/>
      <c r="K28" s="1"/>
      <c r="L28" s="1"/>
    </row>
    <row r="29" spans="1:12">
      <c r="A29" s="1"/>
      <c r="B29" s="260"/>
      <c r="C29" s="1"/>
      <c r="D29" s="1"/>
      <c r="E29" s="1"/>
      <c r="F29" s="1"/>
      <c r="G29" s="1"/>
      <c r="H29" s="1"/>
      <c r="I29" s="1"/>
      <c r="J29" s="1"/>
      <c r="K29" s="1"/>
      <c r="L29" s="1"/>
    </row>
    <row r="30" spans="1:12" ht="16.2" customHeight="1">
      <c r="A30" s="1"/>
      <c r="B30" s="23" t="s">
        <v>53</v>
      </c>
      <c r="C30" s="813" t="s">
        <v>551</v>
      </c>
      <c r="D30" s="829"/>
      <c r="E30" s="829"/>
      <c r="F30" s="829"/>
      <c r="G30" s="829"/>
      <c r="H30" s="1"/>
      <c r="I30" s="1"/>
      <c r="J30" s="1"/>
      <c r="K30" s="1"/>
      <c r="L30" s="1"/>
    </row>
    <row r="31" spans="1:12">
      <c r="A31" s="1"/>
      <c r="B31" s="24" t="s">
        <v>55</v>
      </c>
      <c r="C31" s="39">
        <v>12</v>
      </c>
      <c r="D31" s="5">
        <v>24</v>
      </c>
      <c r="E31" s="5">
        <v>36</v>
      </c>
      <c r="F31" s="5">
        <v>48</v>
      </c>
      <c r="G31" s="5">
        <v>60</v>
      </c>
      <c r="H31" s="1"/>
      <c r="I31" s="1"/>
      <c r="J31" s="1"/>
      <c r="K31" s="1"/>
      <c r="L31" s="1"/>
    </row>
    <row r="32" spans="1:12">
      <c r="A32" s="1"/>
      <c r="B32" s="25">
        <v>2016</v>
      </c>
      <c r="C32" s="7">
        <v>792</v>
      </c>
      <c r="D32" s="7">
        <v>1092</v>
      </c>
      <c r="E32" s="7">
        <v>1284</v>
      </c>
      <c r="F32" s="7">
        <v>1392</v>
      </c>
      <c r="G32" s="7">
        <v>1540</v>
      </c>
      <c r="H32" s="1"/>
      <c r="I32" s="1"/>
      <c r="J32" s="1"/>
      <c r="K32" s="1"/>
      <c r="L32" s="1"/>
    </row>
    <row r="33" spans="1:18">
      <c r="A33" s="1"/>
      <c r="B33" s="6">
        <v>2017</v>
      </c>
      <c r="C33" s="7">
        <v>808</v>
      </c>
      <c r="D33" s="7">
        <v>1114</v>
      </c>
      <c r="E33" s="7">
        <v>1310</v>
      </c>
      <c r="F33" s="7">
        <v>1420</v>
      </c>
      <c r="G33" s="6"/>
      <c r="H33" s="1"/>
      <c r="I33" s="1"/>
      <c r="J33" s="1"/>
      <c r="K33" s="1"/>
      <c r="L33" s="1"/>
    </row>
    <row r="34" spans="1:18">
      <c r="A34" s="1"/>
      <c r="B34" s="6">
        <v>2018</v>
      </c>
      <c r="C34" s="7">
        <v>848</v>
      </c>
      <c r="D34" s="7">
        <v>1169</v>
      </c>
      <c r="E34" s="7">
        <v>1375</v>
      </c>
      <c r="F34" s="6"/>
      <c r="G34" s="6"/>
      <c r="H34" s="1"/>
      <c r="I34" s="1"/>
      <c r="J34" s="1"/>
      <c r="K34" s="1"/>
      <c r="L34" s="1"/>
    </row>
    <row r="35" spans="1:18">
      <c r="A35" s="1"/>
      <c r="B35" s="6">
        <v>2019</v>
      </c>
      <c r="C35" s="7">
        <v>831</v>
      </c>
      <c r="D35" s="7">
        <v>1146</v>
      </c>
      <c r="E35" s="6"/>
      <c r="F35" s="6"/>
      <c r="G35" s="6"/>
      <c r="H35" s="1"/>
      <c r="I35" s="1"/>
      <c r="J35" s="1"/>
      <c r="K35" s="1"/>
      <c r="L35" s="1"/>
    </row>
    <row r="36" spans="1:18">
      <c r="A36" s="1"/>
      <c r="B36" s="6">
        <v>2020</v>
      </c>
      <c r="C36" s="7">
        <v>865</v>
      </c>
      <c r="D36" s="6"/>
      <c r="E36" s="6"/>
      <c r="F36" s="6"/>
      <c r="G36" s="6"/>
      <c r="H36" s="1"/>
      <c r="I36" s="1"/>
      <c r="J36" s="1"/>
      <c r="K36" s="1"/>
      <c r="L36" s="1"/>
    </row>
    <row r="37" spans="1:18">
      <c r="A37" s="1"/>
      <c r="B37" s="1"/>
      <c r="C37" s="1"/>
      <c r="D37" s="1"/>
      <c r="E37" s="1"/>
      <c r="F37" s="1"/>
      <c r="G37" s="1"/>
      <c r="H37" s="1"/>
      <c r="I37" s="1"/>
      <c r="J37" s="1"/>
      <c r="K37" s="1"/>
      <c r="L37" s="1"/>
    </row>
    <row r="38" spans="1:18">
      <c r="A38" s="1"/>
      <c r="B38" s="17" t="s">
        <v>552</v>
      </c>
      <c r="C38" s="1"/>
      <c r="D38" s="1"/>
      <c r="E38" s="1"/>
      <c r="F38" s="1"/>
      <c r="G38" s="1"/>
      <c r="H38" s="1"/>
      <c r="I38" s="1"/>
      <c r="J38" s="1"/>
      <c r="K38" s="1"/>
      <c r="L38" s="1"/>
    </row>
    <row r="39" spans="1:18">
      <c r="A39" s="1"/>
      <c r="B39" s="17" t="s">
        <v>553</v>
      </c>
      <c r="C39" s="1"/>
      <c r="D39" s="1"/>
      <c r="E39" s="1"/>
      <c r="F39" s="1"/>
      <c r="G39" s="1"/>
      <c r="H39" s="1"/>
      <c r="I39" s="1"/>
      <c r="J39" s="1"/>
      <c r="K39" s="1"/>
      <c r="L39" s="1"/>
    </row>
    <row r="40" spans="1:18">
      <c r="A40" s="1"/>
      <c r="B40" s="260"/>
      <c r="C40" s="1"/>
      <c r="D40" s="1"/>
      <c r="E40" s="1"/>
      <c r="F40" s="1"/>
      <c r="G40" s="1"/>
      <c r="H40" s="1"/>
      <c r="I40" s="1"/>
      <c r="J40" s="1"/>
      <c r="K40" s="1"/>
      <c r="L40" s="1"/>
    </row>
    <row r="42" spans="1:18">
      <c r="A42" s="17" t="s">
        <v>91</v>
      </c>
      <c r="B42" s="1" t="s">
        <v>554</v>
      </c>
      <c r="C42" s="1"/>
      <c r="D42" s="1"/>
      <c r="E42" s="1"/>
      <c r="F42" s="1"/>
      <c r="G42" s="1"/>
      <c r="H42" s="1"/>
      <c r="I42" s="1"/>
      <c r="J42" s="1"/>
      <c r="K42" s="1"/>
      <c r="L42" s="1"/>
      <c r="M42" s="9"/>
      <c r="N42" s="9"/>
      <c r="O42" s="9"/>
      <c r="P42" s="9"/>
      <c r="Q42" s="9"/>
      <c r="R42" s="9"/>
    </row>
    <row r="43" spans="1:18">
      <c r="A43" s="3"/>
      <c r="B43" s="3"/>
      <c r="C43" s="3"/>
      <c r="D43" s="3"/>
      <c r="E43" s="3"/>
      <c r="F43" s="3"/>
      <c r="G43" s="3"/>
      <c r="H43" s="3"/>
      <c r="I43" s="3"/>
      <c r="J43" s="3"/>
      <c r="K43" s="3"/>
      <c r="L43" s="3"/>
      <c r="M43" s="3"/>
    </row>
    <row r="44" spans="1:18">
      <c r="A44" s="3" t="s">
        <v>20</v>
      </c>
      <c r="B44" s="3"/>
      <c r="C44" s="3"/>
      <c r="D44" s="3"/>
      <c r="E44" s="3"/>
      <c r="F44" s="3"/>
      <c r="G44" s="3"/>
      <c r="H44" s="3"/>
      <c r="I44" s="3"/>
      <c r="J44" s="3"/>
      <c r="K44" s="3"/>
      <c r="L44" s="3"/>
      <c r="M44" s="3"/>
      <c r="N44" s="9"/>
    </row>
    <row r="45" spans="1:18">
      <c r="A45" s="3"/>
      <c r="B45" s="79" t="s">
        <v>53</v>
      </c>
      <c r="C45" s="874" t="s">
        <v>555</v>
      </c>
      <c r="D45" s="874"/>
      <c r="E45" s="874"/>
      <c r="F45" s="874"/>
      <c r="G45" s="874"/>
      <c r="H45" s="3"/>
      <c r="I45" s="3"/>
      <c r="J45" s="3"/>
      <c r="K45" s="3"/>
      <c r="L45" s="3"/>
      <c r="M45" s="3"/>
      <c r="N45" s="9"/>
    </row>
    <row r="46" spans="1:18">
      <c r="A46" s="3"/>
      <c r="B46" s="35" t="s">
        <v>55</v>
      </c>
      <c r="C46" s="261">
        <v>12</v>
      </c>
      <c r="D46" s="261">
        <v>24</v>
      </c>
      <c r="E46" s="261">
        <v>36</v>
      </c>
      <c r="F46" s="261">
        <v>48</v>
      </c>
      <c r="G46" s="261">
        <v>60</v>
      </c>
      <c r="H46" s="3"/>
      <c r="I46" s="3"/>
      <c r="J46" s="3"/>
      <c r="K46" s="3"/>
      <c r="L46" s="3"/>
      <c r="M46" s="3"/>
      <c r="N46" s="9"/>
    </row>
    <row r="47" spans="1:18">
      <c r="B47" s="34">
        <v>2016</v>
      </c>
      <c r="C47" s="37">
        <f>C8-C16</f>
        <v>7600</v>
      </c>
      <c r="D47" s="37">
        <f t="shared" ref="D47:G47" si="0">D8-D16</f>
        <v>11200</v>
      </c>
      <c r="E47" s="37">
        <f t="shared" si="0"/>
        <v>3800</v>
      </c>
      <c r="F47" s="37">
        <f t="shared" si="0"/>
        <v>5240</v>
      </c>
      <c r="G47" s="37">
        <f t="shared" si="0"/>
        <v>3600</v>
      </c>
      <c r="M47" s="9"/>
      <c r="N47" s="9"/>
    </row>
    <row r="48" spans="1:18">
      <c r="B48" s="34">
        <v>2017</v>
      </c>
      <c r="C48" s="37">
        <f t="shared" ref="C48:F51" si="1">C9-C17</f>
        <v>8862</v>
      </c>
      <c r="D48" s="37">
        <f t="shared" si="1"/>
        <v>12699</v>
      </c>
      <c r="E48" s="37">
        <f t="shared" si="1"/>
        <v>4047</v>
      </c>
      <c r="F48" s="37">
        <f t="shared" si="1"/>
        <v>4815</v>
      </c>
      <c r="G48" s="37"/>
      <c r="M48" s="9"/>
      <c r="N48" s="9"/>
    </row>
    <row r="49" spans="2:14">
      <c r="B49" s="34">
        <v>2018</v>
      </c>
      <c r="C49" s="37">
        <f t="shared" si="1"/>
        <v>7923</v>
      </c>
      <c r="D49" s="37">
        <f t="shared" si="1"/>
        <v>12072</v>
      </c>
      <c r="E49" s="37">
        <f t="shared" si="1"/>
        <v>6036</v>
      </c>
      <c r="F49" s="37"/>
      <c r="G49" s="37"/>
      <c r="M49" s="9"/>
      <c r="N49" s="9"/>
    </row>
    <row r="50" spans="2:14">
      <c r="B50" s="34">
        <v>2019</v>
      </c>
      <c r="C50" s="37">
        <f t="shared" si="1"/>
        <v>8996</v>
      </c>
      <c r="D50" s="37">
        <f t="shared" si="1"/>
        <v>16680</v>
      </c>
      <c r="E50" s="37"/>
      <c r="F50" s="37"/>
      <c r="G50" s="37"/>
      <c r="M50" s="9"/>
      <c r="N50" s="9"/>
    </row>
    <row r="51" spans="2:14">
      <c r="B51" s="34">
        <v>2020</v>
      </c>
      <c r="C51" s="37">
        <f t="shared" si="1"/>
        <v>13301</v>
      </c>
      <c r="D51" s="37"/>
      <c r="E51" s="37"/>
      <c r="F51" s="37"/>
      <c r="G51" s="37"/>
      <c r="M51" s="9"/>
      <c r="N51" s="9"/>
    </row>
    <row r="52" spans="2:14">
      <c r="M52" s="9"/>
      <c r="N52" s="9"/>
    </row>
    <row r="53" spans="2:14" ht="15.6" customHeight="1">
      <c r="B53" s="79" t="s">
        <v>53</v>
      </c>
      <c r="C53" s="874" t="s">
        <v>556</v>
      </c>
      <c r="D53" s="874"/>
      <c r="E53" s="874"/>
      <c r="F53" s="874"/>
      <c r="G53" s="874"/>
      <c r="M53" s="9"/>
      <c r="N53" s="9"/>
    </row>
    <row r="54" spans="2:14">
      <c r="B54" s="35" t="s">
        <v>55</v>
      </c>
      <c r="C54" s="261">
        <v>12</v>
      </c>
      <c r="D54" s="261">
        <v>24</v>
      </c>
      <c r="E54" s="261">
        <v>36</v>
      </c>
      <c r="F54" s="261">
        <v>48</v>
      </c>
      <c r="G54" s="261">
        <v>60</v>
      </c>
      <c r="M54" s="9"/>
      <c r="N54" s="9"/>
    </row>
    <row r="55" spans="2:14">
      <c r="B55" s="34">
        <v>2016</v>
      </c>
      <c r="C55" s="37">
        <f>C24-C32</f>
        <v>248</v>
      </c>
      <c r="D55" s="37">
        <f t="shared" ref="D55:G55" si="2">D24-D32</f>
        <v>228</v>
      </c>
      <c r="E55" s="37">
        <f t="shared" si="2"/>
        <v>196</v>
      </c>
      <c r="F55" s="37">
        <f t="shared" si="2"/>
        <v>148</v>
      </c>
      <c r="G55" s="37">
        <f t="shared" si="2"/>
        <v>60</v>
      </c>
      <c r="M55" s="9"/>
      <c r="N55" s="9"/>
    </row>
    <row r="56" spans="2:14">
      <c r="B56" s="34">
        <v>2017</v>
      </c>
      <c r="C56" s="37">
        <f t="shared" ref="C56:F59" si="3">C25-C33</f>
        <v>253</v>
      </c>
      <c r="D56" s="37">
        <f t="shared" si="3"/>
        <v>232</v>
      </c>
      <c r="E56" s="37">
        <f t="shared" si="3"/>
        <v>200</v>
      </c>
      <c r="F56" s="37">
        <f t="shared" si="3"/>
        <v>151</v>
      </c>
      <c r="G56" s="37"/>
      <c r="M56" s="9"/>
      <c r="N56" s="9"/>
    </row>
    <row r="57" spans="2:14">
      <c r="B57" s="34">
        <v>2018</v>
      </c>
      <c r="C57" s="37">
        <f t="shared" si="3"/>
        <v>265</v>
      </c>
      <c r="D57" s="37">
        <f t="shared" si="3"/>
        <v>244</v>
      </c>
      <c r="E57" s="37">
        <f t="shared" si="3"/>
        <v>210</v>
      </c>
      <c r="F57" s="37"/>
      <c r="G57" s="37"/>
      <c r="M57" s="9"/>
      <c r="N57" s="9"/>
    </row>
    <row r="58" spans="2:14">
      <c r="B58" s="34">
        <v>2019</v>
      </c>
      <c r="C58" s="37">
        <f t="shared" si="3"/>
        <v>260</v>
      </c>
      <c r="D58" s="37">
        <f t="shared" si="3"/>
        <v>239</v>
      </c>
      <c r="E58" s="37"/>
      <c r="F58" s="37"/>
      <c r="G58" s="37"/>
      <c r="M58" s="9"/>
      <c r="N58" s="9"/>
    </row>
    <row r="59" spans="2:14">
      <c r="B59" s="34">
        <v>2020</v>
      </c>
      <c r="C59" s="37">
        <f t="shared" si="3"/>
        <v>271</v>
      </c>
      <c r="D59" s="37"/>
      <c r="E59" s="37"/>
      <c r="F59" s="37"/>
      <c r="G59" s="37"/>
      <c r="M59" s="9"/>
      <c r="N59" s="9"/>
    </row>
    <row r="60" spans="2:14">
      <c r="B60" s="79"/>
      <c r="C60" s="262"/>
      <c r="D60" s="262"/>
      <c r="E60" s="262"/>
      <c r="F60" s="262"/>
      <c r="G60" s="262"/>
      <c r="M60" s="9"/>
      <c r="N60" s="9"/>
    </row>
    <row r="61" spans="2:14" ht="15.6" customHeight="1">
      <c r="B61" s="79" t="s">
        <v>53</v>
      </c>
      <c r="C61" s="874" t="s">
        <v>557</v>
      </c>
      <c r="D61" s="874"/>
      <c r="E61" s="874"/>
      <c r="F61" s="874"/>
      <c r="G61" s="874"/>
      <c r="M61" s="9"/>
      <c r="N61" s="9"/>
    </row>
    <row r="62" spans="2:14">
      <c r="B62" s="35" t="s">
        <v>55</v>
      </c>
      <c r="C62" s="261">
        <v>12</v>
      </c>
      <c r="D62" s="261">
        <v>24</v>
      </c>
      <c r="E62" s="261">
        <v>36</v>
      </c>
      <c r="F62" s="261">
        <v>48</v>
      </c>
      <c r="G62" s="261">
        <v>60</v>
      </c>
      <c r="M62" s="9"/>
      <c r="N62" s="9"/>
    </row>
    <row r="63" spans="2:14">
      <c r="B63" s="34">
        <v>2016</v>
      </c>
      <c r="C63" s="37">
        <f>IF(C55=0,0,C47/C55)</f>
        <v>30.64516129032258</v>
      </c>
      <c r="D63" s="37">
        <f>IF(D55=0,0,D47/D55)</f>
        <v>49.122807017543863</v>
      </c>
      <c r="E63" s="37">
        <f>IF(E55=0,0,E47/E55)</f>
        <v>19.387755102040817</v>
      </c>
      <c r="F63" s="37">
        <f>IF(F55=0,0,F47/F55)</f>
        <v>35.405405405405403</v>
      </c>
      <c r="G63" s="37">
        <f>IF(G55=0,0,G47/G55)</f>
        <v>60</v>
      </c>
      <c r="M63" s="9"/>
      <c r="N63" s="9"/>
    </row>
    <row r="64" spans="2:14">
      <c r="B64" s="34">
        <v>2017</v>
      </c>
      <c r="C64" s="37">
        <f>IF(C56=0,0,C48/C56)</f>
        <v>35.027667984189726</v>
      </c>
      <c r="D64" s="37">
        <f>IF(D56=0,0,D48/D56)</f>
        <v>54.737068965517238</v>
      </c>
      <c r="E64" s="37">
        <f>IF(E56=0,0,E48/E56)</f>
        <v>20.234999999999999</v>
      </c>
      <c r="F64" s="37">
        <f>IF(F56=0,0,F48/F56)</f>
        <v>31.887417218543046</v>
      </c>
      <c r="G64" s="37"/>
      <c r="M64" s="9"/>
      <c r="N64" s="9"/>
    </row>
    <row r="65" spans="1:14">
      <c r="B65" s="34">
        <v>2018</v>
      </c>
      <c r="C65" s="37">
        <f>IF(C57=0,0,C49/C57)</f>
        <v>29.898113207547169</v>
      </c>
      <c r="D65" s="37">
        <f>IF(D57=0,0,D49/D57)</f>
        <v>49.475409836065573</v>
      </c>
      <c r="E65" s="37">
        <f>IF(E57=0,0,E49/E57)</f>
        <v>28.742857142857144</v>
      </c>
      <c r="F65" s="37"/>
      <c r="G65" s="37"/>
      <c r="M65" s="9"/>
      <c r="N65" s="9"/>
    </row>
    <row r="66" spans="1:14">
      <c r="B66" s="34">
        <v>2019</v>
      </c>
      <c r="C66" s="37">
        <f>IF(C58=0,0,C50/C58)</f>
        <v>34.6</v>
      </c>
      <c r="D66" s="37">
        <f>IF(D58=0,0,D50/D58)</f>
        <v>69.790794979079493</v>
      </c>
      <c r="E66" s="37"/>
      <c r="F66" s="37"/>
      <c r="G66" s="37"/>
      <c r="M66" s="9"/>
      <c r="N66" s="9"/>
    </row>
    <row r="67" spans="1:14">
      <c r="B67" s="34">
        <v>2020</v>
      </c>
      <c r="C67" s="37">
        <f>IF(C59=0,0,C51/C59)</f>
        <v>49.081180811808117</v>
      </c>
      <c r="D67" s="37"/>
      <c r="E67" s="37"/>
      <c r="F67" s="37"/>
      <c r="G67" s="37"/>
      <c r="M67" s="9"/>
      <c r="N67" s="9"/>
    </row>
    <row r="69" spans="1:14">
      <c r="A69" s="17" t="s">
        <v>133</v>
      </c>
      <c r="B69" s="1" t="s">
        <v>558</v>
      </c>
      <c r="C69" s="1"/>
      <c r="D69" s="1"/>
      <c r="E69" s="1"/>
      <c r="F69" s="1"/>
      <c r="G69" s="1"/>
      <c r="H69" s="1"/>
      <c r="I69" s="1"/>
      <c r="J69" s="1"/>
      <c r="K69" s="1"/>
      <c r="L69" s="1"/>
    </row>
    <row r="70" spans="1:14">
      <c r="A70" s="14"/>
      <c r="B70" s="14"/>
      <c r="C70" s="14"/>
      <c r="D70" s="14"/>
      <c r="E70" s="14"/>
      <c r="F70" s="14"/>
      <c r="G70" s="1"/>
      <c r="H70" s="1"/>
      <c r="I70" s="1"/>
      <c r="J70" s="1"/>
      <c r="K70" s="1"/>
      <c r="L70" s="1"/>
    </row>
    <row r="71" spans="1:14">
      <c r="A71" s="3"/>
      <c r="B71" s="3"/>
      <c r="C71" s="3"/>
      <c r="D71" s="3"/>
      <c r="E71" s="3"/>
      <c r="F71" s="3"/>
      <c r="G71" s="3"/>
      <c r="H71" s="3"/>
      <c r="I71" s="3"/>
      <c r="J71" s="3"/>
      <c r="K71" s="3"/>
      <c r="L71" s="3"/>
    </row>
    <row r="72" spans="1:14">
      <c r="A72" s="3" t="s">
        <v>20</v>
      </c>
      <c r="B72" s="3"/>
      <c r="C72" s="3"/>
      <c r="D72" s="3"/>
      <c r="E72" s="3"/>
      <c r="F72" s="3"/>
      <c r="G72" s="3"/>
      <c r="H72" s="3"/>
      <c r="I72" s="3"/>
      <c r="J72" s="3"/>
      <c r="K72" s="3"/>
      <c r="L72" s="3"/>
    </row>
    <row r="73" spans="1:14" ht="46.8">
      <c r="A73" s="3"/>
      <c r="B73" s="261" t="s">
        <v>559</v>
      </c>
      <c r="C73" s="261">
        <v>12</v>
      </c>
      <c r="D73" s="261">
        <v>24</v>
      </c>
      <c r="E73" s="261">
        <v>36</v>
      </c>
      <c r="F73" s="261">
        <v>48</v>
      </c>
      <c r="G73" s="3"/>
      <c r="H73" s="3"/>
      <c r="I73" s="3"/>
      <c r="J73" s="3"/>
      <c r="K73" s="3"/>
      <c r="L73" s="3"/>
    </row>
    <row r="74" spans="1:14">
      <c r="A74" s="3"/>
      <c r="B74" s="79" t="str">
        <f>B63&amp;"-"&amp;B64</f>
        <v>2016-2017</v>
      </c>
      <c r="C74" s="263">
        <f>IF(C63=0,"",C64/C63-1)</f>
        <v>0.14300811316829631</v>
      </c>
      <c r="D74" s="263">
        <f>IF(D63=0,"",D64/D63-1)</f>
        <v>0.11429033251231524</v>
      </c>
      <c r="E74" s="263">
        <f>IF(E63=0,"",E64/E63-1)</f>
        <v>4.369999999999985E-2</v>
      </c>
      <c r="F74" s="263">
        <f>IF(F63=0,"",F64/F63-1)</f>
        <v>-9.9363025125120075E-2</v>
      </c>
      <c r="G74" s="3"/>
      <c r="H74" s="3"/>
      <c r="I74" s="3"/>
      <c r="J74" s="3"/>
      <c r="K74" s="3"/>
      <c r="L74" s="3"/>
    </row>
    <row r="75" spans="1:14">
      <c r="B75" s="79" t="str">
        <f t="shared" ref="B75:B77" si="4">B64&amp;"-"&amp;B65</f>
        <v>2017-2018</v>
      </c>
      <c r="C75" s="263">
        <f>IF(C64=0,"",C65/C64-1)</f>
        <v>-0.14644294273195291</v>
      </c>
      <c r="D75" s="263">
        <f>IF(D64=0,"",D65/D64-1)</f>
        <v>-9.6126066464507942E-2</v>
      </c>
      <c r="E75" s="263">
        <f>IF(E64=0,"",E65/E64-1)</f>
        <v>0.42045253980020481</v>
      </c>
      <c r="F75" s="263"/>
      <c r="M75" s="3"/>
    </row>
    <row r="76" spans="1:14">
      <c r="B76" s="79" t="str">
        <f t="shared" si="4"/>
        <v>2018-2019</v>
      </c>
      <c r="C76" s="263">
        <f>IF(C65=0,"",C66/C65-1)</f>
        <v>0.15726366275400738</v>
      </c>
      <c r="D76" s="263">
        <f>IF(D65=0,"",D66/D65-1)</f>
        <v>0.41061580308941314</v>
      </c>
      <c r="E76" s="263"/>
      <c r="F76" s="263" t="str">
        <f>IF(F65=0,"",F66/F65-1)</f>
        <v/>
      </c>
      <c r="M76" s="3"/>
    </row>
    <row r="77" spans="1:14">
      <c r="B77" s="79" t="str">
        <f t="shared" si="4"/>
        <v>2019-2020</v>
      </c>
      <c r="C77" s="263">
        <f>IF(C66=0,"",C67/C66-1)</f>
        <v>0.41853123733549458</v>
      </c>
      <c r="D77" s="263"/>
      <c r="E77" s="263" t="str">
        <f>IF(E66=0,"",E67/E66-1)</f>
        <v/>
      </c>
      <c r="F77" s="263" t="str">
        <f>IF(F66=0,"",F67/F66-1)</f>
        <v/>
      </c>
      <c r="M77" s="3"/>
    </row>
    <row r="79" spans="1:14">
      <c r="B79" s="2" t="s">
        <v>560</v>
      </c>
    </row>
    <row r="80" spans="1:14">
      <c r="B80" s="2" t="s">
        <v>561</v>
      </c>
    </row>
    <row r="82" spans="1:12">
      <c r="A82" s="14"/>
      <c r="B82" s="14"/>
      <c r="C82" s="14"/>
      <c r="D82" s="14"/>
      <c r="E82" s="14"/>
      <c r="F82" s="14"/>
      <c r="G82" s="14"/>
      <c r="H82" s="14"/>
      <c r="I82" s="14"/>
      <c r="J82" s="14"/>
      <c r="K82" s="14"/>
      <c r="L82" s="14"/>
    </row>
    <row r="83" spans="1:12" ht="15.6" customHeight="1">
      <c r="A83" s="1" t="s">
        <v>562</v>
      </c>
      <c r="B83" s="1"/>
      <c r="C83" s="1"/>
      <c r="D83" s="1"/>
      <c r="E83" s="1"/>
      <c r="F83" s="1"/>
      <c r="G83" s="1"/>
      <c r="H83" s="1"/>
      <c r="I83" s="1"/>
      <c r="J83" s="1"/>
      <c r="K83" s="1"/>
      <c r="L83" s="14"/>
    </row>
    <row r="84" spans="1:12">
      <c r="A84" s="14"/>
      <c r="B84" s="14"/>
      <c r="C84" s="14"/>
      <c r="D84" s="14"/>
      <c r="E84" s="14"/>
      <c r="F84" s="14"/>
      <c r="G84" s="14"/>
      <c r="H84" s="14"/>
      <c r="I84" s="14"/>
      <c r="J84" s="14"/>
      <c r="K84" s="14"/>
      <c r="L84" s="14"/>
    </row>
    <row r="86" spans="1:12">
      <c r="A86" s="17" t="s">
        <v>18</v>
      </c>
      <c r="B86" s="1" t="s">
        <v>563</v>
      </c>
      <c r="C86" s="1"/>
      <c r="D86" s="1"/>
      <c r="E86" s="1"/>
      <c r="F86" s="1"/>
      <c r="G86" s="1"/>
      <c r="H86" s="1"/>
      <c r="I86" s="1"/>
      <c r="J86" s="1"/>
      <c r="K86" s="1"/>
      <c r="L86" s="1"/>
    </row>
    <row r="87" spans="1:12">
      <c r="A87" s="3"/>
      <c r="B87" s="3"/>
      <c r="C87" s="3"/>
      <c r="D87" s="3"/>
      <c r="E87" s="3"/>
      <c r="F87" s="3"/>
      <c r="G87" s="3"/>
      <c r="H87" s="3"/>
      <c r="I87" s="3"/>
      <c r="J87" s="3"/>
      <c r="K87" s="3"/>
      <c r="L87" s="3"/>
    </row>
    <row r="88" spans="1:12">
      <c r="A88" s="3" t="s">
        <v>20</v>
      </c>
      <c r="B88" s="3"/>
      <c r="C88" s="3"/>
      <c r="D88" s="3"/>
      <c r="E88" s="3"/>
      <c r="F88" s="3"/>
      <c r="G88" s="3"/>
      <c r="H88" s="3"/>
      <c r="I88" s="3"/>
      <c r="J88" s="3"/>
      <c r="K88" s="3"/>
      <c r="L88" s="3"/>
    </row>
    <row r="89" spans="1:12">
      <c r="A89" s="3"/>
      <c r="B89" s="2" t="s">
        <v>564</v>
      </c>
      <c r="L89" s="3"/>
    </row>
    <row r="90" spans="1:12">
      <c r="A90" s="3"/>
      <c r="B90" s="35" t="s">
        <v>58</v>
      </c>
      <c r="C90" s="261">
        <v>12</v>
      </c>
      <c r="D90" s="261">
        <v>24</v>
      </c>
      <c r="E90" s="261">
        <v>36</v>
      </c>
      <c r="F90" s="261">
        <v>48</v>
      </c>
      <c r="G90" s="261">
        <v>60</v>
      </c>
      <c r="L90" s="3"/>
    </row>
    <row r="91" spans="1:12">
      <c r="A91" s="3"/>
      <c r="B91" s="34">
        <v>2016</v>
      </c>
      <c r="C91" s="264">
        <f t="shared" ref="C91:D93" si="5">C92/1.05</f>
        <v>40.379208919582368</v>
      </c>
      <c r="D91" s="264">
        <f t="shared" si="5"/>
        <v>60.287912734330611</v>
      </c>
      <c r="E91" s="264">
        <f>E92/1.05</f>
        <v>26.070618723679946</v>
      </c>
      <c r="F91" s="264">
        <f>F92/1.05</f>
        <v>30.368968779564803</v>
      </c>
      <c r="G91" s="264">
        <f>G63</f>
        <v>60</v>
      </c>
      <c r="L91" s="3"/>
    </row>
    <row r="92" spans="1:12">
      <c r="A92" s="3"/>
      <c r="B92" s="34">
        <v>2017</v>
      </c>
      <c r="C92" s="264">
        <f t="shared" si="5"/>
        <v>42.398169365561486</v>
      </c>
      <c r="D92" s="264">
        <f t="shared" si="5"/>
        <v>63.302308371047147</v>
      </c>
      <c r="E92" s="264">
        <f>E93/1.05</f>
        <v>27.374149659863946</v>
      </c>
      <c r="F92" s="264">
        <f>F64</f>
        <v>31.887417218543046</v>
      </c>
      <c r="G92" s="264"/>
      <c r="L92" s="3"/>
    </row>
    <row r="93" spans="1:12">
      <c r="A93" s="3"/>
      <c r="B93" s="34">
        <v>2018</v>
      </c>
      <c r="C93" s="264">
        <f t="shared" si="5"/>
        <v>44.518077833839563</v>
      </c>
      <c r="D93" s="264">
        <f t="shared" si="5"/>
        <v>66.467423789599508</v>
      </c>
      <c r="E93" s="264">
        <f>E65</f>
        <v>28.742857142857144</v>
      </c>
      <c r="F93" s="264"/>
      <c r="G93" s="264"/>
      <c r="L93" s="3"/>
    </row>
    <row r="94" spans="1:12">
      <c r="A94" s="3"/>
      <c r="B94" s="34">
        <v>2019</v>
      </c>
      <c r="C94" s="264">
        <f>C95/1.05</f>
        <v>46.74398172553154</v>
      </c>
      <c r="D94" s="264">
        <f>D66</f>
        <v>69.790794979079493</v>
      </c>
      <c r="E94" s="264"/>
      <c r="F94" s="264"/>
      <c r="G94" s="264"/>
      <c r="L94" s="3"/>
    </row>
    <row r="95" spans="1:12">
      <c r="A95" s="3"/>
      <c r="B95" s="34">
        <v>2020</v>
      </c>
      <c r="C95" s="264">
        <f>C67</f>
        <v>49.081180811808117</v>
      </c>
      <c r="D95" s="264"/>
      <c r="E95" s="264"/>
      <c r="F95" s="264"/>
      <c r="G95" s="264"/>
      <c r="L95" s="3"/>
    </row>
    <row r="96" spans="1:12">
      <c r="A96" s="3"/>
      <c r="L96" s="3"/>
    </row>
    <row r="97" spans="1:12">
      <c r="A97" s="3"/>
      <c r="B97" s="2" t="s">
        <v>565</v>
      </c>
      <c r="L97" s="3"/>
    </row>
    <row r="98" spans="1:12">
      <c r="A98" s="3"/>
      <c r="B98" s="35" t="s">
        <v>58</v>
      </c>
      <c r="C98" s="261">
        <v>12</v>
      </c>
      <c r="D98" s="261">
        <v>24</v>
      </c>
      <c r="E98" s="261">
        <v>36</v>
      </c>
      <c r="F98" s="261">
        <v>48</v>
      </c>
      <c r="G98" s="261">
        <v>60</v>
      </c>
      <c r="L98" s="3"/>
    </row>
    <row r="99" spans="1:12">
      <c r="A99" s="3"/>
      <c r="B99" s="34">
        <v>2016</v>
      </c>
      <c r="C99" s="37">
        <f>C91*C55</f>
        <v>10014.043812056427</v>
      </c>
      <c r="D99" s="37">
        <f>D91*D55</f>
        <v>13745.644103427379</v>
      </c>
      <c r="E99" s="37">
        <f>E91*E55</f>
        <v>5109.8412698412694</v>
      </c>
      <c r="F99" s="37">
        <f>F91*F55</f>
        <v>4494.6073793755904</v>
      </c>
      <c r="G99" s="37">
        <f>G91*G55</f>
        <v>3600</v>
      </c>
      <c r="L99" s="3"/>
    </row>
    <row r="100" spans="1:12">
      <c r="A100" s="3"/>
      <c r="B100" s="34">
        <v>2017</v>
      </c>
      <c r="C100" s="37">
        <f>C92*C56</f>
        <v>10726.736849487055</v>
      </c>
      <c r="D100" s="37">
        <f>D92*D56</f>
        <v>14686.135542082939</v>
      </c>
      <c r="E100" s="37">
        <f>E92*E56</f>
        <v>5474.8299319727894</v>
      </c>
      <c r="F100" s="37">
        <f>F92*F56</f>
        <v>4815</v>
      </c>
      <c r="G100" s="37"/>
      <c r="L100" s="3"/>
    </row>
    <row r="101" spans="1:12">
      <c r="A101" s="3"/>
      <c r="B101" s="34">
        <v>2018</v>
      </c>
      <c r="C101" s="37">
        <f>C93*C57</f>
        <v>11797.290625967484</v>
      </c>
      <c r="D101" s="37">
        <f>D93*D57</f>
        <v>16218.051404662279</v>
      </c>
      <c r="E101" s="37">
        <f>E93*E57</f>
        <v>6036</v>
      </c>
      <c r="F101" s="37"/>
      <c r="G101" s="37"/>
      <c r="L101" s="3"/>
    </row>
    <row r="102" spans="1:12">
      <c r="A102" s="3"/>
      <c r="B102" s="34">
        <v>2019</v>
      </c>
      <c r="C102" s="37">
        <f>C94*C58</f>
        <v>12153.435248638201</v>
      </c>
      <c r="D102" s="37">
        <f>D94*D58</f>
        <v>16680</v>
      </c>
      <c r="E102" s="37"/>
      <c r="F102" s="37"/>
      <c r="G102" s="37"/>
      <c r="L102" s="3"/>
    </row>
    <row r="103" spans="1:12">
      <c r="A103" s="3"/>
      <c r="B103" s="34">
        <v>2020</v>
      </c>
      <c r="C103" s="37">
        <f>C95*C59</f>
        <v>13301</v>
      </c>
      <c r="D103" s="37"/>
      <c r="E103" s="37"/>
      <c r="F103" s="37"/>
      <c r="G103" s="37"/>
      <c r="L103" s="3"/>
    </row>
    <row r="104" spans="1:12">
      <c r="A104" s="3"/>
      <c r="L104" s="3"/>
    </row>
    <row r="105" spans="1:12">
      <c r="A105" s="3"/>
      <c r="B105" s="2" t="s">
        <v>566</v>
      </c>
      <c r="L105" s="3"/>
    </row>
    <row r="106" spans="1:12">
      <c r="A106" s="3"/>
      <c r="B106" s="35" t="s">
        <v>58</v>
      </c>
      <c r="C106" s="261">
        <v>12</v>
      </c>
      <c r="D106" s="261">
        <v>24</v>
      </c>
      <c r="E106" s="261">
        <v>36</v>
      </c>
      <c r="F106" s="261">
        <v>48</v>
      </c>
      <c r="G106" s="261">
        <v>60</v>
      </c>
      <c r="L106" s="3"/>
    </row>
    <row r="107" spans="1:12">
      <c r="A107" s="3"/>
      <c r="B107" s="34">
        <v>2016</v>
      </c>
      <c r="C107" s="37">
        <f>C99+C16</f>
        <v>34414.043812056429</v>
      </c>
      <c r="D107" s="37">
        <f>D99+D16</f>
        <v>56545.644103427381</v>
      </c>
      <c r="E107" s="37">
        <f>E99+E16</f>
        <v>62709.841269841272</v>
      </c>
      <c r="F107" s="37">
        <f>F99+F16</f>
        <v>69494.607379375593</v>
      </c>
      <c r="G107" s="37">
        <f>G99+G16</f>
        <v>76000</v>
      </c>
      <c r="L107" s="3"/>
    </row>
    <row r="108" spans="1:12">
      <c r="A108" s="3"/>
      <c r="B108" s="34">
        <v>2017</v>
      </c>
      <c r="C108" s="37">
        <f>C100+C17</f>
        <v>36691.736849487053</v>
      </c>
      <c r="D108" s="37">
        <f>D100+D17</f>
        <v>60257.135542082935</v>
      </c>
      <c r="E108" s="37">
        <f>E100+E17</f>
        <v>66815.829931972796</v>
      </c>
      <c r="F108" s="37">
        <f>F100+F17</f>
        <v>74040</v>
      </c>
      <c r="G108" s="37"/>
      <c r="L108" s="3"/>
    </row>
    <row r="109" spans="1:12">
      <c r="A109" s="3"/>
      <c r="B109" s="34">
        <v>2018</v>
      </c>
      <c r="C109" s="37">
        <f>C101+C18</f>
        <v>39872.290625967486</v>
      </c>
      <c r="D109" s="37">
        <f>D101+D18</f>
        <v>65494.051404662277</v>
      </c>
      <c r="E109" s="37">
        <f>E101+E18</f>
        <v>72363</v>
      </c>
      <c r="F109" s="37"/>
      <c r="G109" s="37"/>
      <c r="L109" s="3"/>
    </row>
    <row r="110" spans="1:12">
      <c r="A110" s="3"/>
      <c r="B110" s="34">
        <v>2019</v>
      </c>
      <c r="C110" s="37">
        <f>C102+C19</f>
        <v>40977.435248638198</v>
      </c>
      <c r="D110" s="37">
        <f>D102+D19</f>
        <v>67306</v>
      </c>
      <c r="E110" s="37"/>
      <c r="F110" s="37"/>
      <c r="G110" s="37"/>
      <c r="L110" s="3"/>
    </row>
    <row r="111" spans="1:12">
      <c r="A111" s="3"/>
      <c r="B111" s="34">
        <v>2020</v>
      </c>
      <c r="C111" s="37">
        <f>C103+C20</f>
        <v>44192</v>
      </c>
      <c r="D111" s="37"/>
      <c r="E111" s="37"/>
      <c r="F111" s="37"/>
      <c r="G111" s="37"/>
      <c r="L111" s="3"/>
    </row>
    <row r="112" spans="1:12">
      <c r="A112" s="3"/>
      <c r="L112" s="3"/>
    </row>
    <row r="113" spans="1:12">
      <c r="A113" s="3"/>
      <c r="B113" s="2" t="s">
        <v>567</v>
      </c>
      <c r="L113" s="3"/>
    </row>
    <row r="114" spans="1:12">
      <c r="A114" s="3"/>
      <c r="B114" s="35" t="s">
        <v>58</v>
      </c>
      <c r="C114" s="35" t="s">
        <v>568</v>
      </c>
      <c r="D114" s="35" t="s">
        <v>569</v>
      </c>
      <c r="E114" s="35" t="s">
        <v>570</v>
      </c>
      <c r="F114" s="35" t="s">
        <v>571</v>
      </c>
      <c r="G114" s="35" t="s">
        <v>572</v>
      </c>
      <c r="L114" s="3"/>
    </row>
    <row r="115" spans="1:12">
      <c r="A115" s="3"/>
      <c r="B115" s="34">
        <v>2016</v>
      </c>
      <c r="C115" s="265">
        <f>D107/C107</f>
        <v>1.6430979286316096</v>
      </c>
      <c r="D115" s="265">
        <f>E107/D107</f>
        <v>1.1090127677233454</v>
      </c>
      <c r="E115" s="265">
        <f>F107/E107</f>
        <v>1.1081930040348753</v>
      </c>
      <c r="F115" s="265">
        <f>G107/F107</f>
        <v>1.0936100348781173</v>
      </c>
      <c r="G115" s="160"/>
      <c r="L115" s="3"/>
    </row>
    <row r="116" spans="1:12">
      <c r="A116" s="3"/>
      <c r="B116" s="34">
        <v>2017</v>
      </c>
      <c r="C116" s="265">
        <f>D108/C108</f>
        <v>1.6422535621375287</v>
      </c>
      <c r="D116" s="265">
        <f>E108/D108</f>
        <v>1.1088451074032442</v>
      </c>
      <c r="E116" s="265">
        <f>F108/E108</f>
        <v>1.1081206366123468</v>
      </c>
      <c r="F116" s="265"/>
      <c r="G116" s="160"/>
      <c r="L116" s="3"/>
    </row>
    <row r="117" spans="1:12">
      <c r="A117" s="3"/>
      <c r="B117" s="34">
        <v>2018</v>
      </c>
      <c r="C117" s="265">
        <f>D109/C109</f>
        <v>1.6425956566941804</v>
      </c>
      <c r="D117" s="265">
        <f>E109/D109</f>
        <v>1.1048789691280076</v>
      </c>
      <c r="E117" s="265"/>
      <c r="F117" s="265"/>
      <c r="G117" s="160"/>
      <c r="L117" s="3"/>
    </row>
    <row r="118" spans="1:12">
      <c r="A118" s="3"/>
      <c r="B118" s="34">
        <v>2019</v>
      </c>
      <c r="C118" s="265">
        <f>D110/C110</f>
        <v>1.6425137296077303</v>
      </c>
      <c r="D118" s="265"/>
      <c r="E118" s="265"/>
      <c r="F118" s="265"/>
      <c r="G118" s="160"/>
      <c r="L118" s="3"/>
    </row>
    <row r="119" spans="1:12">
      <c r="A119" s="3"/>
      <c r="B119" s="35">
        <v>2020</v>
      </c>
      <c r="C119" s="266"/>
      <c r="D119" s="266"/>
      <c r="E119" s="266"/>
      <c r="F119" s="266"/>
      <c r="G119" s="175"/>
      <c r="L119" s="3"/>
    </row>
    <row r="120" spans="1:12">
      <c r="A120" s="3"/>
      <c r="B120" s="2" t="s">
        <v>175</v>
      </c>
      <c r="C120" s="160">
        <f>AVERAGE(C115:C119)</f>
        <v>1.6426152192677623</v>
      </c>
      <c r="D120" s="160">
        <f>AVERAGE(D115:D119)</f>
        <v>1.1075789480848657</v>
      </c>
      <c r="E120" s="160">
        <f>AVERAGE(E115:E119)</f>
        <v>1.108156820323611</v>
      </c>
      <c r="F120" s="160">
        <f>AVERAGE(F115:F119)</f>
        <v>1.0936100348781173</v>
      </c>
      <c r="G120" s="160">
        <v>1</v>
      </c>
      <c r="L120" s="3"/>
    </row>
    <row r="121" spans="1:12">
      <c r="A121" s="3"/>
      <c r="B121" s="2" t="s">
        <v>573</v>
      </c>
      <c r="C121" s="160">
        <f t="shared" ref="C121:E121" si="6">C120*D121</f>
        <v>2.2048256120600169</v>
      </c>
      <c r="D121" s="160">
        <f t="shared" si="6"/>
        <v>1.3422654229655038</v>
      </c>
      <c r="E121" s="160">
        <f t="shared" si="6"/>
        <v>1.2118914189245278</v>
      </c>
      <c r="F121" s="160">
        <f>F120*G121</f>
        <v>1.0936100348781173</v>
      </c>
      <c r="G121" s="160">
        <f>G120</f>
        <v>1</v>
      </c>
      <c r="L121" s="3"/>
    </row>
    <row r="122" spans="1:12">
      <c r="A122" s="3"/>
      <c r="E122" s="267"/>
      <c r="F122" s="267"/>
      <c r="L122" s="3"/>
    </row>
    <row r="123" spans="1:12" ht="62.4">
      <c r="A123" s="3"/>
      <c r="B123" s="35" t="s">
        <v>58</v>
      </c>
      <c r="C123" s="36" t="s">
        <v>59</v>
      </c>
      <c r="D123" s="36" t="s">
        <v>574</v>
      </c>
      <c r="E123" s="36" t="s">
        <v>131</v>
      </c>
      <c r="F123" s="35" t="s">
        <v>15</v>
      </c>
      <c r="G123" s="18"/>
      <c r="L123" s="3"/>
    </row>
    <row r="124" spans="1:12">
      <c r="A124" s="3"/>
      <c r="B124" s="34">
        <v>2016</v>
      </c>
      <c r="C124" s="37">
        <f>G107</f>
        <v>76000</v>
      </c>
      <c r="D124" s="265">
        <f>G121</f>
        <v>1</v>
      </c>
      <c r="E124" s="37">
        <f>C124*D124</f>
        <v>76000</v>
      </c>
      <c r="F124" s="37">
        <f>E124-C124</f>
        <v>0</v>
      </c>
      <c r="G124" s="18"/>
      <c r="L124" s="3"/>
    </row>
    <row r="125" spans="1:12">
      <c r="A125" s="3"/>
      <c r="B125" s="34">
        <v>2017</v>
      </c>
      <c r="C125" s="37">
        <f>F108</f>
        <v>74040</v>
      </c>
      <c r="D125" s="265">
        <f>F121</f>
        <v>1.0936100348781173</v>
      </c>
      <c r="E125" s="37">
        <f>C125*D125</f>
        <v>80970.8869823758</v>
      </c>
      <c r="F125" s="37">
        <f>E125-C125</f>
        <v>6930.8869823757996</v>
      </c>
      <c r="G125" s="18"/>
      <c r="L125" s="3"/>
    </row>
    <row r="126" spans="1:12">
      <c r="A126" s="3"/>
      <c r="B126" s="34">
        <v>2018</v>
      </c>
      <c r="C126" s="37">
        <f>E109</f>
        <v>72363</v>
      </c>
      <c r="D126" s="265">
        <f>E121</f>
        <v>1.2118914189245278</v>
      </c>
      <c r="E126" s="37">
        <f>C126*D126</f>
        <v>87696.098747635609</v>
      </c>
      <c r="F126" s="37">
        <f>E126-C126</f>
        <v>15333.098747635609</v>
      </c>
      <c r="G126" s="18"/>
      <c r="L126" s="3"/>
    </row>
    <row r="127" spans="1:12">
      <c r="A127" s="3"/>
      <c r="B127" s="34">
        <v>2019</v>
      </c>
      <c r="C127" s="37">
        <f>D110</f>
        <v>67306</v>
      </c>
      <c r="D127" s="265">
        <f>D121</f>
        <v>1.3422654229655038</v>
      </c>
      <c r="E127" s="37">
        <f>C127*D127</f>
        <v>90342.5165581162</v>
      </c>
      <c r="F127" s="37">
        <f>E127-C127</f>
        <v>23036.5165581162</v>
      </c>
      <c r="G127" s="18"/>
      <c r="L127" s="3"/>
    </row>
    <row r="128" spans="1:12">
      <c r="A128" s="3"/>
      <c r="B128" s="35">
        <v>2020</v>
      </c>
      <c r="C128" s="38">
        <f>C111</f>
        <v>44192</v>
      </c>
      <c r="D128" s="266">
        <f>C121</f>
        <v>2.2048256120600169</v>
      </c>
      <c r="E128" s="38">
        <f>C128*D128</f>
        <v>97435.65344815627</v>
      </c>
      <c r="F128" s="38">
        <f>E128-C128</f>
        <v>53243.65344815627</v>
      </c>
      <c r="G128" s="18"/>
      <c r="L128" s="3"/>
    </row>
    <row r="129" spans="1:12">
      <c r="A129" s="3"/>
      <c r="B129" s="34" t="s">
        <v>132</v>
      </c>
      <c r="E129" s="37">
        <f>SUM(E124:E128)</f>
        <v>432445.15573628386</v>
      </c>
      <c r="F129" s="37">
        <f>SUM(F124:F128)</f>
        <v>98544.155736283879</v>
      </c>
      <c r="G129" s="18"/>
      <c r="L129" s="3"/>
    </row>
    <row r="131" spans="1:12">
      <c r="A131" s="15" t="s">
        <v>146</v>
      </c>
      <c r="B131" s="14"/>
      <c r="C131" s="14"/>
      <c r="D131" s="14"/>
      <c r="E131" s="14"/>
      <c r="F131" s="1"/>
      <c r="G131" s="1"/>
      <c r="H131" s="1"/>
      <c r="I131" s="1"/>
      <c r="J131" s="1"/>
      <c r="K131" s="1"/>
      <c r="L131" s="1"/>
    </row>
  </sheetData>
  <mergeCells count="8">
    <mergeCell ref="C53:G53"/>
    <mergeCell ref="C61:G61"/>
    <mergeCell ref="A3:L4"/>
    <mergeCell ref="C6:G6"/>
    <mergeCell ref="C14:G14"/>
    <mergeCell ref="C22:G22"/>
    <mergeCell ref="C30:G30"/>
    <mergeCell ref="C45:G45"/>
  </mergeCells>
  <hyperlinks>
    <hyperlink ref="O1" location="TOC!A1" display="Table of Contents" xr:uid="{4A0C78CE-C9C3-4C27-A5D9-9E894486C45A}"/>
  </hyperlinks>
  <pageMargins left="0.7" right="0.7" top="0.75" bottom="0.75" header="0.3" footer="0.3"/>
  <pageSetup scale="72" orientation="portrait"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DE1F-906E-4F89-8A67-08A2029BD940}">
  <dimension ref="A1:R121"/>
  <sheetViews>
    <sheetView zoomScaleNormal="100" workbookViewId="0"/>
  </sheetViews>
  <sheetFormatPr defaultRowHeight="15.6"/>
  <cols>
    <col min="1" max="1" width="8.88671875" style="2" customWidth="1"/>
    <col min="2" max="2" width="13.77734375" style="2" customWidth="1"/>
    <col min="3" max="3" width="21.44140625" style="2" customWidth="1"/>
    <col min="4" max="4" width="15.5546875" style="2" customWidth="1"/>
    <col min="5" max="5" width="17.44140625" style="2" customWidth="1"/>
    <col min="6" max="6" width="14.77734375" style="2" customWidth="1"/>
    <col min="7" max="7" width="11.6640625" style="2" customWidth="1"/>
    <col min="8" max="8" width="8.88671875" style="2" customWidth="1"/>
    <col min="9" max="16384" width="8.88671875" style="2"/>
  </cols>
  <sheetData>
    <row r="1" spans="1:15" ht="17.399999999999999">
      <c r="A1" s="13" t="s">
        <v>741</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575</v>
      </c>
      <c r="B3" s="1"/>
      <c r="C3" s="1"/>
      <c r="D3" s="1"/>
      <c r="E3" s="1"/>
      <c r="F3" s="1"/>
      <c r="G3" s="1"/>
      <c r="H3" s="1"/>
      <c r="I3" s="1"/>
      <c r="J3" s="1"/>
      <c r="K3" s="1"/>
      <c r="L3" s="14"/>
    </row>
    <row r="4" spans="1:15">
      <c r="A4" s="43"/>
      <c r="B4" s="1"/>
      <c r="C4" s="1"/>
      <c r="D4" s="1"/>
      <c r="E4" s="1"/>
      <c r="F4" s="1"/>
      <c r="G4" s="1"/>
      <c r="H4" s="1"/>
      <c r="I4" s="1"/>
      <c r="J4" s="1"/>
      <c r="K4" s="1"/>
      <c r="L4" s="1"/>
    </row>
    <row r="5" spans="1:15" ht="46.8">
      <c r="A5" s="43"/>
      <c r="B5" s="4" t="s">
        <v>3</v>
      </c>
      <c r="C5" s="4" t="s">
        <v>576</v>
      </c>
      <c r="D5" s="4" t="s">
        <v>4</v>
      </c>
      <c r="E5" s="4" t="s">
        <v>577</v>
      </c>
      <c r="F5" s="4" t="s">
        <v>201</v>
      </c>
      <c r="G5" s="1"/>
      <c r="H5" s="1"/>
      <c r="I5" s="1"/>
      <c r="J5" s="1"/>
      <c r="K5" s="1"/>
      <c r="L5" s="1"/>
    </row>
    <row r="6" spans="1:15">
      <c r="A6" s="43"/>
      <c r="B6" s="32">
        <v>2011</v>
      </c>
      <c r="C6" s="92">
        <v>12150</v>
      </c>
      <c r="D6" s="92">
        <v>12082</v>
      </c>
      <c r="E6" s="92">
        <v>6561000</v>
      </c>
      <c r="F6" s="92">
        <v>6427624</v>
      </c>
      <c r="G6" s="1"/>
      <c r="H6" s="1"/>
      <c r="I6" s="1"/>
      <c r="J6" s="1"/>
      <c r="K6" s="1"/>
      <c r="L6" s="1"/>
    </row>
    <row r="7" spans="1:15">
      <c r="A7" s="43"/>
      <c r="B7" s="32">
        <v>2012</v>
      </c>
      <c r="C7" s="92">
        <v>12393</v>
      </c>
      <c r="D7" s="92">
        <v>12332</v>
      </c>
      <c r="E7" s="92">
        <v>6772527</v>
      </c>
      <c r="F7" s="92">
        <v>6652473</v>
      </c>
      <c r="G7" s="1"/>
      <c r="H7" s="1"/>
      <c r="I7" s="1"/>
      <c r="J7" s="1"/>
      <c r="K7" s="1"/>
      <c r="L7" s="1"/>
    </row>
    <row r="8" spans="1:15">
      <c r="A8" s="43"/>
      <c r="B8" s="32">
        <v>2013</v>
      </c>
      <c r="C8" s="92">
        <v>12889</v>
      </c>
      <c r="D8" s="92">
        <v>12765</v>
      </c>
      <c r="E8" s="92">
        <v>7123878</v>
      </c>
      <c r="F8" s="92">
        <v>6979015</v>
      </c>
      <c r="G8" s="1"/>
      <c r="H8" s="1"/>
      <c r="I8" s="1"/>
      <c r="J8" s="1"/>
      <c r="K8" s="1"/>
      <c r="L8" s="1"/>
    </row>
    <row r="9" spans="1:15">
      <c r="A9" s="1"/>
      <c r="B9" s="32">
        <v>2014</v>
      </c>
      <c r="C9" s="92">
        <v>13920</v>
      </c>
      <c r="D9" s="92">
        <v>13662</v>
      </c>
      <c r="E9" s="92">
        <v>7795279</v>
      </c>
      <c r="F9" s="92">
        <v>7565041</v>
      </c>
      <c r="G9" s="1"/>
      <c r="H9" s="1"/>
      <c r="I9" s="1"/>
      <c r="J9" s="1"/>
      <c r="K9" s="1"/>
      <c r="L9" s="1"/>
    </row>
    <row r="10" spans="1:15">
      <c r="A10" s="1"/>
      <c r="B10" s="32">
        <v>2015</v>
      </c>
      <c r="C10" s="92">
        <v>14616</v>
      </c>
      <c r="D10" s="92">
        <v>14442</v>
      </c>
      <c r="E10" s="92">
        <v>8363476</v>
      </c>
      <c r="F10" s="92">
        <v>8175282</v>
      </c>
      <c r="G10" s="1"/>
      <c r="H10" s="1"/>
      <c r="I10" s="1"/>
      <c r="J10" s="1"/>
      <c r="K10" s="1"/>
      <c r="L10" s="1"/>
    </row>
    <row r="11" spans="1:15">
      <c r="A11" s="43"/>
      <c r="B11" s="32">
        <v>2016</v>
      </c>
      <c r="C11" s="92">
        <v>14762</v>
      </c>
      <c r="D11" s="92">
        <v>14726</v>
      </c>
      <c r="E11" s="92">
        <v>8555141</v>
      </c>
      <c r="F11" s="92">
        <v>8441915</v>
      </c>
      <c r="G11" s="1"/>
      <c r="H11" s="1"/>
      <c r="I11" s="1"/>
      <c r="J11" s="1"/>
      <c r="K11" s="1"/>
      <c r="L11" s="1"/>
    </row>
    <row r="12" spans="1:15">
      <c r="A12" s="1"/>
      <c r="B12" s="32">
        <v>2017</v>
      </c>
      <c r="C12" s="92">
        <v>14319</v>
      </c>
      <c r="D12" s="92">
        <v>14430</v>
      </c>
      <c r="E12" s="92">
        <v>8409605</v>
      </c>
      <c r="F12" s="92">
        <v>8378940</v>
      </c>
      <c r="G12" s="1"/>
      <c r="H12" s="1"/>
      <c r="I12" s="1"/>
      <c r="J12" s="1"/>
      <c r="K12" s="1"/>
      <c r="L12" s="1"/>
    </row>
    <row r="13" spans="1:15">
      <c r="A13" s="1"/>
      <c r="B13" s="32">
        <v>2018</v>
      </c>
      <c r="C13" s="92">
        <v>13460</v>
      </c>
      <c r="D13" s="92">
        <v>13675</v>
      </c>
      <c r="E13" s="92">
        <v>7990486</v>
      </c>
      <c r="F13" s="92">
        <v>8034240</v>
      </c>
      <c r="G13" s="1"/>
      <c r="H13" s="1"/>
      <c r="I13" s="1"/>
      <c r="J13" s="1"/>
      <c r="K13" s="1"/>
      <c r="L13" s="1"/>
    </row>
    <row r="14" spans="1:15">
      <c r="A14" s="1"/>
      <c r="B14" s="32">
        <v>2019</v>
      </c>
      <c r="C14" s="92">
        <v>13191</v>
      </c>
      <c r="D14" s="92">
        <v>13258</v>
      </c>
      <c r="E14" s="92">
        <v>7928680</v>
      </c>
      <c r="F14" s="92">
        <v>7888949</v>
      </c>
      <c r="G14" s="1"/>
      <c r="H14" s="1"/>
      <c r="I14" s="1"/>
      <c r="J14" s="1"/>
      <c r="K14" s="1"/>
      <c r="L14" s="1"/>
    </row>
    <row r="15" spans="1:15">
      <c r="A15" s="1"/>
      <c r="B15" s="32">
        <v>2020</v>
      </c>
      <c r="C15" s="92">
        <v>13851</v>
      </c>
      <c r="D15" s="92">
        <v>13686</v>
      </c>
      <c r="E15" s="92">
        <v>8428619</v>
      </c>
      <c r="F15" s="92">
        <v>8248676</v>
      </c>
      <c r="G15" s="1"/>
      <c r="H15" s="1"/>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91</v>
      </c>
      <c r="B18" s="1" t="s">
        <v>578</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ht="46.8">
      <c r="A22" s="3"/>
      <c r="B22" s="93" t="s">
        <v>3</v>
      </c>
      <c r="C22" s="93" t="s">
        <v>579</v>
      </c>
      <c r="D22" s="93" t="s">
        <v>580</v>
      </c>
      <c r="E22" s="3"/>
      <c r="F22" s="3"/>
      <c r="G22" s="3"/>
      <c r="H22" s="3"/>
      <c r="I22" s="3"/>
      <c r="J22" s="3"/>
      <c r="K22" s="3"/>
      <c r="L22" s="3"/>
      <c r="M22" s="3"/>
      <c r="N22" s="9"/>
    </row>
    <row r="23" spans="1:18">
      <c r="A23" s="3"/>
      <c r="B23" s="268">
        <v>2011</v>
      </c>
      <c r="C23" s="269">
        <f>E6/C6</f>
        <v>540</v>
      </c>
      <c r="D23" s="3"/>
      <c r="E23" s="3"/>
      <c r="F23" s="3"/>
      <c r="G23" s="3"/>
      <c r="H23" s="3"/>
      <c r="I23" s="3"/>
      <c r="J23" s="3"/>
      <c r="K23" s="3"/>
      <c r="L23" s="3"/>
      <c r="M23" s="3"/>
      <c r="N23" s="9"/>
    </row>
    <row r="24" spans="1:18">
      <c r="A24" s="3"/>
      <c r="B24" s="268">
        <v>2012</v>
      </c>
      <c r="C24" s="269">
        <f t="shared" ref="C24:C32" si="0">E7/C7</f>
        <v>546.48002904865655</v>
      </c>
      <c r="D24" s="270">
        <f>C24/C23-1</f>
        <v>1.2000053793808529E-2</v>
      </c>
      <c r="E24" s="3"/>
      <c r="F24" s="3"/>
      <c r="G24" s="3"/>
      <c r="H24" s="3"/>
      <c r="I24" s="3"/>
      <c r="J24" s="3"/>
      <c r="K24" s="3"/>
      <c r="L24" s="3"/>
      <c r="M24" s="3"/>
      <c r="N24" s="9"/>
    </row>
    <row r="25" spans="1:18">
      <c r="A25" s="3"/>
      <c r="B25" s="268">
        <v>2013</v>
      </c>
      <c r="C25" s="269">
        <f t="shared" si="0"/>
        <v>552.70990767320973</v>
      </c>
      <c r="D25" s="270">
        <f t="shared" ref="D25:D32" si="1">C25/C24-1</f>
        <v>1.1400011516246034E-2</v>
      </c>
      <c r="E25" s="3"/>
      <c r="F25" s="3"/>
      <c r="G25" s="3"/>
      <c r="H25" s="3"/>
      <c r="I25" s="3"/>
      <c r="J25" s="3"/>
      <c r="K25" s="3"/>
      <c r="L25" s="3"/>
      <c r="M25" s="3"/>
      <c r="N25" s="9"/>
    </row>
    <row r="26" spans="1:18">
      <c r="A26" s="3"/>
      <c r="B26" s="268">
        <v>2014</v>
      </c>
      <c r="C26" s="269">
        <f t="shared" si="0"/>
        <v>560.00567528735633</v>
      </c>
      <c r="D26" s="270">
        <f t="shared" si="1"/>
        <v>1.3199994269797344E-2</v>
      </c>
      <c r="E26" s="3"/>
      <c r="F26" s="3"/>
      <c r="G26" s="3"/>
      <c r="H26" s="3"/>
      <c r="I26" s="3"/>
      <c r="J26" s="3"/>
      <c r="K26" s="3"/>
      <c r="L26" s="3"/>
      <c r="M26" s="3"/>
      <c r="N26" s="9"/>
    </row>
    <row r="27" spans="1:18">
      <c r="A27" s="3"/>
      <c r="B27" s="268">
        <v>2015</v>
      </c>
      <c r="C27" s="269">
        <f t="shared" si="0"/>
        <v>572.21373836891075</v>
      </c>
      <c r="D27" s="270">
        <f t="shared" si="1"/>
        <v>2.1799891715901021E-2</v>
      </c>
      <c r="E27" s="3"/>
      <c r="F27" s="3"/>
      <c r="G27" s="3"/>
      <c r="H27" s="3"/>
      <c r="I27" s="3"/>
      <c r="J27" s="3"/>
      <c r="K27" s="3"/>
      <c r="L27" s="3"/>
      <c r="M27" s="3"/>
      <c r="N27" s="9"/>
    </row>
    <row r="28" spans="1:18">
      <c r="A28" s="3"/>
      <c r="B28" s="268">
        <v>2016</v>
      </c>
      <c r="C28" s="269">
        <f t="shared" si="0"/>
        <v>579.53807072212442</v>
      </c>
      <c r="D28" s="270">
        <f t="shared" si="1"/>
        <v>1.2799993887059768E-2</v>
      </c>
      <c r="E28" s="3"/>
      <c r="F28" s="3"/>
      <c r="G28" s="3"/>
      <c r="H28" s="3"/>
      <c r="I28" s="3"/>
      <c r="J28" s="3"/>
      <c r="K28" s="3"/>
      <c r="L28" s="3"/>
      <c r="M28" s="3"/>
      <c r="N28" s="9"/>
    </row>
    <row r="29" spans="1:18">
      <c r="A29" s="3"/>
      <c r="B29" s="268">
        <v>2017</v>
      </c>
      <c r="C29" s="269">
        <f t="shared" si="0"/>
        <v>587.30393183881552</v>
      </c>
      <c r="D29" s="270">
        <f t="shared" si="1"/>
        <v>1.3400087947655459E-2</v>
      </c>
      <c r="E29" s="3"/>
      <c r="F29" s="3"/>
      <c r="G29" s="3"/>
      <c r="H29" s="3"/>
      <c r="I29" s="3"/>
      <c r="J29" s="3"/>
      <c r="K29" s="3"/>
      <c r="L29" s="3"/>
      <c r="M29" s="3"/>
      <c r="N29" s="9"/>
    </row>
    <row r="30" spans="1:18">
      <c r="A30" s="3"/>
      <c r="B30" s="268">
        <v>2018</v>
      </c>
      <c r="C30" s="269">
        <f t="shared" si="0"/>
        <v>593.64680534918273</v>
      </c>
      <c r="D30" s="270">
        <f t="shared" si="1"/>
        <v>1.0799984754925829E-2</v>
      </c>
      <c r="E30" s="3"/>
      <c r="F30" s="3"/>
      <c r="G30" s="3"/>
      <c r="H30" s="3"/>
      <c r="I30" s="3"/>
      <c r="J30" s="3"/>
      <c r="K30" s="3"/>
      <c r="L30" s="3"/>
      <c r="M30" s="3"/>
      <c r="N30" s="9"/>
    </row>
    <row r="31" spans="1:18">
      <c r="A31" s="3"/>
      <c r="B31" s="268">
        <v>2019</v>
      </c>
      <c r="C31" s="269">
        <f t="shared" si="0"/>
        <v>601.06739443560002</v>
      </c>
      <c r="D31" s="270">
        <f t="shared" si="1"/>
        <v>1.2500006770949534E-2</v>
      </c>
      <c r="E31" s="3"/>
      <c r="F31" s="3"/>
      <c r="G31" s="3"/>
      <c r="H31" s="3"/>
      <c r="I31" s="3"/>
      <c r="J31" s="3"/>
      <c r="K31" s="3"/>
      <c r="L31" s="3"/>
      <c r="M31" s="3"/>
      <c r="N31" s="9"/>
    </row>
    <row r="32" spans="1:18">
      <c r="B32" s="271">
        <v>2020</v>
      </c>
      <c r="C32" s="272">
        <f t="shared" si="0"/>
        <v>608.52061223016392</v>
      </c>
      <c r="D32" s="273">
        <f t="shared" si="1"/>
        <v>1.2399970225572599E-2</v>
      </c>
      <c r="M32" s="9"/>
      <c r="N32" s="9"/>
    </row>
    <row r="33" spans="1:14">
      <c r="A33" s="3"/>
      <c r="B33" s="3" t="s">
        <v>581</v>
      </c>
      <c r="C33" s="3"/>
      <c r="D33" s="112">
        <f>AVERAGE(D24:D32)</f>
        <v>1.3366666097990679E-2</v>
      </c>
      <c r="E33" s="3"/>
      <c r="M33" s="9"/>
      <c r="N33" s="9"/>
    </row>
    <row r="34" spans="1:14">
      <c r="A34" s="3"/>
      <c r="B34" s="3" t="s">
        <v>582</v>
      </c>
      <c r="C34" s="3"/>
      <c r="D34" s="112">
        <f>AVERAGE(D24:D26,D28:D32)</f>
        <v>1.2312512895751887E-2</v>
      </c>
      <c r="E34" s="3"/>
      <c r="M34" s="9"/>
      <c r="N34" s="9"/>
    </row>
    <row r="35" spans="1:14">
      <c r="M35" s="9"/>
      <c r="N35" s="9"/>
    </row>
    <row r="36" spans="1:14">
      <c r="B36" s="3" t="s">
        <v>583</v>
      </c>
      <c r="C36" s="3"/>
      <c r="D36" s="112">
        <v>1.23E-2</v>
      </c>
      <c r="M36" s="9"/>
      <c r="N36" s="9"/>
    </row>
    <row r="37" spans="1:14">
      <c r="B37" s="2" t="s">
        <v>584</v>
      </c>
      <c r="M37" s="9"/>
      <c r="N37" s="9"/>
    </row>
    <row r="38" spans="1:14">
      <c r="M38" s="9"/>
      <c r="N38" s="9"/>
    </row>
    <row r="39" spans="1:14">
      <c r="A39" s="14"/>
      <c r="B39" s="14"/>
      <c r="C39" s="14"/>
      <c r="D39" s="14"/>
      <c r="E39" s="14"/>
      <c r="F39" s="14"/>
      <c r="G39" s="14"/>
      <c r="H39" s="14"/>
      <c r="I39" s="14"/>
      <c r="J39" s="14"/>
      <c r="K39" s="14"/>
      <c r="L39" s="14"/>
      <c r="M39" s="9"/>
      <c r="N39" s="9"/>
    </row>
    <row r="40" spans="1:14">
      <c r="A40" s="260" t="s">
        <v>12</v>
      </c>
      <c r="B40" s="14"/>
      <c r="C40" s="14"/>
      <c r="D40" s="14"/>
      <c r="E40" s="14"/>
      <c r="F40" s="14"/>
      <c r="G40" s="14"/>
      <c r="H40" s="14"/>
      <c r="I40" s="14"/>
      <c r="J40" s="14"/>
      <c r="K40" s="14"/>
      <c r="L40" s="14"/>
      <c r="M40" s="9"/>
      <c r="N40" s="9"/>
    </row>
    <row r="41" spans="1:14">
      <c r="A41" s="14"/>
      <c r="B41" s="14"/>
      <c r="C41" s="14"/>
      <c r="D41" s="14"/>
      <c r="E41" s="14"/>
      <c r="F41" s="14"/>
      <c r="G41" s="14"/>
      <c r="H41" s="14"/>
      <c r="I41" s="14"/>
      <c r="J41" s="14"/>
      <c r="K41" s="14"/>
      <c r="L41" s="14"/>
      <c r="M41" s="9"/>
      <c r="N41" s="9"/>
    </row>
    <row r="42" spans="1:14">
      <c r="A42" s="14"/>
      <c r="B42" s="17" t="s">
        <v>585</v>
      </c>
      <c r="C42" s="14"/>
      <c r="D42" s="14"/>
      <c r="E42" s="14"/>
      <c r="F42" s="14"/>
      <c r="G42" s="14"/>
      <c r="H42" s="14"/>
      <c r="I42" s="14"/>
      <c r="J42" s="14"/>
      <c r="K42" s="14"/>
      <c r="L42" s="14"/>
      <c r="M42" s="9"/>
      <c r="N42" s="9"/>
    </row>
    <row r="43" spans="1:14">
      <c r="A43" s="14"/>
      <c r="B43" s="17" t="s">
        <v>586</v>
      </c>
      <c r="C43" s="14"/>
      <c r="D43" s="14"/>
      <c r="E43" s="14"/>
      <c r="F43" s="14"/>
      <c r="G43" s="14"/>
      <c r="H43" s="14"/>
      <c r="I43" s="14"/>
      <c r="J43" s="14"/>
      <c r="K43" s="14"/>
      <c r="L43" s="14"/>
      <c r="M43" s="9"/>
      <c r="N43" s="9"/>
    </row>
    <row r="44" spans="1:14">
      <c r="A44" s="14"/>
      <c r="B44" s="14"/>
      <c r="C44" s="14"/>
      <c r="D44" s="14"/>
      <c r="E44" s="14"/>
      <c r="F44" s="14"/>
      <c r="G44" s="14"/>
      <c r="H44" s="14"/>
      <c r="I44" s="14"/>
      <c r="J44" s="14"/>
      <c r="K44" s="14"/>
      <c r="L44" s="14"/>
      <c r="M44" s="9"/>
      <c r="N44" s="9"/>
    </row>
    <row r="45" spans="1:14" ht="31.2">
      <c r="A45" s="14"/>
      <c r="B45" s="4" t="s">
        <v>49</v>
      </c>
      <c r="C45" s="4" t="s">
        <v>587</v>
      </c>
      <c r="D45" s="14"/>
      <c r="E45" s="14"/>
      <c r="F45" s="14"/>
      <c r="G45" s="14"/>
      <c r="H45" s="14"/>
      <c r="I45" s="14"/>
      <c r="J45" s="14"/>
      <c r="K45" s="14"/>
      <c r="L45" s="14"/>
      <c r="M45" s="9"/>
      <c r="N45" s="9"/>
    </row>
    <row r="46" spans="1:14">
      <c r="A46" s="14"/>
      <c r="B46" s="32">
        <v>2016</v>
      </c>
      <c r="C46" s="92">
        <v>6837098</v>
      </c>
      <c r="D46" s="14"/>
      <c r="E46" s="14"/>
      <c r="F46" s="14"/>
      <c r="G46" s="14"/>
      <c r="H46" s="14"/>
      <c r="I46" s="14"/>
      <c r="J46" s="14"/>
      <c r="K46" s="14"/>
      <c r="L46" s="14"/>
      <c r="M46" s="9"/>
      <c r="N46" s="9"/>
    </row>
    <row r="47" spans="1:14">
      <c r="A47" s="14"/>
      <c r="B47" s="32">
        <v>2017</v>
      </c>
      <c r="C47" s="92">
        <v>6467985</v>
      </c>
      <c r="D47" s="14"/>
      <c r="E47" s="14"/>
      <c r="F47" s="14"/>
      <c r="G47" s="14"/>
      <c r="H47" s="14"/>
      <c r="I47" s="14"/>
      <c r="J47" s="14"/>
      <c r="K47" s="14"/>
      <c r="L47" s="14"/>
      <c r="M47" s="9"/>
      <c r="N47" s="9"/>
    </row>
    <row r="48" spans="1:14">
      <c r="A48" s="14"/>
      <c r="B48" s="32">
        <v>2018</v>
      </c>
      <c r="C48" s="92">
        <v>5847762</v>
      </c>
      <c r="D48" s="14"/>
      <c r="E48" s="14"/>
      <c r="F48" s="14"/>
      <c r="G48" s="14"/>
      <c r="H48" s="14"/>
      <c r="I48" s="14"/>
      <c r="J48" s="14"/>
      <c r="K48" s="14"/>
      <c r="L48" s="14"/>
      <c r="M48" s="9"/>
      <c r="N48" s="9"/>
    </row>
    <row r="49" spans="1:14">
      <c r="A49" s="14"/>
      <c r="B49" s="32">
        <v>2019</v>
      </c>
      <c r="C49" s="92">
        <v>5734244</v>
      </c>
      <c r="D49" s="14"/>
      <c r="E49" s="14"/>
      <c r="F49" s="14"/>
      <c r="G49" s="14"/>
      <c r="H49" s="14"/>
      <c r="I49" s="14"/>
      <c r="J49" s="14"/>
      <c r="K49" s="14"/>
      <c r="L49" s="14"/>
      <c r="M49" s="9"/>
      <c r="N49" s="9"/>
    </row>
    <row r="50" spans="1:14">
      <c r="A50" s="14"/>
      <c r="B50" s="32">
        <v>2020</v>
      </c>
      <c r="C50" s="92">
        <v>5674781</v>
      </c>
      <c r="D50" s="14"/>
      <c r="E50" s="14"/>
      <c r="F50" s="14"/>
      <c r="G50" s="14"/>
      <c r="H50" s="14"/>
      <c r="I50" s="14"/>
      <c r="J50" s="14"/>
      <c r="K50" s="14"/>
      <c r="L50" s="14"/>
      <c r="M50" s="9"/>
      <c r="N50" s="9"/>
    </row>
    <row r="51" spans="1:14">
      <c r="A51" s="14"/>
      <c r="B51" s="14"/>
      <c r="C51" s="14"/>
      <c r="D51" s="14"/>
      <c r="E51" s="14"/>
      <c r="F51" s="14"/>
      <c r="G51" s="14"/>
      <c r="H51" s="14"/>
      <c r="I51" s="14"/>
      <c r="J51" s="14"/>
      <c r="K51" s="14"/>
      <c r="L51" s="14"/>
      <c r="M51" s="9"/>
      <c r="N51" s="9"/>
    </row>
    <row r="53" spans="1:14">
      <c r="A53" s="17" t="s">
        <v>133</v>
      </c>
      <c r="B53" s="1" t="s">
        <v>588</v>
      </c>
      <c r="C53" s="1"/>
      <c r="D53" s="1"/>
      <c r="E53" s="1"/>
      <c r="F53" s="1"/>
      <c r="G53" s="1"/>
      <c r="H53" s="1"/>
      <c r="I53" s="1"/>
      <c r="J53" s="1"/>
      <c r="K53" s="1"/>
      <c r="L53" s="1"/>
    </row>
    <row r="54" spans="1:14">
      <c r="A54" s="3"/>
      <c r="B54" s="3"/>
      <c r="C54" s="3"/>
      <c r="D54" s="3"/>
      <c r="E54" s="3"/>
      <c r="F54" s="3"/>
      <c r="G54" s="3"/>
      <c r="H54" s="3"/>
      <c r="I54" s="3"/>
      <c r="J54" s="3"/>
      <c r="K54" s="3"/>
      <c r="L54" s="3"/>
    </row>
    <row r="55" spans="1:14">
      <c r="A55" s="3" t="s">
        <v>20</v>
      </c>
      <c r="B55" s="3"/>
      <c r="C55" s="3"/>
      <c r="D55" s="3"/>
      <c r="E55" s="3"/>
      <c r="F55" s="3"/>
      <c r="G55" s="3"/>
      <c r="H55" s="3"/>
      <c r="I55" s="3"/>
      <c r="J55" s="3"/>
      <c r="K55" s="3"/>
      <c r="L55" s="3"/>
    </row>
    <row r="56" spans="1:14">
      <c r="A56" s="3"/>
      <c r="B56" s="3"/>
      <c r="C56" s="3"/>
      <c r="D56" s="3"/>
      <c r="E56" s="3"/>
      <c r="F56" s="3"/>
      <c r="G56" s="3"/>
      <c r="H56" s="3"/>
      <c r="I56" s="3"/>
      <c r="J56" s="3"/>
      <c r="K56" s="3"/>
      <c r="L56" s="3"/>
    </row>
    <row r="57" spans="1:14">
      <c r="A57" s="274" t="s">
        <v>589</v>
      </c>
      <c r="B57" s="3"/>
      <c r="C57" s="62"/>
      <c r="D57" s="3"/>
      <c r="E57" s="3"/>
      <c r="F57" s="3"/>
      <c r="G57" s="3"/>
      <c r="H57" s="3"/>
      <c r="I57" s="3"/>
      <c r="J57" s="3"/>
      <c r="K57" s="3"/>
      <c r="L57" s="3"/>
    </row>
    <row r="58" spans="1:14">
      <c r="A58" s="3"/>
      <c r="B58" s="3"/>
      <c r="C58" s="3"/>
      <c r="D58" s="3"/>
      <c r="E58" s="3"/>
      <c r="F58" s="3"/>
      <c r="G58" s="3"/>
      <c r="H58" s="3"/>
      <c r="I58" s="3"/>
      <c r="J58" s="3"/>
      <c r="K58" s="3"/>
      <c r="L58" s="3"/>
    </row>
    <row r="59" spans="1:14">
      <c r="A59" s="3"/>
      <c r="B59" s="875" t="s">
        <v>590</v>
      </c>
      <c r="C59" s="875"/>
      <c r="D59" s="3"/>
      <c r="E59" s="3"/>
      <c r="F59" s="3"/>
      <c r="G59" s="3"/>
      <c r="H59" s="3"/>
      <c r="I59" s="3"/>
      <c r="J59" s="3"/>
      <c r="K59" s="3"/>
      <c r="L59" s="3"/>
    </row>
    <row r="60" spans="1:14" ht="46.8">
      <c r="A60" s="93" t="s">
        <v>49</v>
      </c>
      <c r="B60" s="93" t="s">
        <v>170</v>
      </c>
      <c r="C60" s="93" t="s">
        <v>171</v>
      </c>
      <c r="D60" s="93" t="s">
        <v>591</v>
      </c>
      <c r="E60" s="93" t="s">
        <v>592</v>
      </c>
      <c r="F60" s="93" t="s">
        <v>593</v>
      </c>
      <c r="G60" s="3"/>
      <c r="H60" s="62"/>
      <c r="I60" s="62"/>
      <c r="J60" s="62"/>
      <c r="K60" s="3"/>
      <c r="L60" s="3"/>
    </row>
    <row r="61" spans="1:14">
      <c r="A61" s="94">
        <v>2016</v>
      </c>
      <c r="B61" s="104">
        <f>DATE(A61,7,1)</f>
        <v>42552</v>
      </c>
      <c r="C61" s="104">
        <v>44682</v>
      </c>
      <c r="D61" s="94">
        <f>(12*YEAR(C61)+MONTH(C61))-(12*YEAR(B61)+MONTH(B61))</f>
        <v>70</v>
      </c>
      <c r="E61" s="240">
        <f>F11*(1+$D$36)^(D61/12)</f>
        <v>9065912.5034152623</v>
      </c>
      <c r="F61" s="95">
        <f>C46/E61</f>
        <v>0.75415442156808432</v>
      </c>
      <c r="G61" s="3"/>
      <c r="H61" s="62"/>
      <c r="I61" s="62"/>
      <c r="J61" s="62"/>
      <c r="K61" s="3"/>
      <c r="L61" s="3"/>
    </row>
    <row r="62" spans="1:14">
      <c r="A62" s="94">
        <v>2017</v>
      </c>
      <c r="B62" s="104">
        <f t="shared" ref="B62:B65" si="2">DATE(A62,7,1)</f>
        <v>42917</v>
      </c>
      <c r="C62" s="104">
        <v>44682</v>
      </c>
      <c r="D62" s="94">
        <f t="shared" ref="D62:D65" si="3">(12*YEAR(C62)+MONTH(C62))-(12*YEAR(B62)+MONTH(B62))</f>
        <v>58</v>
      </c>
      <c r="E62" s="240">
        <f t="shared" ref="E62:E65" si="4">F12*(1+$D$36)^(D62/12)</f>
        <v>8888948.5396184437</v>
      </c>
      <c r="F62" s="95">
        <f>C47/E62</f>
        <v>0.72764342949808969</v>
      </c>
      <c r="G62" s="3"/>
      <c r="H62" s="62"/>
      <c r="I62" s="62"/>
      <c r="J62" s="62"/>
      <c r="K62" s="3"/>
      <c r="L62" s="3"/>
    </row>
    <row r="63" spans="1:14">
      <c r="A63" s="94">
        <v>2018</v>
      </c>
      <c r="B63" s="104">
        <f t="shared" si="2"/>
        <v>43282</v>
      </c>
      <c r="C63" s="104">
        <v>44682</v>
      </c>
      <c r="D63" s="94">
        <f t="shared" si="3"/>
        <v>46</v>
      </c>
      <c r="E63" s="240">
        <f t="shared" si="4"/>
        <v>8419705.0006116331</v>
      </c>
      <c r="F63" s="95">
        <f>C48/E63</f>
        <v>0.69453288441521421</v>
      </c>
      <c r="G63" s="3"/>
      <c r="H63" s="62"/>
      <c r="I63" s="62"/>
      <c r="J63" s="62"/>
      <c r="K63" s="3"/>
      <c r="L63" s="3"/>
    </row>
    <row r="64" spans="1:14">
      <c r="A64" s="94">
        <v>2019</v>
      </c>
      <c r="B64" s="104">
        <f t="shared" si="2"/>
        <v>43647</v>
      </c>
      <c r="C64" s="104">
        <v>44682</v>
      </c>
      <c r="D64" s="94">
        <f t="shared" si="3"/>
        <v>34</v>
      </c>
      <c r="E64" s="240">
        <f t="shared" si="4"/>
        <v>8166989.2926522717</v>
      </c>
      <c r="F64" s="95">
        <f>C49/E64</f>
        <v>0.70212458894234386</v>
      </c>
      <c r="G64" s="3"/>
      <c r="H64" s="62"/>
      <c r="I64" s="62"/>
      <c r="J64" s="62"/>
      <c r="K64" s="3"/>
      <c r="L64" s="3"/>
    </row>
    <row r="65" spans="1:13">
      <c r="A65" s="94">
        <v>2020</v>
      </c>
      <c r="B65" s="104">
        <f t="shared" si="2"/>
        <v>44013</v>
      </c>
      <c r="C65" s="104">
        <v>44682</v>
      </c>
      <c r="D65" s="94">
        <f t="shared" si="3"/>
        <v>22</v>
      </c>
      <c r="E65" s="240">
        <f t="shared" si="4"/>
        <v>8435636.2838847786</v>
      </c>
      <c r="F65" s="95">
        <f>C50/E65</f>
        <v>0.67271522965504749</v>
      </c>
      <c r="G65" s="3"/>
      <c r="H65" s="62"/>
      <c r="I65" s="62"/>
      <c r="J65" s="62"/>
      <c r="K65" s="3"/>
      <c r="L65" s="3"/>
    </row>
    <row r="66" spans="1:13">
      <c r="A66" s="3"/>
      <c r="B66" s="3"/>
      <c r="C66" s="3"/>
      <c r="D66" s="3"/>
      <c r="E66" s="3"/>
      <c r="F66" s="3"/>
      <c r="G66" s="10"/>
      <c r="H66" s="62"/>
      <c r="I66" s="62"/>
      <c r="J66" s="62"/>
      <c r="M66" s="3"/>
    </row>
    <row r="67" spans="1:13">
      <c r="A67" s="3"/>
      <c r="B67" s="3"/>
      <c r="C67" s="3"/>
      <c r="D67" s="3" t="s">
        <v>594</v>
      </c>
      <c r="F67" s="112">
        <f>AVERAGE(F61:F65)</f>
        <v>0.71023411081575594</v>
      </c>
      <c r="G67" s="3"/>
      <c r="H67" s="3"/>
      <c r="I67" s="3"/>
      <c r="J67" s="3"/>
      <c r="M67" s="3"/>
    </row>
    <row r="68" spans="1:13">
      <c r="A68" s="3"/>
      <c r="B68" s="3"/>
      <c r="C68" s="3"/>
      <c r="D68" s="3" t="s">
        <v>595</v>
      </c>
      <c r="F68" s="112">
        <f>AVERAGE(F62:F64)</f>
        <v>0.70810030095188259</v>
      </c>
      <c r="G68" s="3"/>
      <c r="H68" s="3"/>
      <c r="I68" s="3"/>
      <c r="J68" s="3"/>
      <c r="M68" s="3"/>
    </row>
    <row r="69" spans="1:13">
      <c r="A69" s="3"/>
      <c r="B69" s="3"/>
      <c r="C69" s="3"/>
      <c r="D69" s="3" t="s">
        <v>596</v>
      </c>
      <c r="F69" s="112">
        <f>AVERAGE(F63:F65)</f>
        <v>0.68979090100420182</v>
      </c>
      <c r="G69" s="3"/>
      <c r="H69" s="3"/>
      <c r="I69" s="3"/>
      <c r="J69" s="3"/>
    </row>
    <row r="71" spans="1:13">
      <c r="A71" s="17" t="s">
        <v>18</v>
      </c>
      <c r="B71" s="1" t="s">
        <v>597</v>
      </c>
      <c r="C71" s="1"/>
      <c r="D71" s="1"/>
      <c r="E71" s="1"/>
      <c r="F71" s="1"/>
      <c r="G71" s="1"/>
      <c r="H71" s="1"/>
      <c r="I71" s="1"/>
      <c r="J71" s="1"/>
      <c r="K71" s="1"/>
      <c r="L71" s="1"/>
    </row>
    <row r="72" spans="1:13">
      <c r="A72" s="3"/>
      <c r="B72" s="3"/>
      <c r="C72" s="3"/>
      <c r="D72" s="3"/>
      <c r="E72" s="3"/>
      <c r="F72" s="3"/>
      <c r="G72" s="3"/>
      <c r="H72" s="3"/>
      <c r="I72" s="3"/>
      <c r="J72" s="3"/>
      <c r="K72" s="3"/>
      <c r="L72" s="3"/>
    </row>
    <row r="73" spans="1:13">
      <c r="A73" s="3" t="s">
        <v>20</v>
      </c>
      <c r="B73" s="3"/>
      <c r="C73" s="3"/>
      <c r="D73" s="3"/>
      <c r="E73" s="3"/>
      <c r="F73" s="3"/>
      <c r="G73" s="3"/>
      <c r="H73" s="3"/>
      <c r="I73" s="3"/>
      <c r="J73" s="3"/>
      <c r="K73" s="3"/>
      <c r="L73" s="3"/>
    </row>
    <row r="74" spans="1:13">
      <c r="A74" s="3"/>
      <c r="B74" s="3"/>
      <c r="C74" s="3"/>
      <c r="D74" s="3"/>
      <c r="E74" s="3"/>
      <c r="F74" s="3"/>
      <c r="G74" s="3"/>
      <c r="H74" s="3"/>
      <c r="I74" s="3"/>
      <c r="J74" s="3"/>
      <c r="K74" s="3"/>
      <c r="L74" s="3"/>
    </row>
    <row r="75" spans="1:13">
      <c r="A75" s="3" t="s">
        <v>598</v>
      </c>
      <c r="B75" s="3"/>
      <c r="C75" s="62"/>
      <c r="D75" s="62"/>
      <c r="E75" s="112">
        <f>F68</f>
        <v>0.70810030095188259</v>
      </c>
      <c r="F75" s="3"/>
      <c r="G75" s="3"/>
      <c r="H75" s="3"/>
      <c r="I75" s="3"/>
      <c r="J75" s="3"/>
      <c r="K75" s="3"/>
      <c r="L75" s="3"/>
    </row>
    <row r="77" spans="1:13">
      <c r="A77" s="2" t="s">
        <v>599</v>
      </c>
    </row>
    <row r="79" spans="1:13">
      <c r="A79" s="14"/>
      <c r="B79" s="14"/>
      <c r="C79" s="14"/>
      <c r="D79" s="14"/>
      <c r="E79" s="14"/>
      <c r="F79" s="14"/>
      <c r="G79" s="14"/>
      <c r="H79" s="14"/>
      <c r="I79" s="14"/>
      <c r="J79" s="14"/>
      <c r="K79" s="14"/>
      <c r="L79" s="14"/>
    </row>
    <row r="80" spans="1:13">
      <c r="A80" s="260" t="s">
        <v>12</v>
      </c>
      <c r="B80" s="1"/>
      <c r="C80" s="1"/>
      <c r="D80" s="14"/>
      <c r="E80" s="14"/>
      <c r="F80" s="14"/>
      <c r="G80" s="14"/>
      <c r="H80" s="14"/>
      <c r="I80" s="14"/>
      <c r="J80" s="14"/>
      <c r="K80" s="14"/>
      <c r="L80" s="14"/>
    </row>
    <row r="81" spans="1:12">
      <c r="A81" s="1"/>
      <c r="B81" s="1"/>
      <c r="C81" s="1"/>
      <c r="D81" s="14"/>
      <c r="E81" s="14"/>
      <c r="F81" s="14"/>
      <c r="G81" s="14"/>
      <c r="H81" s="14"/>
      <c r="I81" s="14"/>
      <c r="J81" s="14"/>
      <c r="K81" s="14"/>
      <c r="L81" s="14"/>
    </row>
    <row r="82" spans="1:12">
      <c r="A82" s="1"/>
      <c r="B82" s="17" t="s">
        <v>600</v>
      </c>
      <c r="C82" s="1"/>
      <c r="D82" s="14"/>
      <c r="E82" s="14"/>
      <c r="F82" s="14"/>
      <c r="G82" s="14"/>
      <c r="H82" s="14"/>
      <c r="I82" s="14"/>
      <c r="J82" s="14"/>
      <c r="K82" s="14"/>
      <c r="L82" s="14"/>
    </row>
    <row r="83" spans="1:12">
      <c r="A83" s="1"/>
      <c r="B83" s="17" t="s">
        <v>601</v>
      </c>
      <c r="C83" s="1"/>
      <c r="D83" s="14"/>
      <c r="E83" s="14"/>
      <c r="F83" s="14"/>
      <c r="G83" s="14"/>
      <c r="H83" s="14"/>
      <c r="I83" s="14"/>
      <c r="J83" s="14"/>
      <c r="K83" s="14"/>
      <c r="L83" s="14"/>
    </row>
    <row r="84" spans="1:12">
      <c r="A84" s="1"/>
      <c r="B84" s="17" t="s">
        <v>602</v>
      </c>
      <c r="C84" s="1"/>
      <c r="D84" s="14"/>
      <c r="E84" s="14"/>
      <c r="F84" s="14"/>
      <c r="G84" s="14"/>
      <c r="H84" s="14"/>
      <c r="I84" s="14"/>
      <c r="J84" s="14"/>
      <c r="K84" s="14"/>
      <c r="L84" s="14"/>
    </row>
    <row r="85" spans="1:12">
      <c r="A85" s="1"/>
      <c r="B85" s="260"/>
      <c r="C85" s="17" t="s">
        <v>603</v>
      </c>
      <c r="D85" s="14"/>
      <c r="E85" s="14"/>
      <c r="F85" s="14"/>
      <c r="G85" s="14"/>
      <c r="H85" s="14"/>
      <c r="I85" s="14"/>
      <c r="J85" s="14"/>
      <c r="K85" s="14"/>
      <c r="L85" s="14"/>
    </row>
    <row r="86" spans="1:12">
      <c r="A86" s="1"/>
      <c r="B86" s="260"/>
      <c r="C86" s="17" t="s">
        <v>604</v>
      </c>
      <c r="D86" s="14"/>
      <c r="E86" s="14"/>
      <c r="F86" s="14"/>
      <c r="G86" s="14"/>
      <c r="H86" s="14"/>
      <c r="I86" s="14"/>
      <c r="J86" s="14"/>
      <c r="K86" s="14"/>
      <c r="L86" s="14"/>
    </row>
    <row r="87" spans="1:12">
      <c r="A87" s="1"/>
      <c r="B87" s="260"/>
      <c r="C87" s="17" t="s">
        <v>605</v>
      </c>
      <c r="D87" s="14"/>
      <c r="E87" s="14"/>
      <c r="F87" s="14"/>
      <c r="G87" s="14"/>
      <c r="H87" s="14"/>
      <c r="I87" s="14"/>
      <c r="J87" s="14"/>
      <c r="K87" s="14"/>
      <c r="L87" s="14"/>
    </row>
    <row r="88" spans="1:12">
      <c r="A88" s="14"/>
      <c r="B88" s="14"/>
      <c r="C88" s="14"/>
      <c r="D88" s="14"/>
      <c r="E88" s="14"/>
      <c r="F88" s="14"/>
      <c r="G88" s="14"/>
      <c r="H88" s="14"/>
      <c r="I88" s="14"/>
      <c r="J88" s="14"/>
      <c r="K88" s="14"/>
      <c r="L88" s="14"/>
    </row>
    <row r="90" spans="1:12">
      <c r="A90" s="17" t="s">
        <v>25</v>
      </c>
      <c r="B90" s="1" t="s">
        <v>606</v>
      </c>
      <c r="C90" s="1"/>
      <c r="D90" s="1"/>
      <c r="E90" s="1"/>
      <c r="F90" s="1"/>
      <c r="G90" s="1"/>
      <c r="H90" s="1"/>
      <c r="I90" s="1"/>
      <c r="J90" s="1"/>
      <c r="K90" s="1"/>
      <c r="L90" s="1"/>
    </row>
    <row r="91" spans="1:12">
      <c r="A91" s="3"/>
      <c r="B91" s="3"/>
      <c r="C91" s="3"/>
      <c r="D91" s="3"/>
      <c r="E91" s="3"/>
      <c r="F91" s="3"/>
      <c r="G91" s="3"/>
      <c r="H91" s="3"/>
      <c r="I91" s="3"/>
      <c r="J91" s="3"/>
      <c r="K91" s="3"/>
      <c r="L91" s="3"/>
    </row>
    <row r="92" spans="1:12">
      <c r="A92" s="3" t="s">
        <v>20</v>
      </c>
      <c r="B92" s="3"/>
      <c r="C92" s="3"/>
      <c r="D92" s="3"/>
      <c r="E92" s="3"/>
      <c r="F92" s="3"/>
      <c r="G92" s="3"/>
      <c r="H92" s="3"/>
      <c r="I92" s="3"/>
      <c r="J92" s="3"/>
      <c r="K92" s="3"/>
      <c r="L92" s="3"/>
    </row>
    <row r="93" spans="1:12">
      <c r="A93" s="3"/>
      <c r="B93" s="3"/>
      <c r="C93" s="3"/>
      <c r="D93" s="3"/>
      <c r="E93" s="3"/>
      <c r="F93" s="3"/>
      <c r="G93" s="3"/>
      <c r="H93" s="3"/>
      <c r="I93" s="3"/>
      <c r="J93" s="3"/>
      <c r="K93" s="3"/>
      <c r="L93" s="3"/>
    </row>
    <row r="94" spans="1:12">
      <c r="A94" s="275"/>
      <c r="B94" s="3" t="s">
        <v>607</v>
      </c>
      <c r="C94" s="3"/>
      <c r="D94" s="3"/>
      <c r="E94" s="3"/>
      <c r="F94" s="3"/>
      <c r="G94" s="276">
        <v>0.04</v>
      </c>
      <c r="I94" s="3"/>
      <c r="J94" s="3"/>
      <c r="K94" s="3"/>
      <c r="L94" s="3"/>
    </row>
    <row r="95" spans="1:12">
      <c r="A95" s="275"/>
      <c r="B95" s="3" t="s">
        <v>608</v>
      </c>
      <c r="C95" s="3"/>
      <c r="D95" s="3"/>
      <c r="E95" s="3"/>
      <c r="F95" s="3"/>
      <c r="G95" s="276">
        <v>0.02</v>
      </c>
      <c r="I95" s="3"/>
      <c r="J95" s="3"/>
      <c r="K95" s="3"/>
      <c r="L95" s="3"/>
    </row>
    <row r="96" spans="1:12">
      <c r="A96" s="275"/>
      <c r="B96" s="3" t="s">
        <v>609</v>
      </c>
      <c r="C96" s="3"/>
      <c r="D96" s="3"/>
      <c r="E96" s="3"/>
      <c r="F96" s="3"/>
      <c r="G96" s="276">
        <v>0.55000000000000004</v>
      </c>
      <c r="I96" s="3"/>
      <c r="J96" s="3"/>
      <c r="K96" s="3"/>
      <c r="L96" s="3"/>
    </row>
    <row r="97" spans="1:13">
      <c r="A97" s="275"/>
      <c r="B97" s="3" t="s">
        <v>610</v>
      </c>
      <c r="C97" s="3"/>
      <c r="D97" s="3"/>
      <c r="E97" s="3"/>
      <c r="F97" s="3"/>
      <c r="G97" s="277">
        <v>0.05</v>
      </c>
      <c r="I97" s="3"/>
      <c r="J97" s="3"/>
      <c r="K97" s="3"/>
      <c r="L97" s="3"/>
    </row>
    <row r="98" spans="1:13">
      <c r="A98" s="275"/>
      <c r="B98" s="3" t="s">
        <v>611</v>
      </c>
      <c r="C98" s="3"/>
      <c r="D98" s="3"/>
      <c r="E98" s="3"/>
      <c r="F98" s="3"/>
      <c r="G98" s="10">
        <f>D36</f>
        <v>1.23E-2</v>
      </c>
    </row>
    <row r="99" spans="1:13">
      <c r="A99" s="275"/>
      <c r="B99" s="3" t="s">
        <v>612</v>
      </c>
      <c r="C99" s="3"/>
      <c r="D99" s="3"/>
      <c r="E99" s="3"/>
      <c r="F99" s="3"/>
      <c r="G99" s="99">
        <v>44287</v>
      </c>
    </row>
    <row r="100" spans="1:13">
      <c r="A100" s="275"/>
      <c r="B100" s="3" t="s">
        <v>613</v>
      </c>
      <c r="C100" s="3"/>
      <c r="D100" s="3"/>
      <c r="E100" s="3"/>
      <c r="F100" s="3"/>
      <c r="G100" s="99">
        <f>C61</f>
        <v>44682</v>
      </c>
      <c r="M100" s="3"/>
    </row>
    <row r="101" spans="1:13">
      <c r="A101" s="275"/>
      <c r="B101" s="3" t="s">
        <v>614</v>
      </c>
      <c r="C101" s="3"/>
      <c r="D101" s="3"/>
      <c r="E101" s="3"/>
      <c r="F101" s="3"/>
      <c r="G101" s="3">
        <f>(12*YEAR(G100)+MONTH(G100))-(12*YEAR(G99)+MONTH(G99))</f>
        <v>13</v>
      </c>
      <c r="M101" s="3"/>
    </row>
    <row r="102" spans="1:13">
      <c r="A102" s="275"/>
      <c r="B102" s="3" t="s">
        <v>615</v>
      </c>
      <c r="C102" s="3"/>
      <c r="D102" s="3"/>
      <c r="E102" s="3"/>
      <c r="F102" s="3"/>
      <c r="G102" s="10">
        <f>(1+G94)/(1+G95)*G96*((1+G97)^(G101/12))/((1+G98)^(G101/12))</f>
        <v>0.5834441071403802</v>
      </c>
    </row>
    <row r="104" spans="1:13">
      <c r="A104" s="14"/>
      <c r="B104" s="14"/>
      <c r="C104" s="14"/>
      <c r="D104" s="14"/>
      <c r="E104" s="14"/>
      <c r="F104" s="14"/>
      <c r="G104" s="14"/>
      <c r="H104" s="14"/>
      <c r="I104" s="14"/>
      <c r="J104" s="14"/>
      <c r="K104" s="14"/>
      <c r="L104" s="14"/>
    </row>
    <row r="105" spans="1:13">
      <c r="A105" s="260" t="s">
        <v>12</v>
      </c>
      <c r="B105" s="1"/>
      <c r="C105" s="1"/>
      <c r="D105" s="14"/>
      <c r="E105" s="14"/>
      <c r="F105" s="14"/>
      <c r="G105" s="14"/>
      <c r="H105" s="14"/>
      <c r="I105" s="14"/>
      <c r="J105" s="14"/>
      <c r="K105" s="14"/>
      <c r="L105" s="14"/>
    </row>
    <row r="106" spans="1:13">
      <c r="A106" s="1"/>
      <c r="B106" s="1"/>
      <c r="C106" s="1"/>
      <c r="D106" s="14"/>
      <c r="E106" s="14"/>
      <c r="F106" s="14"/>
      <c r="G106" s="14"/>
      <c r="H106" s="14"/>
      <c r="I106" s="14"/>
      <c r="J106" s="14"/>
      <c r="K106" s="14"/>
      <c r="L106" s="14"/>
    </row>
    <row r="107" spans="1:13">
      <c r="A107" s="1"/>
      <c r="B107" s="17" t="s">
        <v>616</v>
      </c>
      <c r="C107" s="1"/>
      <c r="D107" s="14"/>
      <c r="E107" s="14"/>
      <c r="F107" s="14"/>
      <c r="G107" s="14"/>
      <c r="H107" s="14"/>
      <c r="I107" s="14"/>
      <c r="J107" s="14"/>
      <c r="K107" s="14"/>
      <c r="L107" s="14"/>
    </row>
    <row r="108" spans="1:13">
      <c r="A108" s="1"/>
      <c r="B108" s="17" t="s">
        <v>617</v>
      </c>
      <c r="C108" s="1"/>
      <c r="D108" s="14"/>
      <c r="E108" s="14"/>
      <c r="F108" s="14"/>
      <c r="G108" s="14"/>
      <c r="H108" s="14"/>
      <c r="I108" s="14"/>
      <c r="J108" s="14"/>
      <c r="K108" s="14"/>
      <c r="L108" s="14"/>
    </row>
    <row r="109" spans="1:13">
      <c r="A109" s="1"/>
      <c r="B109" s="17" t="s">
        <v>618</v>
      </c>
      <c r="C109" s="1"/>
      <c r="D109" s="14"/>
      <c r="E109" s="14"/>
      <c r="F109" s="14"/>
      <c r="G109" s="14"/>
      <c r="H109" s="14"/>
      <c r="I109" s="14"/>
      <c r="J109" s="14"/>
      <c r="K109" s="14"/>
      <c r="L109" s="14"/>
    </row>
    <row r="110" spans="1:13">
      <c r="A110" s="1"/>
      <c r="B110" s="17" t="s">
        <v>619</v>
      </c>
      <c r="C110" s="1"/>
      <c r="D110" s="14"/>
      <c r="E110" s="14"/>
      <c r="F110" s="14"/>
      <c r="G110" s="14"/>
      <c r="H110" s="14"/>
      <c r="I110" s="14"/>
      <c r="J110" s="14"/>
      <c r="K110" s="14"/>
      <c r="L110" s="14"/>
    </row>
    <row r="111" spans="1:13">
      <c r="A111" s="14"/>
      <c r="B111" s="14"/>
      <c r="C111" s="14"/>
      <c r="D111" s="14"/>
      <c r="E111" s="14"/>
      <c r="F111" s="14"/>
      <c r="G111" s="14"/>
      <c r="H111" s="14"/>
      <c r="I111" s="14"/>
      <c r="J111" s="14"/>
      <c r="K111" s="14"/>
      <c r="L111" s="14"/>
    </row>
    <row r="113" spans="1:12">
      <c r="A113" s="17" t="s">
        <v>147</v>
      </c>
      <c r="B113" s="1" t="s">
        <v>620</v>
      </c>
      <c r="C113" s="1"/>
      <c r="D113" s="1"/>
      <c r="E113" s="1"/>
      <c r="F113" s="1"/>
      <c r="G113" s="1"/>
      <c r="H113" s="1"/>
      <c r="I113" s="1"/>
      <c r="J113" s="1"/>
      <c r="K113" s="1"/>
      <c r="L113" s="1"/>
    </row>
    <row r="114" spans="1:12">
      <c r="A114" s="3"/>
      <c r="B114" s="3"/>
      <c r="C114" s="3"/>
      <c r="D114" s="3"/>
      <c r="E114" s="3"/>
      <c r="F114" s="3"/>
      <c r="G114" s="3"/>
      <c r="H114" s="3"/>
      <c r="I114" s="3"/>
      <c r="J114" s="3"/>
      <c r="K114" s="3"/>
      <c r="L114" s="3"/>
    </row>
    <row r="115" spans="1:12">
      <c r="A115" s="3" t="s">
        <v>20</v>
      </c>
      <c r="B115" s="3"/>
      <c r="C115" s="3"/>
      <c r="D115" s="3"/>
      <c r="E115" s="3"/>
      <c r="F115" s="3"/>
      <c r="G115" s="3"/>
      <c r="H115" s="3"/>
      <c r="I115" s="3"/>
      <c r="J115" s="3"/>
      <c r="K115" s="3"/>
      <c r="L115" s="3"/>
    </row>
    <row r="116" spans="1:12">
      <c r="A116" s="3"/>
      <c r="B116" s="3"/>
      <c r="C116" s="3"/>
      <c r="D116" s="3"/>
      <c r="E116" s="3"/>
      <c r="F116" s="3"/>
      <c r="G116" s="3"/>
      <c r="H116" s="3"/>
      <c r="I116" s="3"/>
      <c r="J116" s="3"/>
      <c r="K116" s="3"/>
      <c r="L116" s="3"/>
    </row>
    <row r="117" spans="1:12">
      <c r="B117" s="3" t="s">
        <v>621</v>
      </c>
      <c r="C117" s="3"/>
      <c r="E117" s="10">
        <f>E75</f>
        <v>0.70810030095188259</v>
      </c>
    </row>
    <row r="118" spans="1:12">
      <c r="B118" s="3" t="s">
        <v>622</v>
      </c>
      <c r="C118" s="3"/>
      <c r="E118" s="259">
        <v>0.77</v>
      </c>
    </row>
    <row r="119" spans="1:12">
      <c r="B119" s="3" t="s">
        <v>623</v>
      </c>
      <c r="C119" s="3"/>
      <c r="E119" s="259">
        <f>G102</f>
        <v>0.5834441071403802</v>
      </c>
    </row>
    <row r="120" spans="1:12">
      <c r="B120" s="3" t="s">
        <v>624</v>
      </c>
      <c r="C120" s="3"/>
      <c r="E120" s="10">
        <f>E117*E118+(1-E118)*E119</f>
        <v>0.67942937637523704</v>
      </c>
    </row>
    <row r="121" spans="1:12">
      <c r="B121" s="3" t="s">
        <v>298</v>
      </c>
      <c r="C121" s="3"/>
      <c r="E121" s="10">
        <f>(E120+0.15)/(1-0.11-0.04)-1</f>
        <v>-2.4200733676191688E-2</v>
      </c>
    </row>
  </sheetData>
  <mergeCells count="1">
    <mergeCell ref="B59:C59"/>
  </mergeCells>
  <hyperlinks>
    <hyperlink ref="O1" location="TOC!A1" display="Table of Contents" xr:uid="{5985E4D5-F46C-442A-ACCD-32FB76AA9505}"/>
  </hyperlinks>
  <pageMargins left="0.7" right="0.7" top="0.75" bottom="0.75" header="0.3" footer="0.3"/>
  <pageSetup scale="82"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D026-DF8B-41AE-898C-8FF949ADEBCE}">
  <dimension ref="A1:AL97"/>
  <sheetViews>
    <sheetView zoomScaleNormal="100" workbookViewId="0"/>
  </sheetViews>
  <sheetFormatPr defaultRowHeight="15.6"/>
  <cols>
    <col min="1" max="1" width="13.33203125" style="2" customWidth="1"/>
    <col min="2" max="3" width="15.77734375" style="2" customWidth="1"/>
    <col min="4" max="4" width="19.77734375" style="2" customWidth="1"/>
    <col min="5" max="5" width="14" style="2" customWidth="1"/>
    <col min="6" max="6" width="21.77734375" style="2" customWidth="1"/>
    <col min="7" max="13" width="8.77734375" style="2" customWidth="1"/>
    <col min="14" max="40" width="4" style="2" customWidth="1"/>
    <col min="41" max="16384" width="8.88671875" style="2"/>
  </cols>
  <sheetData>
    <row r="1" spans="1:15" ht="17.399999999999999">
      <c r="A1" s="13" t="s">
        <v>742</v>
      </c>
      <c r="B1" s="1"/>
      <c r="C1" s="1"/>
      <c r="D1" s="1" t="s">
        <v>176</v>
      </c>
      <c r="E1" s="1"/>
      <c r="F1" s="1"/>
      <c r="G1" s="1"/>
      <c r="H1" s="1"/>
      <c r="I1" s="1"/>
      <c r="J1" s="1"/>
      <c r="K1" s="1"/>
      <c r="L1" s="14"/>
      <c r="O1" s="21" t="s">
        <v>2927</v>
      </c>
    </row>
    <row r="2" spans="1:15">
      <c r="A2" s="1"/>
      <c r="B2" s="1"/>
      <c r="C2" s="1"/>
      <c r="D2" s="1"/>
      <c r="E2" s="1"/>
      <c r="F2" s="1"/>
      <c r="G2" s="1"/>
      <c r="H2" s="1"/>
      <c r="I2" s="1"/>
      <c r="J2" s="1"/>
      <c r="K2" s="1"/>
      <c r="L2" s="14"/>
    </row>
    <row r="3" spans="1:15">
      <c r="A3" s="1" t="s">
        <v>625</v>
      </c>
      <c r="B3" s="1"/>
      <c r="C3" s="1"/>
      <c r="D3" s="1"/>
      <c r="E3" s="1"/>
      <c r="F3" s="1"/>
      <c r="G3" s="1"/>
      <c r="H3" s="1"/>
      <c r="I3" s="1"/>
      <c r="J3" s="1"/>
      <c r="K3" s="1"/>
      <c r="L3" s="14"/>
    </row>
    <row r="4" spans="1:15">
      <c r="A4" s="43"/>
      <c r="B4" s="1"/>
      <c r="C4" s="1"/>
      <c r="D4" s="1"/>
      <c r="E4" s="1"/>
      <c r="F4" s="1"/>
      <c r="G4" s="1"/>
      <c r="H4" s="1"/>
      <c r="I4" s="1"/>
      <c r="J4" s="1"/>
      <c r="K4" s="1"/>
      <c r="L4" s="1"/>
    </row>
    <row r="5" spans="1:15" ht="46.8">
      <c r="A5" s="43"/>
      <c r="B5" s="4" t="s">
        <v>49</v>
      </c>
      <c r="C5" s="4" t="s">
        <v>47</v>
      </c>
      <c r="D5" s="4" t="s">
        <v>626</v>
      </c>
      <c r="E5" s="4" t="s">
        <v>627</v>
      </c>
      <c r="F5" s="4" t="s">
        <v>628</v>
      </c>
      <c r="G5" s="1"/>
      <c r="H5" s="1"/>
      <c r="I5" s="1"/>
      <c r="J5" s="1"/>
      <c r="K5" s="1"/>
      <c r="L5" s="1"/>
    </row>
    <row r="6" spans="1:15">
      <c r="A6" s="43"/>
      <c r="B6" s="32">
        <v>2011</v>
      </c>
      <c r="C6" s="92">
        <v>5787959</v>
      </c>
      <c r="D6" s="92">
        <v>4930400</v>
      </c>
      <c r="E6" s="184">
        <v>1.036</v>
      </c>
      <c r="F6" s="92">
        <v>5107894</v>
      </c>
      <c r="G6" s="1"/>
      <c r="H6" s="1"/>
      <c r="I6" s="1"/>
      <c r="J6" s="1"/>
      <c r="K6" s="1"/>
      <c r="L6" s="1"/>
    </row>
    <row r="7" spans="1:15">
      <c r="A7" s="43"/>
      <c r="B7" s="32">
        <v>2012</v>
      </c>
      <c r="C7" s="92">
        <v>5275346</v>
      </c>
      <c r="D7" s="92">
        <v>4273000</v>
      </c>
      <c r="E7" s="184">
        <v>1.081</v>
      </c>
      <c r="F7" s="92">
        <v>4619113</v>
      </c>
      <c r="G7" s="1"/>
      <c r="H7" s="1"/>
      <c r="I7" s="1"/>
      <c r="J7" s="1"/>
      <c r="K7" s="1"/>
      <c r="L7" s="1"/>
    </row>
    <row r="8" spans="1:15">
      <c r="A8" s="43"/>
      <c r="B8" s="32">
        <v>2013</v>
      </c>
      <c r="C8" s="92">
        <v>4875955</v>
      </c>
      <c r="D8" s="92">
        <v>2896000</v>
      </c>
      <c r="E8" s="184">
        <v>1.1559999999999999</v>
      </c>
      <c r="F8" s="92">
        <v>3347776</v>
      </c>
      <c r="G8" s="1"/>
      <c r="H8" s="1"/>
      <c r="I8" s="1"/>
      <c r="J8" s="1"/>
      <c r="K8" s="1"/>
      <c r="L8" s="1"/>
    </row>
    <row r="9" spans="1:15">
      <c r="A9" s="1"/>
      <c r="B9" s="32">
        <v>2014</v>
      </c>
      <c r="C9" s="92">
        <v>4823604</v>
      </c>
      <c r="D9" s="92">
        <v>2864600</v>
      </c>
      <c r="E9" s="184">
        <v>1.2789999999999999</v>
      </c>
      <c r="F9" s="92">
        <v>3663823</v>
      </c>
      <c r="G9" s="1"/>
      <c r="H9" s="1"/>
      <c r="I9" s="1"/>
      <c r="J9" s="1"/>
      <c r="K9" s="1"/>
      <c r="L9" s="1"/>
    </row>
    <row r="10" spans="1:15">
      <c r="A10" s="1"/>
      <c r="B10" s="32">
        <v>2015</v>
      </c>
      <c r="C10" s="92">
        <v>5128880</v>
      </c>
      <c r="D10" s="92">
        <v>2447000</v>
      </c>
      <c r="E10" s="184">
        <v>1.4239999999999999</v>
      </c>
      <c r="F10" s="92">
        <v>3484528</v>
      </c>
      <c r="G10" s="1"/>
      <c r="H10" s="1"/>
      <c r="I10" s="1"/>
      <c r="J10" s="1"/>
      <c r="K10" s="1"/>
      <c r="L10" s="1"/>
    </row>
    <row r="11" spans="1:15">
      <c r="A11" s="43"/>
      <c r="B11" s="32">
        <v>2016</v>
      </c>
      <c r="C11" s="92">
        <v>5398707</v>
      </c>
      <c r="D11" s="92">
        <v>1780460</v>
      </c>
      <c r="E11" s="184">
        <v>1.8029999999999999</v>
      </c>
      <c r="F11" s="92">
        <v>3210169</v>
      </c>
      <c r="G11" s="1"/>
      <c r="H11" s="1"/>
      <c r="I11" s="1"/>
      <c r="J11" s="1"/>
      <c r="K11" s="1"/>
      <c r="L11" s="1"/>
    </row>
    <row r="12" spans="1:15">
      <c r="A12" s="1"/>
      <c r="B12" s="32">
        <v>2017</v>
      </c>
      <c r="C12" s="92">
        <v>5175419</v>
      </c>
      <c r="D12" s="92">
        <v>1395000</v>
      </c>
      <c r="E12" s="184">
        <v>2.5299999999999998</v>
      </c>
      <c r="F12" s="92">
        <v>3529350</v>
      </c>
      <c r="G12" s="1"/>
      <c r="H12" s="1"/>
      <c r="I12" s="1"/>
      <c r="J12" s="1"/>
      <c r="K12" s="1"/>
      <c r="L12" s="1"/>
    </row>
    <row r="13" spans="1:15">
      <c r="A13" s="1"/>
      <c r="B13" s="32">
        <v>2018</v>
      </c>
      <c r="C13" s="92">
        <v>4771338</v>
      </c>
      <c r="D13" s="92">
        <v>829600</v>
      </c>
      <c r="E13" s="184">
        <v>3.8010000000000002</v>
      </c>
      <c r="F13" s="92">
        <v>3153310</v>
      </c>
      <c r="G13" s="1"/>
      <c r="H13" s="1"/>
      <c r="I13" s="1"/>
      <c r="J13" s="1"/>
      <c r="K13" s="1"/>
      <c r="L13" s="1"/>
    </row>
    <row r="14" spans="1:15">
      <c r="A14" s="1"/>
      <c r="B14" s="32">
        <v>2019</v>
      </c>
      <c r="C14" s="92">
        <v>4563448</v>
      </c>
      <c r="D14" s="92">
        <v>396900</v>
      </c>
      <c r="E14" s="184">
        <v>7.3159999999999998</v>
      </c>
      <c r="F14" s="92">
        <v>2903720</v>
      </c>
      <c r="G14" s="1"/>
      <c r="H14" s="1"/>
      <c r="I14" s="1"/>
      <c r="J14" s="1"/>
      <c r="K14" s="1"/>
      <c r="L14" s="1"/>
    </row>
    <row r="15" spans="1:15">
      <c r="A15" s="1"/>
      <c r="B15" s="32">
        <v>2020</v>
      </c>
      <c r="C15" s="92">
        <v>4919527</v>
      </c>
      <c r="D15" s="92">
        <v>180900</v>
      </c>
      <c r="E15" s="184">
        <v>22.167999999999999</v>
      </c>
      <c r="F15" s="92">
        <v>4010191</v>
      </c>
      <c r="G15" s="1"/>
      <c r="H15" s="1"/>
      <c r="I15" s="1"/>
      <c r="J15" s="1"/>
      <c r="K15" s="1"/>
      <c r="L15" s="1"/>
    </row>
    <row r="16" spans="1:15">
      <c r="A16" s="1"/>
      <c r="B16" s="1"/>
      <c r="C16" s="1"/>
      <c r="D16" s="1"/>
      <c r="E16" s="1"/>
      <c r="F16" s="1"/>
      <c r="G16" s="1"/>
      <c r="H16" s="1"/>
      <c r="I16" s="1"/>
      <c r="J16" s="1"/>
      <c r="K16" s="1"/>
      <c r="L16" s="1"/>
    </row>
    <row r="17" spans="1:18">
      <c r="A17" s="1"/>
      <c r="B17" s="829" t="s">
        <v>242</v>
      </c>
      <c r="C17" s="829"/>
      <c r="D17" s="1"/>
      <c r="E17" s="1"/>
      <c r="F17" s="1"/>
      <c r="G17" s="1"/>
      <c r="H17" s="1"/>
      <c r="I17" s="1"/>
      <c r="J17" s="1"/>
      <c r="K17" s="1"/>
      <c r="L17" s="1"/>
    </row>
    <row r="18" spans="1:18" ht="16.2" customHeight="1">
      <c r="A18" s="1"/>
      <c r="B18" s="5" t="s">
        <v>243</v>
      </c>
      <c r="C18" s="5" t="s">
        <v>629</v>
      </c>
      <c r="D18" s="1"/>
      <c r="E18" s="1"/>
      <c r="F18" s="1"/>
      <c r="G18" s="1"/>
      <c r="H18" s="1"/>
      <c r="I18" s="1"/>
      <c r="J18" s="1"/>
      <c r="K18" s="1"/>
      <c r="L18" s="1"/>
    </row>
    <row r="19" spans="1:18">
      <c r="A19" s="1"/>
      <c r="B19" s="278">
        <v>41275</v>
      </c>
      <c r="C19" s="156">
        <v>0.06</v>
      </c>
      <c r="D19" s="1"/>
      <c r="E19" s="1"/>
      <c r="F19" s="1"/>
      <c r="G19" s="1"/>
      <c r="H19" s="1"/>
      <c r="I19" s="1"/>
      <c r="J19" s="1"/>
      <c r="K19" s="1"/>
      <c r="L19" s="1"/>
    </row>
    <row r="20" spans="1:18">
      <c r="A20" s="1"/>
      <c r="B20" s="278">
        <v>42552</v>
      </c>
      <c r="C20" s="6" t="s">
        <v>630</v>
      </c>
      <c r="D20" s="1"/>
      <c r="E20" s="1"/>
      <c r="F20" s="1"/>
      <c r="G20" s="1"/>
      <c r="H20" s="1"/>
      <c r="I20" s="1"/>
      <c r="J20" s="1"/>
      <c r="K20" s="1"/>
      <c r="L20" s="1"/>
    </row>
    <row r="21" spans="1:18">
      <c r="A21" s="1"/>
      <c r="B21" s="278">
        <v>43831</v>
      </c>
      <c r="C21" s="156">
        <v>0.05</v>
      </c>
      <c r="D21" s="1"/>
      <c r="E21" s="1"/>
      <c r="F21" s="1"/>
      <c r="G21" s="1"/>
      <c r="H21" s="1"/>
      <c r="I21" s="1"/>
      <c r="J21" s="1"/>
      <c r="K21" s="1"/>
      <c r="L21" s="1"/>
    </row>
    <row r="22" spans="1:18">
      <c r="A22" s="1"/>
      <c r="B22" s="1"/>
      <c r="C22" s="1"/>
      <c r="D22" s="1"/>
      <c r="E22" s="1"/>
      <c r="F22" s="1"/>
      <c r="G22" s="1"/>
      <c r="H22" s="1"/>
      <c r="I22" s="1"/>
      <c r="J22" s="1"/>
      <c r="K22" s="1"/>
      <c r="L22" s="1"/>
    </row>
    <row r="23" spans="1:18">
      <c r="A23" s="1"/>
      <c r="B23" s="43" t="s">
        <v>631</v>
      </c>
      <c r="C23" s="1"/>
      <c r="D23" s="1"/>
      <c r="E23" s="1"/>
      <c r="F23" s="1"/>
      <c r="G23" s="1"/>
      <c r="H23" s="1"/>
      <c r="I23" s="1"/>
      <c r="J23" s="1"/>
      <c r="K23" s="1"/>
      <c r="L23" s="1"/>
    </row>
    <row r="24" spans="1:18">
      <c r="A24" s="1"/>
      <c r="B24" s="43" t="s">
        <v>632</v>
      </c>
      <c r="C24" s="1"/>
      <c r="D24" s="1"/>
      <c r="E24" s="1"/>
      <c r="F24" s="1"/>
      <c r="G24" s="1"/>
      <c r="H24" s="1"/>
      <c r="I24" s="1"/>
      <c r="J24" s="1"/>
      <c r="K24" s="1"/>
      <c r="L24" s="1"/>
    </row>
    <row r="25" spans="1:18">
      <c r="A25" s="1"/>
      <c r="B25" s="43" t="s">
        <v>633</v>
      </c>
      <c r="C25" s="1"/>
      <c r="D25" s="1"/>
      <c r="E25" s="1"/>
      <c r="F25" s="1"/>
      <c r="G25" s="1"/>
      <c r="H25" s="1"/>
      <c r="I25" s="1"/>
      <c r="J25" s="1"/>
      <c r="K25" s="1"/>
      <c r="L25" s="1"/>
    </row>
    <row r="26" spans="1:18">
      <c r="A26" s="1"/>
      <c r="B26" s="1"/>
      <c r="C26" s="1"/>
      <c r="D26" s="1"/>
      <c r="E26" s="1"/>
      <c r="F26" s="1"/>
      <c r="G26" s="1"/>
      <c r="H26" s="1"/>
      <c r="I26" s="1"/>
      <c r="J26" s="1"/>
      <c r="K26" s="1"/>
      <c r="L26" s="1"/>
    </row>
    <row r="28" spans="1:18">
      <c r="A28" s="17" t="s">
        <v>91</v>
      </c>
      <c r="B28" s="1" t="s">
        <v>634</v>
      </c>
      <c r="C28" s="1"/>
      <c r="D28" s="1"/>
      <c r="E28" s="1"/>
      <c r="F28" s="1"/>
      <c r="G28" s="1"/>
      <c r="H28" s="1"/>
      <c r="I28" s="1"/>
      <c r="J28" s="1"/>
      <c r="K28" s="1"/>
      <c r="L28" s="1"/>
      <c r="M28" s="9"/>
      <c r="N28" s="9"/>
      <c r="O28" s="9"/>
      <c r="P28" s="9"/>
      <c r="Q28" s="9"/>
      <c r="R28" s="9"/>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ht="16.2">
      <c r="A32" s="114" t="s">
        <v>189</v>
      </c>
      <c r="B32" s="3"/>
      <c r="C32" s="3"/>
      <c r="D32" s="3"/>
      <c r="E32" s="3"/>
      <c r="F32" s="3"/>
      <c r="G32" s="3"/>
      <c r="H32" s="3"/>
      <c r="I32" s="3"/>
      <c r="J32" s="3"/>
      <c r="K32" s="3"/>
      <c r="L32" s="3"/>
      <c r="M32" s="3"/>
      <c r="N32" s="9"/>
    </row>
    <row r="33" spans="1:38">
      <c r="G33" s="876">
        <v>2013</v>
      </c>
      <c r="H33" s="876"/>
      <c r="I33" s="876">
        <f>G33+1</f>
        <v>2014</v>
      </c>
      <c r="J33" s="876"/>
      <c r="K33" s="876">
        <f>I33+1</f>
        <v>2015</v>
      </c>
      <c r="L33" s="876"/>
      <c r="M33" s="876">
        <f>K33+1</f>
        <v>2016</v>
      </c>
      <c r="N33" s="876"/>
      <c r="O33" s="876"/>
      <c r="P33" s="862">
        <f>M33+1</f>
        <v>2017</v>
      </c>
      <c r="Q33" s="862"/>
      <c r="R33" s="862"/>
      <c r="S33" s="862"/>
      <c r="T33" s="876">
        <f>P33+1</f>
        <v>2018</v>
      </c>
      <c r="U33" s="876"/>
      <c r="V33" s="876"/>
      <c r="W33" s="876"/>
      <c r="X33" s="876">
        <f>T33+1</f>
        <v>2019</v>
      </c>
      <c r="Y33" s="876"/>
      <c r="Z33" s="876"/>
      <c r="AA33" s="876"/>
      <c r="AB33" s="876">
        <f>X33+1</f>
        <v>2020</v>
      </c>
      <c r="AC33" s="876"/>
      <c r="AD33" s="876"/>
      <c r="AE33" s="876"/>
      <c r="AF33" s="119"/>
      <c r="AG33" s="119"/>
      <c r="AH33" s="119"/>
      <c r="AI33" s="119"/>
      <c r="AJ33" s="119"/>
      <c r="AK33" s="119"/>
      <c r="AL33" s="119"/>
    </row>
    <row r="34" spans="1:38" ht="19.95" customHeight="1">
      <c r="G34" s="115"/>
      <c r="H34" s="117"/>
      <c r="I34" s="115"/>
      <c r="J34" s="117"/>
      <c r="K34" s="115"/>
      <c r="L34" s="117"/>
      <c r="M34" s="116"/>
      <c r="N34" s="116"/>
      <c r="O34" s="117"/>
      <c r="P34" s="115"/>
      <c r="Q34" s="116"/>
      <c r="R34" s="116"/>
      <c r="S34" s="117"/>
      <c r="T34" s="115"/>
      <c r="U34" s="116"/>
      <c r="V34" s="116"/>
      <c r="W34" s="117"/>
      <c r="X34" s="115"/>
      <c r="Y34" s="116"/>
      <c r="Z34" s="116"/>
      <c r="AA34" s="117"/>
      <c r="AB34" s="115"/>
      <c r="AC34" s="116"/>
      <c r="AD34" s="116"/>
      <c r="AE34" s="117"/>
    </row>
    <row r="35" spans="1:38" ht="19.95" customHeight="1">
      <c r="G35" s="279" t="s">
        <v>190</v>
      </c>
      <c r="H35" s="120"/>
      <c r="I35" s="280" t="s">
        <v>191</v>
      </c>
      <c r="J35" s="120"/>
      <c r="K35" s="118"/>
      <c r="L35" s="120"/>
      <c r="M35" s="119"/>
      <c r="N35" s="119"/>
      <c r="O35" s="120"/>
      <c r="P35" s="118"/>
      <c r="Q35" s="119"/>
      <c r="R35" s="119" t="s">
        <v>192</v>
      </c>
      <c r="S35" s="120"/>
      <c r="T35" s="118"/>
      <c r="U35" s="119"/>
      <c r="V35" s="119"/>
      <c r="W35" s="120"/>
      <c r="X35" s="118"/>
      <c r="Y35" s="119"/>
      <c r="Z35" s="119"/>
      <c r="AA35" s="120"/>
      <c r="AB35" s="118"/>
      <c r="AC35" s="119"/>
      <c r="AD35" s="119"/>
      <c r="AE35" s="120"/>
    </row>
    <row r="36" spans="1:38" ht="19.95" customHeight="1">
      <c r="G36" s="118"/>
      <c r="H36" s="120"/>
      <c r="I36" s="118"/>
      <c r="J36" s="120"/>
      <c r="K36" s="118"/>
      <c r="L36" s="120"/>
      <c r="M36" s="119"/>
      <c r="N36" s="119"/>
      <c r="O36" s="120"/>
      <c r="P36" s="118"/>
      <c r="Q36" s="119"/>
      <c r="R36" s="119"/>
      <c r="S36" s="120"/>
      <c r="T36" s="118"/>
      <c r="U36" s="119"/>
      <c r="V36" s="119"/>
      <c r="W36" s="120"/>
      <c r="X36" s="118"/>
      <c r="Y36" s="119"/>
      <c r="Z36" s="119"/>
      <c r="AA36" s="120"/>
      <c r="AB36" s="118"/>
      <c r="AC36" s="119"/>
      <c r="AD36" s="119" t="s">
        <v>250</v>
      </c>
      <c r="AE36" s="120"/>
    </row>
    <row r="37" spans="1:38" ht="19.95" customHeight="1">
      <c r="G37" s="121"/>
      <c r="H37" s="123"/>
      <c r="I37" s="121"/>
      <c r="J37" s="123"/>
      <c r="K37" s="121"/>
      <c r="L37" s="123"/>
      <c r="M37" s="122"/>
      <c r="N37" s="122"/>
      <c r="O37" s="123"/>
      <c r="P37" s="121"/>
      <c r="Q37" s="122"/>
      <c r="R37" s="122"/>
      <c r="S37" s="123"/>
      <c r="T37" s="121"/>
      <c r="U37" s="122"/>
      <c r="V37" s="122"/>
      <c r="W37" s="123"/>
      <c r="X37" s="121"/>
      <c r="Y37" s="122"/>
      <c r="Z37" s="122"/>
      <c r="AA37" s="123"/>
      <c r="AB37" s="121"/>
      <c r="AC37" s="122"/>
      <c r="AD37" s="122"/>
      <c r="AE37" s="123"/>
    </row>
    <row r="38" spans="1:38">
      <c r="G38" s="281" t="s">
        <v>635</v>
      </c>
      <c r="H38" s="119"/>
      <c r="I38" s="119"/>
      <c r="J38" s="119"/>
      <c r="K38" s="119"/>
      <c r="L38" s="119"/>
      <c r="M38" s="119"/>
      <c r="N38" s="281" t="s">
        <v>636</v>
      </c>
      <c r="O38" s="119"/>
      <c r="P38" s="119"/>
      <c r="Q38" s="119"/>
      <c r="R38" s="119"/>
      <c r="S38" s="119"/>
      <c r="T38" s="119"/>
      <c r="V38" s="119"/>
      <c r="W38" s="119"/>
      <c r="X38" s="119"/>
      <c r="Y38" s="119"/>
      <c r="Z38" s="119"/>
      <c r="AA38" s="119"/>
      <c r="AB38" s="281" t="s">
        <v>637</v>
      </c>
      <c r="AC38" s="119"/>
      <c r="AD38" s="119"/>
      <c r="AE38" s="119"/>
      <c r="AF38" s="119"/>
      <c r="AG38" s="119"/>
      <c r="AH38" s="119"/>
      <c r="AJ38" s="119"/>
      <c r="AK38" s="119"/>
      <c r="AL38" s="119"/>
    </row>
    <row r="40" spans="1:38">
      <c r="A40" s="282" t="s">
        <v>242</v>
      </c>
      <c r="B40" s="282"/>
      <c r="C40" s="283"/>
      <c r="D40" s="284"/>
      <c r="E40" s="283"/>
      <c r="F40" s="283"/>
      <c r="G40" s="283"/>
      <c r="H40" s="283"/>
      <c r="I40" s="283"/>
      <c r="J40" s="283"/>
      <c r="K40" s="283"/>
      <c r="L40" s="283"/>
      <c r="M40" s="283"/>
      <c r="N40" s="62"/>
      <c r="O40" s="62"/>
    </row>
    <row r="41" spans="1:38">
      <c r="A41" s="284" t="s">
        <v>243</v>
      </c>
      <c r="B41" s="284" t="s">
        <v>244</v>
      </c>
      <c r="C41" s="284" t="s">
        <v>193</v>
      </c>
      <c r="D41" s="877" t="s">
        <v>194</v>
      </c>
      <c r="E41" s="877"/>
      <c r="F41" s="877"/>
      <c r="G41" s="877"/>
      <c r="H41" s="877"/>
      <c r="I41" s="877"/>
      <c r="J41" s="877"/>
      <c r="K41" s="877"/>
      <c r="L41" s="877"/>
      <c r="M41" s="877"/>
    </row>
    <row r="42" spans="1:38">
      <c r="A42" s="285" t="s">
        <v>245</v>
      </c>
      <c r="B42" s="285" t="s">
        <v>246</v>
      </c>
      <c r="C42" s="285" t="s">
        <v>196</v>
      </c>
      <c r="D42" s="285">
        <v>2011</v>
      </c>
      <c r="E42" s="285">
        <v>2012</v>
      </c>
      <c r="F42" s="285">
        <v>2013</v>
      </c>
      <c r="G42" s="285">
        <v>2014</v>
      </c>
      <c r="H42" s="285">
        <v>2015</v>
      </c>
      <c r="I42" s="285">
        <v>2016</v>
      </c>
      <c r="J42" s="285">
        <v>2017</v>
      </c>
      <c r="K42" s="285">
        <v>2018</v>
      </c>
      <c r="L42" s="285">
        <v>2019</v>
      </c>
      <c r="M42" s="285">
        <v>2020</v>
      </c>
    </row>
    <row r="43" spans="1:38">
      <c r="A43" s="286" t="s">
        <v>638</v>
      </c>
      <c r="B43" s="287"/>
      <c r="C43" s="288">
        <v>1</v>
      </c>
      <c r="D43" s="289">
        <v>1</v>
      </c>
      <c r="E43" s="289">
        <v>1</v>
      </c>
      <c r="F43" s="289">
        <v>0.5</v>
      </c>
      <c r="G43" s="289">
        <v>0</v>
      </c>
      <c r="H43" s="289">
        <v>0</v>
      </c>
      <c r="I43" s="289">
        <v>0</v>
      </c>
      <c r="J43" s="289">
        <v>0</v>
      </c>
      <c r="K43" s="289">
        <v>0</v>
      </c>
      <c r="L43" s="289">
        <v>0</v>
      </c>
      <c r="M43" s="289">
        <v>0</v>
      </c>
    </row>
    <row r="44" spans="1:38">
      <c r="A44" s="286">
        <f>B19</f>
        <v>41275</v>
      </c>
      <c r="B44" s="287">
        <v>0.06</v>
      </c>
      <c r="C44" s="288">
        <f>C43*(1+B44)</f>
        <v>1.06</v>
      </c>
      <c r="D44" s="289">
        <v>0</v>
      </c>
      <c r="E44" s="289">
        <v>0</v>
      </c>
      <c r="F44" s="289">
        <v>0.5</v>
      </c>
      <c r="G44" s="289">
        <v>1</v>
      </c>
      <c r="H44" s="289">
        <v>1</v>
      </c>
      <c r="I44" s="289">
        <v>0.875</v>
      </c>
      <c r="J44" s="289">
        <v>0.125</v>
      </c>
      <c r="K44" s="289">
        <v>0</v>
      </c>
      <c r="L44" s="289">
        <v>0</v>
      </c>
      <c r="M44" s="289">
        <v>0</v>
      </c>
    </row>
    <row r="45" spans="1:38">
      <c r="A45" s="286">
        <f t="shared" ref="A45:A46" si="0">B20</f>
        <v>42552</v>
      </c>
      <c r="B45" s="287">
        <v>-0.03</v>
      </c>
      <c r="C45" s="288">
        <f>C44*(1+B45)</f>
        <v>1.0282</v>
      </c>
      <c r="D45" s="289">
        <v>0</v>
      </c>
      <c r="E45" s="289">
        <v>0</v>
      </c>
      <c r="F45" s="289">
        <v>0</v>
      </c>
      <c r="G45" s="289">
        <v>0</v>
      </c>
      <c r="H45" s="289">
        <v>0</v>
      </c>
      <c r="I45" s="289">
        <v>0.125</v>
      </c>
      <c r="J45" s="289">
        <v>0.875</v>
      </c>
      <c r="K45" s="289">
        <v>1</v>
      </c>
      <c r="L45" s="289">
        <v>1</v>
      </c>
      <c r="M45" s="289">
        <v>0.5</v>
      </c>
    </row>
    <row r="46" spans="1:38">
      <c r="A46" s="290">
        <f t="shared" si="0"/>
        <v>43831</v>
      </c>
      <c r="B46" s="291">
        <v>0.05</v>
      </c>
      <c r="C46" s="292">
        <f>C45*(1+B46)</f>
        <v>1.07961</v>
      </c>
      <c r="D46" s="293">
        <v>0</v>
      </c>
      <c r="E46" s="293">
        <v>0</v>
      </c>
      <c r="F46" s="293">
        <v>0</v>
      </c>
      <c r="G46" s="293">
        <v>0</v>
      </c>
      <c r="H46" s="293">
        <v>0</v>
      </c>
      <c r="I46" s="293">
        <v>0</v>
      </c>
      <c r="J46" s="293">
        <v>0</v>
      </c>
      <c r="K46" s="293">
        <v>0</v>
      </c>
      <c r="L46" s="293">
        <v>0</v>
      </c>
      <c r="M46" s="293">
        <v>0.5</v>
      </c>
    </row>
    <row r="47" spans="1:38">
      <c r="A47" s="283"/>
      <c r="B47" s="283"/>
      <c r="C47" s="284"/>
      <c r="D47" s="283"/>
      <c r="E47" s="283"/>
      <c r="F47" s="283"/>
      <c r="G47" s="283"/>
      <c r="H47" s="283"/>
      <c r="I47" s="283"/>
      <c r="J47" s="283"/>
      <c r="K47" s="283"/>
      <c r="L47" s="283"/>
      <c r="M47" s="283"/>
    </row>
    <row r="48" spans="1:38">
      <c r="A48" s="294" t="s">
        <v>639</v>
      </c>
      <c r="B48" s="283"/>
      <c r="C48" s="284"/>
      <c r="D48" s="288">
        <f t="shared" ref="D48:M48" si="1">SUMPRODUCT($C$43:$C$46,D43:D46)</f>
        <v>1</v>
      </c>
      <c r="E48" s="288">
        <f t="shared" si="1"/>
        <v>1</v>
      </c>
      <c r="F48" s="288">
        <f t="shared" si="1"/>
        <v>1.03</v>
      </c>
      <c r="G48" s="288">
        <f t="shared" si="1"/>
        <v>1.06</v>
      </c>
      <c r="H48" s="288">
        <f t="shared" si="1"/>
        <v>1.06</v>
      </c>
      <c r="I48" s="288">
        <f t="shared" si="1"/>
        <v>1.056025</v>
      </c>
      <c r="J48" s="288">
        <f t="shared" si="1"/>
        <v>1.0321750000000001</v>
      </c>
      <c r="K48" s="288">
        <f t="shared" si="1"/>
        <v>1.0282</v>
      </c>
      <c r="L48" s="288">
        <f t="shared" si="1"/>
        <v>1.0282</v>
      </c>
      <c r="M48" s="288">
        <f t="shared" si="1"/>
        <v>1.0539049999999999</v>
      </c>
    </row>
    <row r="49" spans="1:13">
      <c r="A49" s="294" t="s">
        <v>640</v>
      </c>
      <c r="B49" s="283"/>
      <c r="C49" s="284"/>
      <c r="D49" s="288">
        <f t="shared" ref="D49:M49" si="2">$M$48/D48</f>
        <v>1.0539049999999999</v>
      </c>
      <c r="E49" s="288">
        <f t="shared" si="2"/>
        <v>1.0539049999999999</v>
      </c>
      <c r="F49" s="288">
        <f t="shared" si="2"/>
        <v>1.0232087378640775</v>
      </c>
      <c r="G49" s="288">
        <f t="shared" si="2"/>
        <v>0.99424999999999986</v>
      </c>
      <c r="H49" s="288">
        <f t="shared" si="2"/>
        <v>0.99424999999999986</v>
      </c>
      <c r="I49" s="288">
        <f t="shared" si="2"/>
        <v>0.99799247176913419</v>
      </c>
      <c r="J49" s="288">
        <f t="shared" si="2"/>
        <v>1.0210526315789472</v>
      </c>
      <c r="K49" s="288">
        <f t="shared" si="2"/>
        <v>1.0249999999999999</v>
      </c>
      <c r="L49" s="288">
        <f t="shared" si="2"/>
        <v>1.0249999999999999</v>
      </c>
      <c r="M49" s="288">
        <f t="shared" si="2"/>
        <v>1</v>
      </c>
    </row>
    <row r="51" spans="1:13">
      <c r="A51" s="17" t="s">
        <v>133</v>
      </c>
      <c r="B51" s="1" t="s">
        <v>641</v>
      </c>
      <c r="C51" s="1"/>
      <c r="D51" s="1"/>
      <c r="E51" s="1"/>
      <c r="F51" s="1"/>
      <c r="G51" s="1"/>
      <c r="H51" s="1"/>
      <c r="I51" s="1"/>
      <c r="J51" s="1"/>
      <c r="K51" s="1"/>
      <c r="L51" s="1"/>
    </row>
    <row r="52" spans="1:13">
      <c r="A52" s="3"/>
      <c r="B52" s="3"/>
      <c r="C52" s="3"/>
      <c r="D52" s="3"/>
      <c r="E52" s="3"/>
      <c r="F52" s="3"/>
      <c r="G52" s="3"/>
      <c r="H52" s="3"/>
      <c r="I52" s="3"/>
      <c r="J52" s="3"/>
      <c r="K52" s="3"/>
      <c r="L52" s="3"/>
    </row>
    <row r="53" spans="1:13">
      <c r="A53" s="3" t="s">
        <v>20</v>
      </c>
      <c r="B53" s="3"/>
      <c r="C53" s="3"/>
      <c r="D53" s="3"/>
      <c r="E53" s="3"/>
      <c r="F53" s="3"/>
      <c r="G53" s="3"/>
      <c r="H53" s="3"/>
      <c r="I53" s="3"/>
      <c r="J53" s="3"/>
      <c r="K53" s="3"/>
      <c r="L53" s="3"/>
    </row>
    <row r="54" spans="1:13">
      <c r="A54" s="3"/>
      <c r="B54" s="3"/>
      <c r="C54" s="3"/>
      <c r="D54" s="3"/>
      <c r="E54" s="3"/>
      <c r="F54" s="3"/>
      <c r="G54" s="3"/>
      <c r="H54" s="3"/>
      <c r="I54" s="3"/>
      <c r="J54" s="3"/>
      <c r="K54" s="3"/>
      <c r="L54" s="3"/>
    </row>
    <row r="55" spans="1:13" ht="46.8">
      <c r="A55" s="93" t="s">
        <v>642</v>
      </c>
      <c r="B55" s="295" t="s">
        <v>643</v>
      </c>
      <c r="C55" s="36" t="s">
        <v>208</v>
      </c>
      <c r="D55" s="36" t="s">
        <v>644</v>
      </c>
      <c r="E55" s="36" t="s">
        <v>645</v>
      </c>
      <c r="F55" s="36" t="s">
        <v>646</v>
      </c>
      <c r="G55" s="3"/>
      <c r="H55" s="3"/>
      <c r="I55" s="3"/>
      <c r="J55" s="3"/>
      <c r="K55" s="3"/>
      <c r="L55" s="3"/>
    </row>
    <row r="56" spans="1:13">
      <c r="A56" s="268">
        <v>2011</v>
      </c>
      <c r="B56" s="132">
        <f>HLOOKUP(A56,$D$42:$M$49,8)</f>
        <v>1.0539049999999999</v>
      </c>
      <c r="C56" s="176">
        <v>0.8</v>
      </c>
      <c r="D56" s="296">
        <f>(F6*C56)/(B56*C6)</f>
        <v>0.66989224795819058</v>
      </c>
      <c r="E56" s="296">
        <f>$D$66*B56/C56</f>
        <v>0.84480523622850112</v>
      </c>
      <c r="F56" s="37">
        <f>E56*C6</f>
        <v>4889698.0702758795</v>
      </c>
      <c r="M56" s="3"/>
    </row>
    <row r="57" spans="1:13">
      <c r="A57" s="268">
        <v>2012</v>
      </c>
      <c r="B57" s="132">
        <f t="shared" ref="B57:B65" si="3">HLOOKUP(A57,$D$42:$M$49,8)</f>
        <v>1.0539049999999999</v>
      </c>
      <c r="C57" s="176">
        <v>0.8</v>
      </c>
      <c r="D57" s="296">
        <f t="shared" ref="D57:D64" si="4">(F7*C57)/(B57*C7)</f>
        <v>0.66465482126598263</v>
      </c>
      <c r="E57" s="296">
        <f t="shared" ref="E57:E65" si="5">$D$66*B57/C57</f>
        <v>0.84480523622850112</v>
      </c>
      <c r="F57" s="37">
        <f t="shared" ref="F57:F65" si="6">E57*C7</f>
        <v>4456639.9237170788</v>
      </c>
      <c r="M57" s="3"/>
    </row>
    <row r="58" spans="1:13">
      <c r="A58" s="268">
        <v>2013</v>
      </c>
      <c r="B58" s="132">
        <f t="shared" si="3"/>
        <v>1.0232087378640775</v>
      </c>
      <c r="C58" s="176">
        <v>0.8</v>
      </c>
      <c r="D58" s="296">
        <f t="shared" si="4"/>
        <v>0.5368122891544429</v>
      </c>
      <c r="E58" s="296">
        <f t="shared" si="5"/>
        <v>0.82019925847427289</v>
      </c>
      <c r="F58" s="37">
        <f t="shared" si="6"/>
        <v>3999254.6753539233</v>
      </c>
      <c r="M58" s="3"/>
    </row>
    <row r="59" spans="1:13">
      <c r="A59" s="268">
        <v>2014</v>
      </c>
      <c r="B59" s="132">
        <f t="shared" si="3"/>
        <v>0.99424999999999986</v>
      </c>
      <c r="C59" s="176">
        <v>0.9</v>
      </c>
      <c r="D59" s="296">
        <f t="shared" si="4"/>
        <v>0.68755864622342722</v>
      </c>
      <c r="E59" s="296">
        <f t="shared" si="5"/>
        <v>0.7084320639232714</v>
      </c>
      <c r="F59" s="37">
        <f t="shared" si="6"/>
        <v>3417195.7372685475</v>
      </c>
      <c r="M59" s="3"/>
    </row>
    <row r="60" spans="1:13">
      <c r="A60" s="268">
        <v>2015</v>
      </c>
      <c r="B60" s="132">
        <f t="shared" si="3"/>
        <v>0.99424999999999986</v>
      </c>
      <c r="C60" s="176">
        <v>1</v>
      </c>
      <c r="D60" s="296">
        <f t="shared" si="4"/>
        <v>0.68332265708683138</v>
      </c>
      <c r="E60" s="296">
        <f t="shared" si="5"/>
        <v>0.6375888575309443</v>
      </c>
      <c r="F60" s="37">
        <f t="shared" si="6"/>
        <v>3270116.7396133095</v>
      </c>
      <c r="M60" s="3"/>
    </row>
    <row r="61" spans="1:13">
      <c r="A61" s="268">
        <v>2016</v>
      </c>
      <c r="B61" s="132">
        <f t="shared" si="3"/>
        <v>0.99799247176913419</v>
      </c>
      <c r="C61" s="176">
        <v>1</v>
      </c>
      <c r="D61" s="296">
        <f t="shared" si="4"/>
        <v>0.59581423263821331</v>
      </c>
      <c r="E61" s="296">
        <f t="shared" si="5"/>
        <v>0.63998881558940457</v>
      </c>
      <c r="F61" s="37">
        <f t="shared" si="6"/>
        <v>3455112.0986442277</v>
      </c>
      <c r="M61" s="3"/>
    </row>
    <row r="62" spans="1:13">
      <c r="A62" s="268">
        <v>2017</v>
      </c>
      <c r="B62" s="132">
        <f t="shared" si="3"/>
        <v>1.0210526315789472</v>
      </c>
      <c r="C62" s="176">
        <v>1</v>
      </c>
      <c r="D62" s="296">
        <f t="shared" si="4"/>
        <v>0.66788406830581593</v>
      </c>
      <c r="E62" s="296">
        <f t="shared" si="5"/>
        <v>0.65477674714346012</v>
      </c>
      <c r="F62" s="37">
        <f t="shared" si="6"/>
        <v>3388744.0179244592</v>
      </c>
      <c r="M62" s="3"/>
    </row>
    <row r="63" spans="1:13">
      <c r="A63" s="268">
        <v>2018</v>
      </c>
      <c r="B63" s="132">
        <f t="shared" si="3"/>
        <v>1.0249999999999999</v>
      </c>
      <c r="C63" s="176">
        <v>1</v>
      </c>
      <c r="D63" s="296">
        <f t="shared" si="4"/>
        <v>0.6447667300031984</v>
      </c>
      <c r="E63" s="296">
        <f t="shared" si="5"/>
        <v>0.65730810054736521</v>
      </c>
      <c r="F63" s="37">
        <f t="shared" si="6"/>
        <v>3136239.1178494645</v>
      </c>
      <c r="M63" s="3"/>
    </row>
    <row r="64" spans="1:13">
      <c r="A64" s="268">
        <v>2019</v>
      </c>
      <c r="B64" s="132">
        <f t="shared" si="3"/>
        <v>1.0249999999999999</v>
      </c>
      <c r="C64" s="176">
        <v>1</v>
      </c>
      <c r="D64" s="296">
        <f t="shared" si="4"/>
        <v>0.62078006826759291</v>
      </c>
      <c r="E64" s="296">
        <f t="shared" si="5"/>
        <v>0.65730810054736521</v>
      </c>
      <c r="F64" s="37">
        <f t="shared" si="6"/>
        <v>2999591.3368266728</v>
      </c>
      <c r="M64" s="3"/>
    </row>
    <row r="65" spans="1:14">
      <c r="A65" s="271">
        <v>2020</v>
      </c>
      <c r="B65" s="297">
        <f t="shared" si="3"/>
        <v>1</v>
      </c>
      <c r="C65" s="178">
        <v>1</v>
      </c>
      <c r="D65" s="298"/>
      <c r="E65" s="298">
        <f t="shared" si="5"/>
        <v>0.64127619565596616</v>
      </c>
      <c r="F65" s="38">
        <f t="shared" si="6"/>
        <v>3154775.5589868082</v>
      </c>
      <c r="M65" s="3"/>
    </row>
    <row r="66" spans="1:14">
      <c r="A66" s="34" t="s">
        <v>132</v>
      </c>
      <c r="C66" s="34"/>
      <c r="D66" s="299">
        <f>AVERAGE(D56:D64)</f>
        <v>0.64127619565596616</v>
      </c>
      <c r="E66" s="34"/>
      <c r="F66" s="37">
        <f>SUM(F56:F65)</f>
        <v>36167367.276460364</v>
      </c>
      <c r="M66" s="3"/>
    </row>
    <row r="68" spans="1:14">
      <c r="A68" s="17" t="s">
        <v>18</v>
      </c>
      <c r="B68" s="1" t="s">
        <v>647</v>
      </c>
      <c r="C68" s="1"/>
      <c r="D68" s="1"/>
      <c r="E68" s="1"/>
      <c r="F68" s="1"/>
      <c r="G68" s="1"/>
      <c r="H68" s="1"/>
      <c r="I68" s="1"/>
      <c r="J68" s="1"/>
      <c r="K68" s="1"/>
      <c r="L68" s="1"/>
    </row>
    <row r="69" spans="1:14">
      <c r="A69" s="3"/>
      <c r="B69" s="3"/>
      <c r="C69" s="3"/>
      <c r="D69" s="3"/>
      <c r="E69" s="3"/>
      <c r="F69" s="3"/>
      <c r="G69" s="3"/>
      <c r="H69" s="3"/>
      <c r="I69" s="3"/>
      <c r="J69" s="3"/>
      <c r="K69" s="3"/>
      <c r="L69" s="3"/>
    </row>
    <row r="70" spans="1:14">
      <c r="A70" s="3" t="s">
        <v>20</v>
      </c>
      <c r="B70" s="3"/>
      <c r="C70" s="3"/>
      <c r="D70" s="3"/>
      <c r="E70" s="3"/>
      <c r="F70" s="3"/>
      <c r="G70" s="3"/>
      <c r="H70" s="3"/>
      <c r="I70" s="3"/>
      <c r="J70" s="3"/>
      <c r="K70" s="3"/>
      <c r="L70" s="3"/>
    </row>
    <row r="71" spans="1:14">
      <c r="A71" s="3"/>
      <c r="B71" s="3"/>
      <c r="C71" s="3"/>
      <c r="D71" s="3"/>
      <c r="E71" s="3"/>
      <c r="F71" s="3"/>
      <c r="G71" s="3"/>
      <c r="H71" s="3"/>
      <c r="I71" s="3"/>
      <c r="J71" s="3"/>
      <c r="K71" s="3"/>
      <c r="L71" s="3"/>
    </row>
    <row r="72" spans="1:14" ht="46.8">
      <c r="A72" s="93" t="s">
        <v>642</v>
      </c>
      <c r="B72" s="36" t="s">
        <v>648</v>
      </c>
      <c r="C72" s="36" t="s">
        <v>649</v>
      </c>
      <c r="D72" s="36" t="s">
        <v>650</v>
      </c>
      <c r="E72" s="36" t="s">
        <v>651</v>
      </c>
      <c r="F72" s="36" t="s">
        <v>138</v>
      </c>
      <c r="G72" s="3"/>
      <c r="H72" s="3"/>
      <c r="I72" s="3"/>
      <c r="J72" s="3"/>
      <c r="K72" s="3"/>
      <c r="L72" s="3"/>
    </row>
    <row r="73" spans="1:14">
      <c r="A73" s="268">
        <v>2011</v>
      </c>
      <c r="B73" s="37">
        <f>B56*C6</f>
        <v>6099958.9298949996</v>
      </c>
      <c r="C73" s="296">
        <f>1/E6</f>
        <v>0.96525096525096521</v>
      </c>
      <c r="D73" s="37">
        <f>B73*C73</f>
        <v>5887991.2450723927</v>
      </c>
      <c r="E73" s="37">
        <f>C56*D6</f>
        <v>3944320</v>
      </c>
      <c r="F73" s="37">
        <f>$E$84*B73/C56</f>
        <v>4918178.9269017568</v>
      </c>
    </row>
    <row r="74" spans="1:14">
      <c r="A74" s="268">
        <v>2012</v>
      </c>
      <c r="B74" s="37">
        <f t="shared" ref="B74:B82" si="7">B57*C7</f>
        <v>5559713.5261299992</v>
      </c>
      <c r="C74" s="296">
        <f t="shared" ref="C74:C82" si="8">1/E7</f>
        <v>0.92506938020351526</v>
      </c>
      <c r="D74" s="37">
        <f t="shared" ref="D74:D82" si="9">B74*C74</f>
        <v>5143120.7457261784</v>
      </c>
      <c r="E74" s="37">
        <f t="shared" ref="E74:E82" si="10">C57*D7</f>
        <v>3418400</v>
      </c>
      <c r="F74" s="37">
        <f t="shared" ref="F74:F82" si="11">$E$84*B74/C57</f>
        <v>4482598.3614112455</v>
      </c>
    </row>
    <row r="75" spans="1:14">
      <c r="A75" s="268">
        <v>2013</v>
      </c>
      <c r="B75" s="37">
        <f t="shared" si="7"/>
        <v>4989119.7614320377</v>
      </c>
      <c r="C75" s="296">
        <f t="shared" si="8"/>
        <v>0.86505190311418689</v>
      </c>
      <c r="D75" s="37">
        <f t="shared" si="9"/>
        <v>4315847.5444913823</v>
      </c>
      <c r="E75" s="37">
        <f t="shared" si="10"/>
        <v>2316800</v>
      </c>
      <c r="F75" s="37">
        <f t="shared" si="11"/>
        <v>4022548.9968809569</v>
      </c>
      <c r="M75" s="3"/>
      <c r="N75" s="3"/>
    </row>
    <row r="76" spans="1:14">
      <c r="A76" s="268">
        <v>2014</v>
      </c>
      <c r="B76" s="37">
        <f t="shared" si="7"/>
        <v>4795868.2769999998</v>
      </c>
      <c r="C76" s="296">
        <f t="shared" si="8"/>
        <v>0.78186082877247853</v>
      </c>
      <c r="D76" s="37">
        <f t="shared" si="9"/>
        <v>3749701.5457388586</v>
      </c>
      <c r="E76" s="37">
        <f t="shared" si="10"/>
        <v>2578140</v>
      </c>
      <c r="F76" s="37">
        <f t="shared" si="11"/>
        <v>3437099.7600644203</v>
      </c>
      <c r="M76" s="3"/>
      <c r="N76" s="3"/>
    </row>
    <row r="77" spans="1:14">
      <c r="A77" s="268">
        <v>2015</v>
      </c>
      <c r="B77" s="37">
        <f t="shared" si="7"/>
        <v>5099388.9399999995</v>
      </c>
      <c r="C77" s="296">
        <f t="shared" si="8"/>
        <v>0.702247191011236</v>
      </c>
      <c r="D77" s="37">
        <f t="shared" si="9"/>
        <v>3581031.558988764</v>
      </c>
      <c r="E77" s="37">
        <f t="shared" si="10"/>
        <v>2447000</v>
      </c>
      <c r="F77" s="37">
        <f t="shared" si="11"/>
        <v>3289164.0764165721</v>
      </c>
      <c r="M77" s="3"/>
      <c r="N77" s="3"/>
    </row>
    <row r="78" spans="1:14">
      <c r="A78" s="268">
        <v>2016</v>
      </c>
      <c r="B78" s="37">
        <f t="shared" si="7"/>
        <v>5387868.943287327</v>
      </c>
      <c r="C78" s="296">
        <f t="shared" si="8"/>
        <v>0.55463117027176934</v>
      </c>
      <c r="D78" s="37">
        <f t="shared" si="9"/>
        <v>2988280.0572863715</v>
      </c>
      <c r="E78" s="37">
        <f t="shared" si="10"/>
        <v>1780460</v>
      </c>
      <c r="F78" s="37">
        <f t="shared" si="11"/>
        <v>3475236.9715696163</v>
      </c>
    </row>
    <row r="79" spans="1:14">
      <c r="A79" s="268">
        <v>2017</v>
      </c>
      <c r="B79" s="37">
        <f t="shared" si="7"/>
        <v>5284375.189473683</v>
      </c>
      <c r="C79" s="296">
        <f t="shared" si="8"/>
        <v>0.39525691699604748</v>
      </c>
      <c r="D79" s="37">
        <f t="shared" si="9"/>
        <v>2088685.8456417723</v>
      </c>
      <c r="E79" s="37">
        <f t="shared" si="10"/>
        <v>1395000</v>
      </c>
      <c r="F79" s="37">
        <f t="shared" si="11"/>
        <v>3408482.3189666048</v>
      </c>
    </row>
    <row r="80" spans="1:14">
      <c r="A80" s="268">
        <v>2018</v>
      </c>
      <c r="B80" s="37">
        <f t="shared" si="7"/>
        <v>4890621.4499999993</v>
      </c>
      <c r="C80" s="296">
        <f t="shared" si="8"/>
        <v>0.26308866087871613</v>
      </c>
      <c r="D80" s="37">
        <f t="shared" si="9"/>
        <v>1286667.0481452248</v>
      </c>
      <c r="E80" s="37">
        <f t="shared" si="10"/>
        <v>829600</v>
      </c>
      <c r="F80" s="37">
        <f t="shared" si="11"/>
        <v>3154506.6622614446</v>
      </c>
    </row>
    <row r="81" spans="1:6">
      <c r="A81" s="268">
        <v>2019</v>
      </c>
      <c r="B81" s="37">
        <f t="shared" si="7"/>
        <v>4677534.1999999993</v>
      </c>
      <c r="C81" s="296">
        <f t="shared" si="8"/>
        <v>0.13668671405139421</v>
      </c>
      <c r="D81" s="37">
        <f t="shared" si="9"/>
        <v>639356.77966101689</v>
      </c>
      <c r="E81" s="37">
        <f t="shared" si="10"/>
        <v>396900</v>
      </c>
      <c r="F81" s="37">
        <f t="shared" si="11"/>
        <v>3017062.9535957556</v>
      </c>
    </row>
    <row r="82" spans="1:6">
      <c r="A82" s="271">
        <v>2020</v>
      </c>
      <c r="B82" s="38">
        <f t="shared" si="7"/>
        <v>4919527</v>
      </c>
      <c r="C82" s="298">
        <f t="shared" si="8"/>
        <v>4.5110068567304221E-2</v>
      </c>
      <c r="D82" s="38">
        <f t="shared" si="9"/>
        <v>221920.20028870442</v>
      </c>
      <c r="E82" s="38">
        <f t="shared" si="10"/>
        <v>180900</v>
      </c>
      <c r="F82" s="38">
        <f t="shared" si="11"/>
        <v>3173151.071971653</v>
      </c>
    </row>
    <row r="83" spans="1:6">
      <c r="A83" s="34" t="s">
        <v>132</v>
      </c>
      <c r="B83" s="37"/>
      <c r="C83" s="300"/>
      <c r="D83" s="37">
        <f t="shared" ref="D83:F83" si="12">SUM(D73:D82)</f>
        <v>29902602.571040668</v>
      </c>
      <c r="E83" s="37">
        <f t="shared" si="12"/>
        <v>19287520</v>
      </c>
      <c r="F83" s="37">
        <f t="shared" si="12"/>
        <v>36378030.100040026</v>
      </c>
    </row>
    <row r="84" spans="1:6">
      <c r="D84" s="151" t="s">
        <v>211</v>
      </c>
      <c r="E84" s="296">
        <f>E83/D83</f>
        <v>0.64501141511605753</v>
      </c>
    </row>
    <row r="86" spans="1:6" ht="31.2">
      <c r="A86" s="93" t="s">
        <v>642</v>
      </c>
      <c r="B86" s="36" t="s">
        <v>652</v>
      </c>
      <c r="C86" s="36" t="s">
        <v>653</v>
      </c>
      <c r="D86" s="36" t="s">
        <v>646</v>
      </c>
    </row>
    <row r="87" spans="1:6">
      <c r="A87" s="268">
        <v>2011</v>
      </c>
      <c r="B87" s="296">
        <f>1-C73</f>
        <v>3.4749034749034791E-2</v>
      </c>
      <c r="C87" s="37">
        <f>B87*F73</f>
        <v>170901.97043287978</v>
      </c>
      <c r="D87" s="37">
        <f>C87+D6</f>
        <v>5101301.9704328794</v>
      </c>
    </row>
    <row r="88" spans="1:6">
      <c r="A88" s="268">
        <v>2012</v>
      </c>
      <c r="B88" s="296">
        <f t="shared" ref="B88:B96" si="13">1-C74</f>
        <v>7.4930619796484743E-2</v>
      </c>
      <c r="C88" s="37">
        <f t="shared" ref="C88:C96" si="14">B88*F74</f>
        <v>335883.87351925153</v>
      </c>
      <c r="D88" s="37">
        <f t="shared" ref="D88:D96" si="15">C88+D7</f>
        <v>4608883.8735192511</v>
      </c>
    </row>
    <row r="89" spans="1:6">
      <c r="A89" s="268">
        <v>2013</v>
      </c>
      <c r="B89" s="296">
        <f t="shared" si="13"/>
        <v>0.13494809688581311</v>
      </c>
      <c r="C89" s="37">
        <f t="shared" si="14"/>
        <v>542835.33175902173</v>
      </c>
      <c r="D89" s="37">
        <f t="shared" si="15"/>
        <v>3438835.3317590216</v>
      </c>
    </row>
    <row r="90" spans="1:6">
      <c r="A90" s="268">
        <v>2014</v>
      </c>
      <c r="B90" s="296">
        <f t="shared" si="13"/>
        <v>0.21813917122752147</v>
      </c>
      <c r="C90" s="37">
        <f t="shared" si="14"/>
        <v>749766.0930867655</v>
      </c>
      <c r="D90" s="37">
        <f t="shared" si="15"/>
        <v>3614366.0930867656</v>
      </c>
    </row>
    <row r="91" spans="1:6">
      <c r="A91" s="268">
        <v>2015</v>
      </c>
      <c r="B91" s="296">
        <f t="shared" si="13"/>
        <v>0.297752808988764</v>
      </c>
      <c r="C91" s="37">
        <f t="shared" si="14"/>
        <v>979357.84297796793</v>
      </c>
      <c r="D91" s="37">
        <f t="shared" si="15"/>
        <v>3426357.842977968</v>
      </c>
    </row>
    <row r="92" spans="1:6">
      <c r="A92" s="268">
        <v>2016</v>
      </c>
      <c r="B92" s="296">
        <f t="shared" si="13"/>
        <v>0.44536882972823066</v>
      </c>
      <c r="C92" s="37">
        <f t="shared" si="14"/>
        <v>1547762.2230562405</v>
      </c>
      <c r="D92" s="37">
        <f t="shared" si="15"/>
        <v>3328222.2230562405</v>
      </c>
    </row>
    <row r="93" spans="1:6">
      <c r="A93" s="268">
        <v>2017</v>
      </c>
      <c r="B93" s="296">
        <f t="shared" si="13"/>
        <v>0.60474308300395252</v>
      </c>
      <c r="C93" s="37">
        <f t="shared" si="14"/>
        <v>2061256.1059363261</v>
      </c>
      <c r="D93" s="37">
        <f t="shared" si="15"/>
        <v>3456256.1059363261</v>
      </c>
    </row>
    <row r="94" spans="1:6">
      <c r="A94" s="268">
        <v>2018</v>
      </c>
      <c r="B94" s="296">
        <f t="shared" si="13"/>
        <v>0.73691133912128381</v>
      </c>
      <c r="C94" s="37">
        <f t="shared" si="14"/>
        <v>2324591.7287540925</v>
      </c>
      <c r="D94" s="37">
        <f t="shared" si="15"/>
        <v>3154191.7287540925</v>
      </c>
    </row>
    <row r="95" spans="1:6">
      <c r="A95" s="268">
        <v>2019</v>
      </c>
      <c r="B95" s="296">
        <f t="shared" si="13"/>
        <v>0.86331328594860579</v>
      </c>
      <c r="C95" s="37">
        <f t="shared" si="14"/>
        <v>2604670.5323825576</v>
      </c>
      <c r="D95" s="37">
        <f t="shared" si="15"/>
        <v>3001570.5323825576</v>
      </c>
    </row>
    <row r="96" spans="1:6">
      <c r="A96" s="271">
        <v>2020</v>
      </c>
      <c r="B96" s="298">
        <f t="shared" si="13"/>
        <v>0.95488993143269574</v>
      </c>
      <c r="C96" s="38">
        <f t="shared" si="14"/>
        <v>3030010.0095405965</v>
      </c>
      <c r="D96" s="38">
        <f t="shared" si="15"/>
        <v>3210910.0095405965</v>
      </c>
    </row>
    <row r="97" spans="1:4">
      <c r="A97" s="34" t="s">
        <v>132</v>
      </c>
      <c r="B97" s="300"/>
      <c r="C97" s="37">
        <f>SUM(C87:C96)</f>
        <v>14347035.7114457</v>
      </c>
      <c r="D97" s="37">
        <f>SUM(D87:D96)</f>
        <v>36340895.711445704</v>
      </c>
    </row>
  </sheetData>
  <mergeCells count="10">
    <mergeCell ref="T33:W33"/>
    <mergeCell ref="X33:AA33"/>
    <mergeCell ref="AB33:AE33"/>
    <mergeCell ref="D41:M41"/>
    <mergeCell ref="B17:C17"/>
    <mergeCell ref="G33:H33"/>
    <mergeCell ref="I33:J33"/>
    <mergeCell ref="K33:L33"/>
    <mergeCell ref="M33:O33"/>
    <mergeCell ref="P33:S33"/>
  </mergeCells>
  <hyperlinks>
    <hyperlink ref="O1" location="TOC!A1" display="Table of Contents" xr:uid="{98A9AC15-D7C8-41F3-89DC-522A90701EAA}"/>
  </hyperlinks>
  <pageMargins left="0.7" right="0.7" top="0.75" bottom="0.75" header="0.3" footer="0.3"/>
  <pageSetup scale="79" orientation="portrait"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B85B-7AE1-48DA-ABB9-A0C0EAA825F6}">
  <dimension ref="A1:R90"/>
  <sheetViews>
    <sheetView zoomScaleNormal="100" workbookViewId="0"/>
  </sheetViews>
  <sheetFormatPr defaultRowHeight="15.6"/>
  <cols>
    <col min="1" max="1" width="8.88671875" style="2" customWidth="1"/>
    <col min="2" max="12" width="12.77734375" style="2" customWidth="1"/>
    <col min="13" max="15" width="14.77734375" style="2" customWidth="1"/>
    <col min="16" max="17" width="12.77734375" style="2" customWidth="1"/>
    <col min="18" max="16384" width="8.88671875" style="2"/>
  </cols>
  <sheetData>
    <row r="1" spans="1:15" ht="17.399999999999999">
      <c r="A1" s="13" t="s">
        <v>743</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654</v>
      </c>
      <c r="B3" s="1"/>
      <c r="C3" s="1"/>
      <c r="D3" s="1"/>
      <c r="E3" s="1"/>
      <c r="F3" s="1"/>
      <c r="G3" s="1"/>
      <c r="H3" s="1"/>
      <c r="I3" s="1"/>
      <c r="J3" s="1"/>
      <c r="K3" s="1"/>
      <c r="L3" s="14"/>
    </row>
    <row r="4" spans="1:15">
      <c r="A4" s="43"/>
      <c r="B4" s="1"/>
      <c r="C4" s="1"/>
      <c r="D4" s="1"/>
      <c r="E4" s="1"/>
      <c r="F4" s="1"/>
      <c r="G4" s="1"/>
      <c r="H4" s="1"/>
      <c r="I4" s="1"/>
      <c r="J4" s="1"/>
      <c r="K4" s="1"/>
      <c r="L4" s="1"/>
    </row>
    <row r="5" spans="1:15">
      <c r="A5" s="1" t="s">
        <v>575</v>
      </c>
      <c r="B5" s="1"/>
      <c r="C5" s="1"/>
      <c r="D5" s="1"/>
      <c r="E5" s="1"/>
      <c r="F5" s="1"/>
      <c r="G5" s="1"/>
      <c r="H5" s="1"/>
      <c r="I5" s="1"/>
      <c r="J5" s="1"/>
      <c r="K5" s="1"/>
      <c r="L5" s="1"/>
    </row>
    <row r="6" spans="1:15">
      <c r="A6" s="43"/>
      <c r="B6" s="1"/>
      <c r="C6" s="1"/>
      <c r="D6" s="1"/>
      <c r="E6" s="1"/>
      <c r="F6" s="1"/>
      <c r="G6" s="1"/>
      <c r="H6" s="1"/>
      <c r="I6" s="1"/>
      <c r="J6" s="1"/>
      <c r="K6" s="1"/>
      <c r="L6" s="1"/>
    </row>
    <row r="7" spans="1:15" ht="15.6" customHeight="1">
      <c r="A7" s="43"/>
      <c r="B7" s="829" t="s">
        <v>49</v>
      </c>
      <c r="C7" s="845" t="s">
        <v>655</v>
      </c>
      <c r="D7" s="878"/>
      <c r="E7" s="879"/>
      <c r="F7" s="1"/>
      <c r="G7" s="1"/>
      <c r="H7" s="1"/>
      <c r="I7" s="1"/>
      <c r="J7" s="1"/>
      <c r="K7" s="1"/>
      <c r="L7" s="1"/>
    </row>
    <row r="8" spans="1:15">
      <c r="A8" s="43"/>
      <c r="B8" s="829"/>
      <c r="C8" s="880" t="s">
        <v>656</v>
      </c>
      <c r="D8" s="881"/>
      <c r="E8" s="882"/>
      <c r="F8" s="1"/>
      <c r="G8" s="1"/>
      <c r="H8" s="1"/>
      <c r="I8" s="1"/>
      <c r="J8" s="1"/>
      <c r="K8" s="1"/>
      <c r="L8" s="1"/>
    </row>
    <row r="9" spans="1:15">
      <c r="A9" s="1"/>
      <c r="B9" s="829"/>
      <c r="C9" s="196">
        <v>250000</v>
      </c>
      <c r="D9" s="196">
        <v>500000</v>
      </c>
      <c r="E9" s="5" t="s">
        <v>657</v>
      </c>
      <c r="F9" s="1"/>
      <c r="G9" s="1"/>
      <c r="H9" s="1"/>
      <c r="I9" s="1"/>
      <c r="J9" s="1"/>
      <c r="K9" s="1"/>
      <c r="L9" s="1"/>
    </row>
    <row r="10" spans="1:15">
      <c r="A10" s="1"/>
      <c r="B10" s="6">
        <v>2013</v>
      </c>
      <c r="C10" s="92">
        <v>3990</v>
      </c>
      <c r="D10" s="92">
        <v>4560</v>
      </c>
      <c r="E10" s="7">
        <v>4560</v>
      </c>
      <c r="F10" s="1"/>
      <c r="G10" s="1"/>
      <c r="H10" s="1"/>
      <c r="I10" s="1"/>
      <c r="J10" s="1"/>
      <c r="K10" s="1"/>
      <c r="L10" s="1"/>
    </row>
    <row r="11" spans="1:15">
      <c r="A11" s="43"/>
      <c r="B11" s="32">
        <v>2014</v>
      </c>
      <c r="C11" s="92">
        <v>3988</v>
      </c>
      <c r="D11" s="92">
        <v>3988</v>
      </c>
      <c r="E11" s="7">
        <v>3988</v>
      </c>
      <c r="F11" s="1"/>
      <c r="G11" s="1"/>
      <c r="H11" s="1"/>
      <c r="I11" s="1"/>
      <c r="J11" s="1"/>
      <c r="K11" s="1"/>
      <c r="L11" s="1"/>
    </row>
    <row r="12" spans="1:15">
      <c r="A12" s="1"/>
      <c r="B12" s="32">
        <v>2015</v>
      </c>
      <c r="C12" s="92">
        <v>3846</v>
      </c>
      <c r="D12" s="92">
        <v>5198</v>
      </c>
      <c r="E12" s="7">
        <v>5370</v>
      </c>
      <c r="F12" s="1"/>
      <c r="G12" s="1"/>
      <c r="H12" s="1"/>
      <c r="I12" s="1"/>
      <c r="J12" s="1"/>
      <c r="K12" s="1"/>
      <c r="L12" s="1"/>
    </row>
    <row r="13" spans="1:15">
      <c r="A13" s="1"/>
      <c r="B13" s="32">
        <v>2016</v>
      </c>
      <c r="C13" s="92">
        <v>4301</v>
      </c>
      <c r="D13" s="92">
        <v>6367</v>
      </c>
      <c r="E13" s="7">
        <v>6829</v>
      </c>
      <c r="F13" s="1"/>
      <c r="G13" s="1"/>
      <c r="H13" s="1"/>
      <c r="I13" s="1"/>
      <c r="J13" s="1"/>
      <c r="K13" s="1"/>
      <c r="L13" s="1"/>
    </row>
    <row r="14" spans="1:15">
      <c r="A14" s="1"/>
      <c r="B14" s="32">
        <v>2017</v>
      </c>
      <c r="C14" s="92">
        <v>4545</v>
      </c>
      <c r="D14" s="92">
        <v>6489</v>
      </c>
      <c r="E14" s="7">
        <v>6489</v>
      </c>
      <c r="F14" s="1"/>
      <c r="G14" s="1"/>
      <c r="H14" s="1"/>
      <c r="I14" s="1"/>
      <c r="J14" s="1"/>
      <c r="K14" s="1"/>
      <c r="L14" s="1"/>
    </row>
    <row r="15" spans="1:15">
      <c r="A15" s="1"/>
      <c r="B15" s="32">
        <v>2018</v>
      </c>
      <c r="C15" s="92">
        <v>4256</v>
      </c>
      <c r="D15" s="92">
        <v>4256</v>
      </c>
      <c r="E15" s="7">
        <v>4256</v>
      </c>
      <c r="F15" s="1"/>
      <c r="G15" s="1"/>
      <c r="H15" s="1"/>
      <c r="I15" s="1"/>
      <c r="J15" s="1"/>
      <c r="K15" s="1"/>
      <c r="L15" s="1"/>
    </row>
    <row r="16" spans="1:15">
      <c r="A16" s="1"/>
      <c r="B16" s="32">
        <v>2019</v>
      </c>
      <c r="C16" s="92">
        <v>4840</v>
      </c>
      <c r="D16" s="92">
        <v>7164</v>
      </c>
      <c r="E16" s="7">
        <v>7779</v>
      </c>
      <c r="F16" s="1"/>
      <c r="G16" s="1"/>
      <c r="H16" s="1"/>
      <c r="I16" s="1"/>
      <c r="J16" s="1"/>
      <c r="K16" s="1"/>
      <c r="L16" s="1"/>
    </row>
    <row r="17" spans="1:12">
      <c r="A17" s="1"/>
      <c r="B17" s="32">
        <v>2020</v>
      </c>
      <c r="C17" s="92">
        <v>5038</v>
      </c>
      <c r="D17" s="92">
        <v>7349</v>
      </c>
      <c r="E17" s="7">
        <v>7349</v>
      </c>
      <c r="F17" s="1"/>
      <c r="G17" s="1"/>
      <c r="H17" s="1"/>
      <c r="I17" s="1"/>
      <c r="J17" s="1"/>
      <c r="K17" s="1"/>
      <c r="L17" s="1"/>
    </row>
    <row r="18" spans="1:12">
      <c r="A18" s="1"/>
      <c r="B18" s="1"/>
      <c r="C18" s="1"/>
      <c r="D18" s="1"/>
      <c r="E18" s="1"/>
      <c r="F18" s="1"/>
      <c r="G18" s="1"/>
      <c r="H18" s="1"/>
      <c r="I18" s="1"/>
      <c r="J18" s="1"/>
      <c r="K18" s="1"/>
      <c r="L18" s="1"/>
    </row>
    <row r="19" spans="1:12" ht="15.6" customHeight="1">
      <c r="A19" s="1"/>
      <c r="B19" s="1"/>
      <c r="C19" s="845" t="s">
        <v>658</v>
      </c>
      <c r="D19" s="878"/>
      <c r="E19" s="879"/>
      <c r="F19" s="1"/>
      <c r="G19" s="1"/>
      <c r="H19" s="1"/>
      <c r="I19" s="1"/>
      <c r="J19" s="1"/>
      <c r="K19" s="1"/>
      <c r="L19" s="1"/>
    </row>
    <row r="20" spans="1:12">
      <c r="A20" s="1"/>
      <c r="B20" s="1"/>
      <c r="C20" s="880" t="s">
        <v>656</v>
      </c>
      <c r="D20" s="881"/>
      <c r="E20" s="882"/>
      <c r="F20" s="1"/>
      <c r="G20" s="1"/>
      <c r="H20" s="1"/>
      <c r="I20" s="1"/>
      <c r="J20" s="1"/>
      <c r="K20" s="1"/>
      <c r="L20" s="1"/>
    </row>
    <row r="21" spans="1:12">
      <c r="A21" s="1"/>
      <c r="B21" s="1"/>
      <c r="C21" s="196">
        <v>250000</v>
      </c>
      <c r="D21" s="196">
        <v>500000</v>
      </c>
      <c r="E21" s="27" t="s">
        <v>657</v>
      </c>
      <c r="F21" s="1"/>
      <c r="G21" s="1"/>
      <c r="H21" s="1"/>
      <c r="I21" s="1"/>
      <c r="J21" s="1"/>
      <c r="K21" s="1"/>
      <c r="L21" s="1"/>
    </row>
    <row r="22" spans="1:12">
      <c r="A22" s="1"/>
      <c r="B22" s="1"/>
      <c r="C22" s="168">
        <v>4.4999999999999998E-2</v>
      </c>
      <c r="D22" s="168">
        <v>0.05</v>
      </c>
      <c r="E22" s="168">
        <v>5.7000000000000002E-2</v>
      </c>
      <c r="F22" s="1"/>
      <c r="G22" s="1"/>
      <c r="H22" s="1"/>
      <c r="I22" s="1"/>
      <c r="J22" s="1"/>
      <c r="K22" s="1"/>
      <c r="L22" s="1"/>
    </row>
    <row r="23" spans="1:12">
      <c r="A23" s="1"/>
      <c r="B23" s="1"/>
      <c r="C23" s="1"/>
      <c r="D23" s="1"/>
      <c r="E23" s="1"/>
      <c r="F23" s="1"/>
      <c r="G23" s="1"/>
      <c r="H23" s="1"/>
      <c r="I23" s="1"/>
      <c r="J23" s="1"/>
      <c r="K23" s="1"/>
      <c r="L23" s="1"/>
    </row>
    <row r="24" spans="1:12">
      <c r="A24" s="1"/>
      <c r="B24" s="17" t="s">
        <v>659</v>
      </c>
      <c r="C24" s="1"/>
      <c r="D24" s="1"/>
      <c r="E24" s="1"/>
      <c r="F24" s="1"/>
      <c r="G24" s="1"/>
      <c r="H24" s="1"/>
      <c r="I24" s="1"/>
      <c r="J24" s="1"/>
      <c r="K24" s="1"/>
      <c r="L24" s="1"/>
    </row>
    <row r="25" spans="1:12">
      <c r="A25" s="1"/>
      <c r="B25" s="17" t="s">
        <v>660</v>
      </c>
      <c r="C25" s="1"/>
      <c r="D25" s="1"/>
      <c r="E25" s="1"/>
      <c r="F25" s="1"/>
      <c r="G25" s="1"/>
      <c r="H25" s="1"/>
      <c r="I25" s="1"/>
      <c r="J25" s="1"/>
      <c r="K25" s="1"/>
      <c r="L25" s="1"/>
    </row>
    <row r="26" spans="1:12">
      <c r="A26" s="1"/>
      <c r="B26" s="1"/>
      <c r="C26" s="1"/>
      <c r="D26" s="1"/>
      <c r="E26" s="1"/>
      <c r="F26" s="1"/>
      <c r="G26" s="1"/>
      <c r="H26" s="1"/>
      <c r="I26" s="1"/>
      <c r="J26" s="1"/>
      <c r="K26" s="1"/>
      <c r="L26" s="1"/>
    </row>
    <row r="27" spans="1:12">
      <c r="A27" s="1" t="s">
        <v>661</v>
      </c>
      <c r="B27" s="1"/>
      <c r="C27" s="1"/>
      <c r="D27" s="1"/>
      <c r="E27" s="1"/>
      <c r="F27" s="1"/>
      <c r="G27" s="1"/>
      <c r="H27" s="1"/>
      <c r="I27" s="1"/>
      <c r="J27" s="1"/>
      <c r="K27" s="1"/>
      <c r="L27" s="1"/>
    </row>
    <row r="28" spans="1:12">
      <c r="A28" s="1"/>
      <c r="B28" s="1"/>
      <c r="C28" s="1"/>
      <c r="D28" s="1"/>
      <c r="E28" s="1"/>
      <c r="F28" s="1"/>
      <c r="G28" s="1"/>
      <c r="H28" s="1"/>
      <c r="I28" s="1"/>
      <c r="J28" s="1"/>
      <c r="K28" s="1"/>
      <c r="L28" s="1"/>
    </row>
    <row r="29" spans="1:12">
      <c r="A29" s="1"/>
      <c r="B29" s="829"/>
      <c r="C29" s="841" t="s">
        <v>662</v>
      </c>
      <c r="D29" s="841"/>
      <c r="E29" s="841"/>
      <c r="F29" s="1"/>
      <c r="G29" s="1"/>
      <c r="H29" s="1"/>
      <c r="I29" s="1"/>
      <c r="J29" s="1"/>
      <c r="K29" s="1"/>
      <c r="L29" s="1"/>
    </row>
    <row r="30" spans="1:12" ht="31.2">
      <c r="A30" s="1"/>
      <c r="B30" s="829"/>
      <c r="C30" s="5" t="s">
        <v>663</v>
      </c>
      <c r="D30" s="5" t="s">
        <v>664</v>
      </c>
      <c r="E30" s="5" t="s">
        <v>665</v>
      </c>
      <c r="F30" s="1"/>
      <c r="G30" s="1"/>
      <c r="H30" s="1"/>
      <c r="I30" s="1"/>
      <c r="J30" s="1"/>
      <c r="K30" s="1"/>
      <c r="L30" s="1"/>
    </row>
    <row r="31" spans="1:12" ht="31.2">
      <c r="A31" s="1"/>
      <c r="B31" s="6" t="s">
        <v>666</v>
      </c>
      <c r="C31" s="32">
        <v>1.323</v>
      </c>
      <c r="D31" s="32">
        <v>1.4039999999999999</v>
      </c>
      <c r="E31" s="32">
        <v>1.0589999999999999</v>
      </c>
      <c r="F31" s="1"/>
      <c r="G31" s="1"/>
      <c r="H31" s="1"/>
      <c r="I31" s="1"/>
      <c r="J31" s="1"/>
      <c r="K31" s="1"/>
      <c r="L31" s="1"/>
    </row>
    <row r="32" spans="1:12">
      <c r="A32" s="1"/>
      <c r="B32" s="1"/>
      <c r="C32" s="1"/>
      <c r="D32" s="1"/>
      <c r="E32" s="1"/>
      <c r="F32" s="1"/>
      <c r="G32" s="1"/>
      <c r="H32" s="1"/>
      <c r="I32" s="1"/>
      <c r="J32" s="1"/>
      <c r="K32" s="1"/>
      <c r="L32" s="1"/>
    </row>
    <row r="34" spans="1:18">
      <c r="A34" s="17" t="s">
        <v>91</v>
      </c>
      <c r="B34" s="1" t="s">
        <v>667</v>
      </c>
      <c r="C34" s="1"/>
      <c r="D34" s="1"/>
      <c r="E34" s="1"/>
      <c r="F34" s="1"/>
      <c r="G34" s="1"/>
      <c r="H34" s="1"/>
      <c r="I34" s="1"/>
      <c r="J34" s="1"/>
      <c r="K34" s="1"/>
      <c r="L34" s="1"/>
      <c r="M34" s="9"/>
      <c r="N34" s="9"/>
      <c r="O34" s="9"/>
      <c r="P34" s="9"/>
      <c r="Q34" s="9"/>
      <c r="R34" s="9"/>
    </row>
    <row r="35" spans="1:18">
      <c r="A35" s="3"/>
      <c r="B35" s="3"/>
      <c r="C35" s="3"/>
      <c r="D35" s="3"/>
      <c r="E35" s="3"/>
      <c r="F35" s="3"/>
      <c r="G35" s="3"/>
      <c r="H35" s="3"/>
      <c r="I35" s="3"/>
      <c r="J35" s="3"/>
      <c r="K35" s="3"/>
      <c r="L35" s="3"/>
      <c r="M35" s="3"/>
    </row>
    <row r="36" spans="1:18">
      <c r="A36" s="3" t="s">
        <v>20</v>
      </c>
      <c r="B36" s="3"/>
      <c r="C36" s="3"/>
      <c r="D36" s="3"/>
      <c r="E36" s="3"/>
      <c r="F36" s="3"/>
      <c r="G36" s="3"/>
      <c r="H36" s="3"/>
      <c r="I36" s="3"/>
      <c r="J36" s="3"/>
      <c r="K36" s="3"/>
      <c r="L36" s="3"/>
      <c r="M36" s="3"/>
      <c r="N36" s="9"/>
    </row>
    <row r="37" spans="1:18">
      <c r="A37" s="3"/>
      <c r="B37" s="3"/>
      <c r="C37" s="3"/>
      <c r="D37" s="3"/>
      <c r="E37" s="3"/>
      <c r="F37" s="3"/>
      <c r="G37" s="3"/>
      <c r="H37" s="3"/>
      <c r="I37" s="3"/>
      <c r="J37" s="3"/>
      <c r="K37" s="3"/>
      <c r="L37" s="3"/>
      <c r="M37" s="3"/>
      <c r="N37" s="9"/>
    </row>
    <row r="38" spans="1:18">
      <c r="A38" s="3"/>
      <c r="B38" s="3" t="s">
        <v>668</v>
      </c>
      <c r="C38" s="3"/>
      <c r="D38" s="3"/>
      <c r="E38" s="301">
        <v>44958</v>
      </c>
      <c r="F38" s="100" t="s">
        <v>669</v>
      </c>
      <c r="G38" s="62"/>
      <c r="H38" s="62"/>
      <c r="I38" s="62"/>
      <c r="J38" s="3"/>
      <c r="K38" s="3"/>
      <c r="L38" s="3"/>
      <c r="M38" s="3"/>
      <c r="N38" s="9"/>
    </row>
    <row r="39" spans="1:18">
      <c r="B39" s="62"/>
    </row>
    <row r="40" spans="1:18" ht="15.6" customHeight="1">
      <c r="B40" s="842" t="s">
        <v>49</v>
      </c>
      <c r="C40" s="842" t="s">
        <v>670</v>
      </c>
      <c r="D40" s="844" t="s">
        <v>671</v>
      </c>
      <c r="E40" s="844"/>
      <c r="F40" s="844"/>
      <c r="G40" s="844" t="s">
        <v>672</v>
      </c>
      <c r="H40" s="844"/>
      <c r="I40" s="844"/>
      <c r="J40" s="844" t="s">
        <v>673</v>
      </c>
      <c r="K40" s="844"/>
      <c r="L40" s="844"/>
    </row>
    <row r="41" spans="1:18" ht="31.2">
      <c r="B41" s="843"/>
      <c r="C41" s="843"/>
      <c r="D41" s="128">
        <f>C22</f>
        <v>4.4999999999999998E-2</v>
      </c>
      <c r="E41" s="128">
        <f>D22</f>
        <v>0.05</v>
      </c>
      <c r="F41" s="128">
        <f>E22</f>
        <v>5.7000000000000002E-2</v>
      </c>
      <c r="G41" s="110">
        <v>250000</v>
      </c>
      <c r="H41" s="110">
        <v>500000</v>
      </c>
      <c r="I41" s="110" t="s">
        <v>657</v>
      </c>
      <c r="J41" s="302" t="s">
        <v>663</v>
      </c>
      <c r="K41" s="302" t="s">
        <v>664</v>
      </c>
      <c r="L41" s="302" t="s">
        <v>665</v>
      </c>
    </row>
    <row r="42" spans="1:18">
      <c r="B42" s="268">
        <v>2013</v>
      </c>
      <c r="C42" s="303">
        <f t="shared" ref="C42:C49" si="0">((12*YEAR($E$38)+MONTH($E$38))-(12*B42+7))</f>
        <v>115</v>
      </c>
      <c r="D42" s="304">
        <f t="shared" ref="D42:F49" si="1">(1+D$41)^($C42/12)</f>
        <v>1.5247469856479456</v>
      </c>
      <c r="E42" s="304">
        <f t="shared" si="1"/>
        <v>1.5961147686497059</v>
      </c>
      <c r="F42" s="304">
        <f t="shared" si="1"/>
        <v>1.7010560674669157</v>
      </c>
      <c r="G42" s="305">
        <f t="shared" ref="G42:I49" si="2">C10*D42</f>
        <v>6083.7404727353032</v>
      </c>
      <c r="H42" s="305">
        <f t="shared" si="2"/>
        <v>7278.2833450426588</v>
      </c>
      <c r="I42" s="305">
        <f t="shared" si="2"/>
        <v>7756.8156676491353</v>
      </c>
      <c r="J42" s="306">
        <f t="shared" ref="J42:J49" si="3">H42/G42</f>
        <v>1.1963500707600498</v>
      </c>
      <c r="K42" s="306">
        <f t="shared" ref="K42:K49" si="4">I42/G42</f>
        <v>1.2750076539937614</v>
      </c>
      <c r="L42" s="306">
        <f t="shared" ref="L42:L49" si="5">I42/H42</f>
        <v>1.0657479655463553</v>
      </c>
    </row>
    <row r="43" spans="1:18">
      <c r="B43" s="268">
        <v>2014</v>
      </c>
      <c r="C43" s="303">
        <f t="shared" si="0"/>
        <v>103</v>
      </c>
      <c r="D43" s="304">
        <f t="shared" si="1"/>
        <v>1.4590880245434887</v>
      </c>
      <c r="E43" s="304">
        <f t="shared" si="1"/>
        <v>1.5201093034759103</v>
      </c>
      <c r="F43" s="304">
        <f t="shared" si="1"/>
        <v>1.6093245671399394</v>
      </c>
      <c r="G43" s="305">
        <f t="shared" si="2"/>
        <v>5818.8430418794333</v>
      </c>
      <c r="H43" s="305">
        <f t="shared" si="2"/>
        <v>6062.1959022619303</v>
      </c>
      <c r="I43" s="305">
        <f t="shared" si="2"/>
        <v>6417.9863737540782</v>
      </c>
      <c r="J43" s="306">
        <f t="shared" si="3"/>
        <v>1.0418215199535432</v>
      </c>
      <c r="K43" s="306">
        <f t="shared" si="4"/>
        <v>1.1029660582975833</v>
      </c>
      <c r="L43" s="306">
        <f t="shared" si="5"/>
        <v>1.058690031999691</v>
      </c>
    </row>
    <row r="44" spans="1:18">
      <c r="B44" s="268">
        <v>2015</v>
      </c>
      <c r="C44" s="303">
        <f t="shared" si="0"/>
        <v>91</v>
      </c>
      <c r="D44" s="304">
        <f t="shared" si="1"/>
        <v>1.3962564828167356</v>
      </c>
      <c r="E44" s="304">
        <f t="shared" si="1"/>
        <v>1.4477231461675335</v>
      </c>
      <c r="F44" s="304">
        <f t="shared" si="1"/>
        <v>1.5225397986186751</v>
      </c>
      <c r="G44" s="305">
        <f t="shared" si="2"/>
        <v>5370.0024329131656</v>
      </c>
      <c r="H44" s="305">
        <f t="shared" si="2"/>
        <v>7525.2649137788394</v>
      </c>
      <c r="I44" s="305">
        <f t="shared" si="2"/>
        <v>8176.0387185822847</v>
      </c>
      <c r="J44" s="306">
        <f t="shared" si="3"/>
        <v>1.4013522354582004</v>
      </c>
      <c r="K44" s="306">
        <f t="shared" si="4"/>
        <v>1.5225391088225031</v>
      </c>
      <c r="L44" s="306">
        <f t="shared" si="5"/>
        <v>1.0864785243123962</v>
      </c>
    </row>
    <row r="45" spans="1:18">
      <c r="B45" s="268">
        <v>2016</v>
      </c>
      <c r="C45" s="303">
        <f t="shared" si="0"/>
        <v>79</v>
      </c>
      <c r="D45" s="304">
        <f t="shared" si="1"/>
        <v>1.3361306055662543</v>
      </c>
      <c r="E45" s="304">
        <f t="shared" si="1"/>
        <v>1.3787839487309843</v>
      </c>
      <c r="F45" s="304">
        <f t="shared" si="1"/>
        <v>1.4404350034235336</v>
      </c>
      <c r="G45" s="305">
        <f t="shared" si="2"/>
        <v>5746.6977345404594</v>
      </c>
      <c r="H45" s="305">
        <f t="shared" si="2"/>
        <v>8778.7174015701767</v>
      </c>
      <c r="I45" s="305">
        <f t="shared" si="2"/>
        <v>9836.7306383793111</v>
      </c>
      <c r="J45" s="306">
        <f t="shared" si="3"/>
        <v>1.5276107787618267</v>
      </c>
      <c r="K45" s="306">
        <f t="shared" si="4"/>
        <v>1.7117188153564711</v>
      </c>
      <c r="L45" s="306">
        <f t="shared" si="5"/>
        <v>1.1205202523799087</v>
      </c>
    </row>
    <row r="46" spans="1:18">
      <c r="B46" s="268">
        <v>2017</v>
      </c>
      <c r="C46" s="303">
        <f t="shared" si="0"/>
        <v>67</v>
      </c>
      <c r="D46" s="304">
        <f t="shared" si="1"/>
        <v>1.2785938809246453</v>
      </c>
      <c r="E46" s="304">
        <f t="shared" si="1"/>
        <v>1.3131275702199849</v>
      </c>
      <c r="F46" s="304">
        <f t="shared" si="1"/>
        <v>1.3627578083477141</v>
      </c>
      <c r="G46" s="305">
        <f t="shared" si="2"/>
        <v>5811.2091888025134</v>
      </c>
      <c r="H46" s="305">
        <f t="shared" si="2"/>
        <v>8520.8848031574817</v>
      </c>
      <c r="I46" s="305">
        <f t="shared" si="2"/>
        <v>8842.9354183683172</v>
      </c>
      <c r="J46" s="306">
        <f t="shared" si="3"/>
        <v>1.4662843009637616</v>
      </c>
      <c r="K46" s="306">
        <f t="shared" si="4"/>
        <v>1.5217031655662248</v>
      </c>
      <c r="L46" s="306">
        <f t="shared" si="5"/>
        <v>1.0377954429206104</v>
      </c>
    </row>
    <row r="47" spans="1:18">
      <c r="B47" s="268">
        <v>2018</v>
      </c>
      <c r="C47" s="303">
        <f t="shared" si="0"/>
        <v>55</v>
      </c>
      <c r="D47" s="304">
        <f t="shared" si="1"/>
        <v>1.2235348142819573</v>
      </c>
      <c r="E47" s="304">
        <f t="shared" si="1"/>
        <v>1.2505976859237951</v>
      </c>
      <c r="F47" s="304">
        <f t="shared" si="1"/>
        <v>1.2892694497140151</v>
      </c>
      <c r="G47" s="305">
        <f t="shared" si="2"/>
        <v>5207.3641695840106</v>
      </c>
      <c r="H47" s="305">
        <f t="shared" si="2"/>
        <v>5322.5437512916715</v>
      </c>
      <c r="I47" s="305">
        <f t="shared" si="2"/>
        <v>5487.1307779828485</v>
      </c>
      <c r="J47" s="306">
        <f t="shared" si="3"/>
        <v>1.0221185955037329</v>
      </c>
      <c r="K47" s="306">
        <f t="shared" si="4"/>
        <v>1.0537251859650882</v>
      </c>
      <c r="L47" s="306">
        <f t="shared" si="5"/>
        <v>1.030922625417825</v>
      </c>
    </row>
    <row r="48" spans="1:18">
      <c r="B48" s="268">
        <v>2019</v>
      </c>
      <c r="C48" s="303">
        <f t="shared" si="0"/>
        <v>43</v>
      </c>
      <c r="D48" s="304">
        <f t="shared" si="1"/>
        <v>1.1708467122315382</v>
      </c>
      <c r="E48" s="304">
        <f t="shared" si="1"/>
        <v>1.1910454151655192</v>
      </c>
      <c r="F48" s="304">
        <f t="shared" si="1"/>
        <v>1.2197440394645367</v>
      </c>
      <c r="G48" s="305">
        <f t="shared" si="2"/>
        <v>5666.898087200645</v>
      </c>
      <c r="H48" s="305">
        <f t="shared" si="2"/>
        <v>8532.6493542457793</v>
      </c>
      <c r="I48" s="305">
        <f t="shared" si="2"/>
        <v>9488.3888829946318</v>
      </c>
      <c r="J48" s="306">
        <f t="shared" si="3"/>
        <v>1.5057001595842654</v>
      </c>
      <c r="K48" s="306">
        <f t="shared" si="4"/>
        <v>1.6743531888151073</v>
      </c>
      <c r="L48" s="306">
        <f t="shared" si="5"/>
        <v>1.112009704028595</v>
      </c>
    </row>
    <row r="49" spans="1:14">
      <c r="B49" s="271">
        <v>2020</v>
      </c>
      <c r="C49" s="307">
        <f t="shared" si="0"/>
        <v>31</v>
      </c>
      <c r="D49" s="308">
        <f t="shared" si="1"/>
        <v>1.120427475819654</v>
      </c>
      <c r="E49" s="308">
        <f t="shared" si="1"/>
        <v>1.134328966824304</v>
      </c>
      <c r="F49" s="308">
        <f t="shared" si="1"/>
        <v>1.1539678708273764</v>
      </c>
      <c r="G49" s="309">
        <f t="shared" si="2"/>
        <v>5644.7136231794166</v>
      </c>
      <c r="H49" s="309">
        <f t="shared" si="2"/>
        <v>8336.1835771918104</v>
      </c>
      <c r="I49" s="309">
        <f t="shared" si="2"/>
        <v>8480.5098827103884</v>
      </c>
      <c r="J49" s="310">
        <f t="shared" si="3"/>
        <v>1.4768124892926646</v>
      </c>
      <c r="K49" s="310">
        <f t="shared" si="4"/>
        <v>1.5023808910138641</v>
      </c>
      <c r="L49" s="310">
        <f t="shared" si="5"/>
        <v>1.0173132350292118</v>
      </c>
    </row>
    <row r="50" spans="1:14">
      <c r="B50" s="268"/>
      <c r="C50" s="303"/>
      <c r="D50" s="304"/>
      <c r="E50" s="304"/>
      <c r="F50" s="304"/>
      <c r="G50" s="305"/>
      <c r="H50" s="305"/>
      <c r="I50" s="94" t="s">
        <v>175</v>
      </c>
      <c r="J50" s="311">
        <f>AVERAGE(J42:J49)</f>
        <v>1.3297562687847555</v>
      </c>
      <c r="K50" s="311">
        <f>AVERAGE(K42:K49)</f>
        <v>1.4205492584788255</v>
      </c>
      <c r="L50" s="311">
        <f>AVERAGE(L42:L49)</f>
        <v>1.0661847227043242</v>
      </c>
    </row>
    <row r="51" spans="1:14">
      <c r="C51" s="18"/>
      <c r="D51" s="18"/>
      <c r="E51" s="18"/>
    </row>
    <row r="52" spans="1:14">
      <c r="B52" s="2" t="s">
        <v>674</v>
      </c>
    </row>
    <row r="53" spans="1:14">
      <c r="M53" s="9"/>
      <c r="N53" s="9"/>
    </row>
    <row r="54" spans="1:14">
      <c r="A54" s="14"/>
      <c r="B54" s="14"/>
      <c r="C54" s="14"/>
      <c r="D54" s="14"/>
      <c r="E54" s="14"/>
      <c r="F54" s="14"/>
      <c r="G54" s="14"/>
      <c r="H54" s="14"/>
      <c r="I54" s="14"/>
      <c r="J54" s="14"/>
      <c r="K54" s="14"/>
      <c r="L54" s="14"/>
      <c r="M54" s="9"/>
      <c r="N54" s="9"/>
    </row>
    <row r="55" spans="1:14">
      <c r="A55" s="831" t="s">
        <v>675</v>
      </c>
      <c r="B55" s="832"/>
      <c r="C55" s="832"/>
      <c r="D55" s="832"/>
      <c r="E55" s="832"/>
      <c r="F55" s="832"/>
      <c r="G55" s="832"/>
      <c r="H55" s="832"/>
      <c r="I55" s="832"/>
      <c r="J55" s="832"/>
      <c r="K55" s="832"/>
      <c r="L55" s="832"/>
      <c r="M55" s="9"/>
      <c r="N55" s="9"/>
    </row>
    <row r="56" spans="1:14">
      <c r="A56" s="832"/>
      <c r="B56" s="832"/>
      <c r="C56" s="832"/>
      <c r="D56" s="832"/>
      <c r="E56" s="832"/>
      <c r="F56" s="832"/>
      <c r="G56" s="832"/>
      <c r="H56" s="832"/>
      <c r="I56" s="832"/>
      <c r="J56" s="832"/>
      <c r="K56" s="832"/>
      <c r="L56" s="832"/>
      <c r="M56" s="9"/>
      <c r="N56" s="9"/>
    </row>
    <row r="57" spans="1:14">
      <c r="A57" s="14"/>
      <c r="B57" s="17" t="s">
        <v>676</v>
      </c>
      <c r="C57" s="14"/>
      <c r="D57" s="14"/>
      <c r="E57" s="14"/>
      <c r="F57" s="14"/>
      <c r="G57" s="14"/>
      <c r="H57" s="14"/>
      <c r="I57" s="14"/>
      <c r="J57" s="14"/>
      <c r="K57" s="14"/>
      <c r="L57" s="14"/>
      <c r="M57" s="9"/>
      <c r="N57" s="9"/>
    </row>
    <row r="58" spans="1:14">
      <c r="A58" s="14"/>
      <c r="B58" s="884" t="s">
        <v>677</v>
      </c>
      <c r="C58" s="832"/>
      <c r="D58" s="832"/>
      <c r="E58" s="832"/>
      <c r="F58" s="832"/>
      <c r="G58" s="832"/>
      <c r="H58" s="832"/>
      <c r="I58" s="832"/>
      <c r="J58" s="832"/>
      <c r="K58" s="832"/>
      <c r="L58" s="832"/>
      <c r="M58" s="9"/>
      <c r="N58" s="9"/>
    </row>
    <row r="59" spans="1:14">
      <c r="A59" s="14"/>
      <c r="B59" s="832"/>
      <c r="C59" s="832"/>
      <c r="D59" s="832"/>
      <c r="E59" s="832"/>
      <c r="F59" s="832"/>
      <c r="G59" s="832"/>
      <c r="H59" s="832"/>
      <c r="I59" s="832"/>
      <c r="J59" s="832"/>
      <c r="K59" s="832"/>
      <c r="L59" s="832"/>
      <c r="M59" s="9"/>
      <c r="N59" s="9"/>
    </row>
    <row r="60" spans="1:14">
      <c r="A60" s="14"/>
      <c r="B60" s="884" t="s">
        <v>678</v>
      </c>
      <c r="C60" s="832"/>
      <c r="D60" s="832"/>
      <c r="E60" s="832"/>
      <c r="F60" s="832"/>
      <c r="G60" s="832"/>
      <c r="H60" s="832"/>
      <c r="I60" s="832"/>
      <c r="J60" s="832"/>
      <c r="K60" s="832"/>
      <c r="L60" s="832"/>
      <c r="M60" s="9"/>
      <c r="N60" s="9"/>
    </row>
    <row r="61" spans="1:14">
      <c r="A61" s="14"/>
      <c r="B61" s="832"/>
      <c r="C61" s="832"/>
      <c r="D61" s="832"/>
      <c r="E61" s="832"/>
      <c r="F61" s="832"/>
      <c r="G61" s="832"/>
      <c r="H61" s="832"/>
      <c r="I61" s="832"/>
      <c r="J61" s="832"/>
      <c r="K61" s="832"/>
      <c r="L61" s="832"/>
      <c r="M61" s="9"/>
      <c r="N61" s="9"/>
    </row>
    <row r="62" spans="1:14">
      <c r="A62" s="14"/>
      <c r="B62" s="14"/>
      <c r="C62" s="14"/>
      <c r="D62" s="14"/>
      <c r="E62" s="14"/>
      <c r="F62" s="14"/>
      <c r="G62" s="14"/>
      <c r="H62" s="14"/>
      <c r="I62" s="14"/>
      <c r="J62" s="14"/>
      <c r="K62" s="14"/>
      <c r="L62" s="14"/>
      <c r="M62" s="9"/>
      <c r="N62" s="9"/>
    </row>
    <row r="64" spans="1:14">
      <c r="A64" s="17" t="s">
        <v>133</v>
      </c>
      <c r="B64" s="884" t="s">
        <v>679</v>
      </c>
      <c r="C64" s="840"/>
      <c r="D64" s="840"/>
      <c r="E64" s="840"/>
      <c r="F64" s="840"/>
      <c r="G64" s="840"/>
      <c r="H64" s="840"/>
      <c r="I64" s="840"/>
      <c r="J64" s="840"/>
      <c r="K64" s="840"/>
      <c r="L64" s="840"/>
    </row>
    <row r="65" spans="1:16">
      <c r="A65" s="17"/>
      <c r="B65" s="840"/>
      <c r="C65" s="840"/>
      <c r="D65" s="840"/>
      <c r="E65" s="840"/>
      <c r="F65" s="840"/>
      <c r="G65" s="840"/>
      <c r="H65" s="840"/>
      <c r="I65" s="840"/>
      <c r="J65" s="840"/>
      <c r="K65" s="840"/>
      <c r="L65" s="840"/>
    </row>
    <row r="66" spans="1:16">
      <c r="A66" s="17"/>
      <c r="B66" s="1"/>
      <c r="C66" s="1"/>
      <c r="D66" s="1"/>
      <c r="E66" s="1"/>
      <c r="F66" s="1"/>
      <c r="G66" s="1"/>
      <c r="H66" s="1"/>
      <c r="I66" s="1"/>
      <c r="J66" s="1"/>
      <c r="K66" s="1"/>
      <c r="L66" s="1"/>
    </row>
    <row r="67" spans="1:16">
      <c r="A67" s="17"/>
      <c r="B67" s="312" t="s">
        <v>73</v>
      </c>
      <c r="C67" s="251">
        <v>250000</v>
      </c>
      <c r="D67" s="1"/>
      <c r="E67" s="1"/>
      <c r="F67" s="1"/>
      <c r="G67" s="1"/>
      <c r="H67" s="1"/>
      <c r="I67" s="1"/>
      <c r="J67" s="1"/>
      <c r="K67" s="1"/>
      <c r="L67" s="1"/>
    </row>
    <row r="68" spans="1:16">
      <c r="A68" s="17"/>
      <c r="B68" s="312"/>
      <c r="C68" s="251"/>
      <c r="D68" s="1"/>
      <c r="E68" s="1"/>
      <c r="F68" s="1"/>
      <c r="G68" s="1"/>
      <c r="H68" s="1"/>
      <c r="I68" s="1"/>
      <c r="J68" s="1"/>
      <c r="K68" s="1"/>
      <c r="L68" s="1"/>
    </row>
    <row r="69" spans="1:16">
      <c r="A69" s="17"/>
      <c r="B69" s="312" t="s">
        <v>75</v>
      </c>
      <c r="C69" s="251">
        <v>500000</v>
      </c>
      <c r="D69" s="1"/>
      <c r="E69" s="1"/>
      <c r="F69" s="1"/>
      <c r="G69" s="1"/>
      <c r="H69" s="1"/>
      <c r="I69" s="1"/>
      <c r="J69" s="1"/>
      <c r="K69" s="1"/>
      <c r="L69" s="1"/>
    </row>
    <row r="70" spans="1:16">
      <c r="A70" s="14"/>
      <c r="B70" s="14"/>
      <c r="C70" s="14"/>
      <c r="D70" s="14"/>
      <c r="E70" s="14"/>
      <c r="F70" s="14"/>
      <c r="G70" s="1"/>
      <c r="H70" s="1"/>
      <c r="I70" s="1"/>
      <c r="J70" s="1"/>
      <c r="K70" s="1"/>
      <c r="L70" s="1"/>
    </row>
    <row r="71" spans="1:16">
      <c r="A71" s="3"/>
      <c r="B71" s="3"/>
      <c r="C71" s="3"/>
      <c r="D71" s="3"/>
      <c r="E71" s="3"/>
      <c r="F71" s="3"/>
      <c r="G71" s="3"/>
      <c r="H71" s="3"/>
      <c r="I71" s="3"/>
      <c r="J71" s="3"/>
      <c r="K71" s="3"/>
      <c r="L71" s="3"/>
    </row>
    <row r="72" spans="1:16">
      <c r="A72" s="3" t="s">
        <v>20</v>
      </c>
      <c r="B72" s="3"/>
      <c r="C72" s="3"/>
      <c r="D72" s="3"/>
      <c r="E72" s="3"/>
      <c r="F72" s="3"/>
      <c r="G72" s="3"/>
      <c r="H72" s="3"/>
      <c r="I72" s="3"/>
      <c r="J72" s="3"/>
      <c r="K72" s="313" t="s">
        <v>680</v>
      </c>
      <c r="L72" s="314"/>
      <c r="M72" s="314"/>
      <c r="N72" s="314"/>
      <c r="O72" s="314"/>
      <c r="P72" s="314"/>
    </row>
    <row r="73" spans="1:16">
      <c r="A73" s="3"/>
      <c r="B73" s="3"/>
      <c r="C73" s="3"/>
      <c r="D73" s="3"/>
      <c r="E73" s="3"/>
      <c r="F73" s="3"/>
      <c r="G73" s="3"/>
      <c r="H73" s="3"/>
      <c r="I73" s="3"/>
      <c r="J73" s="3"/>
      <c r="K73" s="314"/>
      <c r="L73" s="314"/>
      <c r="M73" s="314"/>
      <c r="N73" s="314"/>
      <c r="O73" s="314"/>
      <c r="P73" s="314"/>
    </row>
    <row r="74" spans="1:16">
      <c r="A74" s="3"/>
      <c r="B74" s="315"/>
      <c r="E74" s="885" t="s">
        <v>673</v>
      </c>
      <c r="F74" s="885"/>
      <c r="G74" s="885"/>
      <c r="H74" s="3"/>
      <c r="I74" s="3"/>
      <c r="J74" s="3"/>
      <c r="K74" s="316"/>
      <c r="L74" s="314"/>
      <c r="M74" s="314"/>
      <c r="N74" s="886" t="s">
        <v>673</v>
      </c>
      <c r="O74" s="886"/>
      <c r="P74" s="886"/>
    </row>
    <row r="75" spans="1:16" ht="31.2">
      <c r="A75" s="3"/>
      <c r="B75" s="318"/>
      <c r="C75" s="319"/>
      <c r="D75" s="319"/>
      <c r="E75" s="84" t="s">
        <v>663</v>
      </c>
      <c r="F75" s="84" t="s">
        <v>664</v>
      </c>
      <c r="G75" s="84" t="s">
        <v>665</v>
      </c>
      <c r="K75" s="320"/>
      <c r="L75" s="321"/>
      <c r="M75" s="321"/>
      <c r="N75" s="322" t="s">
        <v>663</v>
      </c>
      <c r="O75" s="322" t="s">
        <v>664</v>
      </c>
      <c r="P75" s="322" t="s">
        <v>665</v>
      </c>
    </row>
    <row r="76" spans="1:16">
      <c r="B76" s="323" t="s">
        <v>681</v>
      </c>
      <c r="E76" s="268">
        <v>1.323</v>
      </c>
      <c r="F76" s="268">
        <v>1.4039999999999999</v>
      </c>
      <c r="G76" s="268">
        <v>1.0589999999999999</v>
      </c>
      <c r="K76" s="324" t="s">
        <v>682</v>
      </c>
      <c r="L76" s="314"/>
      <c r="M76" s="314"/>
      <c r="N76" s="325">
        <f>J50</f>
        <v>1.3297562687847555</v>
      </c>
      <c r="O76" s="325">
        <f t="shared" ref="O76:P76" si="6">K50</f>
        <v>1.4205492584788255</v>
      </c>
      <c r="P76" s="325">
        <f t="shared" si="6"/>
        <v>1.0661847227043242</v>
      </c>
    </row>
    <row r="77" spans="1:16">
      <c r="B77" s="3" t="s">
        <v>683</v>
      </c>
      <c r="E77" s="311">
        <v>1.53</v>
      </c>
      <c r="F77" s="311"/>
      <c r="G77" s="311">
        <v>1.05</v>
      </c>
      <c r="K77" s="314" t="s">
        <v>683</v>
      </c>
      <c r="L77" s="314"/>
      <c r="M77" s="314"/>
      <c r="N77" s="326">
        <v>1.53</v>
      </c>
      <c r="O77" s="326"/>
      <c r="P77" s="326">
        <v>1.05</v>
      </c>
    </row>
    <row r="78" spans="1:16">
      <c r="B78" s="295" t="s">
        <v>684</v>
      </c>
      <c r="C78" s="319"/>
      <c r="D78" s="319"/>
      <c r="E78" s="140">
        <v>0.5</v>
      </c>
      <c r="F78" s="107"/>
      <c r="G78" s="140">
        <v>0.2</v>
      </c>
      <c r="K78" s="321" t="s">
        <v>684</v>
      </c>
      <c r="L78" s="321"/>
      <c r="M78" s="321"/>
      <c r="N78" s="327">
        <v>0.5</v>
      </c>
      <c r="O78" s="328"/>
      <c r="P78" s="327">
        <v>0.2</v>
      </c>
    </row>
    <row r="79" spans="1:16">
      <c r="B79" s="3" t="s">
        <v>685</v>
      </c>
      <c r="E79" s="126">
        <f>(E78*E76)+((1-E78)*E77)</f>
        <v>1.4264999999999999</v>
      </c>
      <c r="F79" s="126">
        <f>E79*G79</f>
        <v>1.5003926999999999</v>
      </c>
      <c r="G79" s="126">
        <f>(G78*G76)+((1-G78)*G77)</f>
        <v>1.0518000000000001</v>
      </c>
      <c r="K79" s="314" t="s">
        <v>685</v>
      </c>
      <c r="L79" s="314"/>
      <c r="M79" s="314"/>
      <c r="N79" s="329">
        <f>(N78*N76)+((1-N78)*N77)</f>
        <v>1.4298781343923777</v>
      </c>
      <c r="O79" s="329">
        <f>N79*P79</f>
        <v>1.5060004773332201</v>
      </c>
      <c r="P79" s="329">
        <f>(P78*P76)+((1-P78)*P77)</f>
        <v>1.0532369445408649</v>
      </c>
    </row>
    <row r="81" spans="1:17" ht="63.6" customHeight="1">
      <c r="B81" s="842" t="s">
        <v>49</v>
      </c>
      <c r="C81" s="842" t="s">
        <v>686</v>
      </c>
      <c r="D81" s="842"/>
      <c r="E81" s="842" t="s">
        <v>687</v>
      </c>
      <c r="F81" s="842"/>
      <c r="G81" s="842" t="s">
        <v>688</v>
      </c>
      <c r="H81" s="842"/>
      <c r="K81" s="883" t="s">
        <v>49</v>
      </c>
      <c r="L81" s="883" t="s">
        <v>686</v>
      </c>
      <c r="M81" s="883"/>
      <c r="N81" s="883" t="s">
        <v>687</v>
      </c>
      <c r="O81" s="883"/>
      <c r="P81" s="883" t="s">
        <v>688</v>
      </c>
      <c r="Q81" s="883"/>
    </row>
    <row r="82" spans="1:17" ht="31.2" customHeight="1">
      <c r="B82" s="843"/>
      <c r="C82" s="302" t="s">
        <v>664</v>
      </c>
      <c r="D82" s="302" t="s">
        <v>665</v>
      </c>
      <c r="E82" s="302" t="s">
        <v>664</v>
      </c>
      <c r="F82" s="302" t="s">
        <v>665</v>
      </c>
      <c r="G82" s="110">
        <v>250000</v>
      </c>
      <c r="H82" s="110">
        <v>500000</v>
      </c>
      <c r="K82" s="887"/>
      <c r="L82" s="330" t="s">
        <v>664</v>
      </c>
      <c r="M82" s="330" t="s">
        <v>665</v>
      </c>
      <c r="N82" s="330" t="s">
        <v>664</v>
      </c>
      <c r="O82" s="330" t="s">
        <v>665</v>
      </c>
      <c r="P82" s="331">
        <v>250000</v>
      </c>
      <c r="Q82" s="331">
        <v>500000</v>
      </c>
    </row>
    <row r="83" spans="1:17">
      <c r="B83" s="268">
        <v>2016</v>
      </c>
      <c r="C83" s="332">
        <f>F45/D45</f>
        <v>1.0780645226018717</v>
      </c>
      <c r="D83" s="332">
        <f>F45/E45</f>
        <v>1.0447140792067475</v>
      </c>
      <c r="E83" s="332">
        <f t="shared" ref="E83:F87" si="7">F$79/C83</f>
        <v>1.391746661302659</v>
      </c>
      <c r="F83" s="332">
        <f t="shared" si="7"/>
        <v>1.0067826412358039</v>
      </c>
      <c r="G83" s="106">
        <f t="shared" ref="G83:H87" si="8">C13*E83</f>
        <v>5985.9023902627359</v>
      </c>
      <c r="H83" s="106">
        <f t="shared" si="8"/>
        <v>6410.1850767483629</v>
      </c>
      <c r="K83" s="317">
        <v>2016</v>
      </c>
      <c r="L83" s="333">
        <f>F45/D45</f>
        <v>1.0780645226018717</v>
      </c>
      <c r="M83" s="333">
        <f>F45/E45</f>
        <v>1.0447140792067475</v>
      </c>
      <c r="N83" s="333">
        <f t="shared" ref="N83:O87" si="9">O$79/L83</f>
        <v>1.3969483697492797</v>
      </c>
      <c r="O83" s="333">
        <f t="shared" si="9"/>
        <v>1.0081580841148314</v>
      </c>
      <c r="P83" s="334">
        <f>C13*N83</f>
        <v>6008.2749382916518</v>
      </c>
      <c r="Q83" s="334">
        <f>D13*O83</f>
        <v>6418.9425215591318</v>
      </c>
    </row>
    <row r="84" spans="1:17">
      <c r="B84" s="268">
        <v>2017</v>
      </c>
      <c r="C84" s="332">
        <f>F46/D46</f>
        <v>1.0658253794881325</v>
      </c>
      <c r="D84" s="332">
        <f>F46/E46</f>
        <v>1.0377954429206102</v>
      </c>
      <c r="E84" s="332">
        <f t="shared" si="7"/>
        <v>1.4077284411453688</v>
      </c>
      <c r="F84" s="332">
        <f t="shared" si="7"/>
        <v>1.0134945255107091</v>
      </c>
      <c r="G84" s="106">
        <f t="shared" si="8"/>
        <v>6398.1257650057014</v>
      </c>
      <c r="H84" s="106">
        <f t="shared" si="8"/>
        <v>6576.5659760389908</v>
      </c>
      <c r="K84" s="317">
        <v>2017</v>
      </c>
      <c r="L84" s="333">
        <f t="shared" ref="L84:L87" si="10">F46/D46</f>
        <v>1.0658253794881325</v>
      </c>
      <c r="M84" s="333">
        <f t="shared" ref="M84:M87" si="11">F46/E46</f>
        <v>1.0377954429206102</v>
      </c>
      <c r="N84" s="333">
        <f t="shared" si="9"/>
        <v>1.4129898821291755</v>
      </c>
      <c r="O84" s="333">
        <f t="shared" si="9"/>
        <v>1.0148791380089304</v>
      </c>
      <c r="P84" s="334">
        <f t="shared" ref="P84:Q87" si="12">C14*N84</f>
        <v>6422.039014277103</v>
      </c>
      <c r="Q84" s="334">
        <f t="shared" si="12"/>
        <v>6585.5507265399492</v>
      </c>
    </row>
    <row r="85" spans="1:17">
      <c r="B85" s="268">
        <v>2018</v>
      </c>
      <c r="C85" s="332">
        <f>F47/D47</f>
        <v>1.0537251859650882</v>
      </c>
      <c r="D85" s="332">
        <f>F47/E47</f>
        <v>1.0309226254178248</v>
      </c>
      <c r="E85" s="332">
        <f t="shared" si="7"/>
        <v>1.4238937438188086</v>
      </c>
      <c r="F85" s="332">
        <f t="shared" si="7"/>
        <v>1.0202511556807805</v>
      </c>
      <c r="G85" s="106">
        <f t="shared" si="8"/>
        <v>6060.0917736928495</v>
      </c>
      <c r="H85" s="106">
        <f t="shared" si="8"/>
        <v>4342.1889185774016</v>
      </c>
      <c r="K85" s="317">
        <v>2018</v>
      </c>
      <c r="L85" s="333">
        <f t="shared" si="10"/>
        <v>1.0537251859650882</v>
      </c>
      <c r="M85" s="333">
        <f t="shared" si="11"/>
        <v>1.0309226254178248</v>
      </c>
      <c r="N85" s="333">
        <f t="shared" si="9"/>
        <v>1.4292156032636734</v>
      </c>
      <c r="O85" s="333">
        <f t="shared" si="9"/>
        <v>1.0216449989289897</v>
      </c>
      <c r="P85" s="334">
        <f t="shared" si="12"/>
        <v>6082.7416074901939</v>
      </c>
      <c r="Q85" s="334">
        <f t="shared" si="12"/>
        <v>4348.1211154417806</v>
      </c>
    </row>
    <row r="86" spans="1:17">
      <c r="B86" s="268">
        <v>2019</v>
      </c>
      <c r="C86" s="332">
        <f>F48/D48</f>
        <v>1.0417623645539424</v>
      </c>
      <c r="D86" s="332">
        <f>F48/E48</f>
        <v>1.0240953232627399</v>
      </c>
      <c r="E86" s="332">
        <f t="shared" si="7"/>
        <v>1.4402446767621826</v>
      </c>
      <c r="F86" s="332">
        <f t="shared" si="7"/>
        <v>1.0270528300519857</v>
      </c>
      <c r="G86" s="106">
        <f t="shared" si="8"/>
        <v>6970.784235528964</v>
      </c>
      <c r="H86" s="106">
        <f t="shared" si="8"/>
        <v>7357.806474492425</v>
      </c>
      <c r="K86" s="317">
        <v>2019</v>
      </c>
      <c r="L86" s="333">
        <f t="shared" si="10"/>
        <v>1.0417623645539424</v>
      </c>
      <c r="M86" s="333">
        <f t="shared" si="11"/>
        <v>1.0240953232627399</v>
      </c>
      <c r="N86" s="333">
        <f t="shared" si="9"/>
        <v>1.4456276484686152</v>
      </c>
      <c r="O86" s="333">
        <f t="shared" si="9"/>
        <v>1.0284559655885164</v>
      </c>
      <c r="P86" s="334">
        <f t="shared" si="12"/>
        <v>6996.8378185880974</v>
      </c>
      <c r="Q86" s="334">
        <f t="shared" si="12"/>
        <v>7367.8585374761315</v>
      </c>
    </row>
    <row r="87" spans="1:17">
      <c r="B87" s="271">
        <v>2020</v>
      </c>
      <c r="C87" s="335">
        <f>F49/D49</f>
        <v>1.0299353556848343</v>
      </c>
      <c r="D87" s="335">
        <f>F49/E49</f>
        <v>1.017313235029212</v>
      </c>
      <c r="E87" s="335">
        <f t="shared" si="7"/>
        <v>1.4567833716149541</v>
      </c>
      <c r="F87" s="335">
        <f t="shared" si="7"/>
        <v>1.0338998489189986</v>
      </c>
      <c r="G87" s="110">
        <f t="shared" si="8"/>
        <v>7339.2746261961383</v>
      </c>
      <c r="H87" s="110">
        <f t="shared" si="8"/>
        <v>7598.1299897057206</v>
      </c>
      <c r="K87" s="336">
        <v>2020</v>
      </c>
      <c r="L87" s="337">
        <f t="shared" si="10"/>
        <v>1.0299353556848343</v>
      </c>
      <c r="M87" s="337">
        <f t="shared" si="11"/>
        <v>1.017313235029212</v>
      </c>
      <c r="N87" s="337">
        <f t="shared" si="9"/>
        <v>1.4622281573505516</v>
      </c>
      <c r="O87" s="337">
        <f t="shared" si="9"/>
        <v>1.0353123386924397</v>
      </c>
      <c r="P87" s="331">
        <f t="shared" si="12"/>
        <v>7366.7054567320783</v>
      </c>
      <c r="Q87" s="331">
        <f t="shared" si="12"/>
        <v>7608.5103770507394</v>
      </c>
    </row>
    <row r="88" spans="1:17">
      <c r="B88" s="94" t="s">
        <v>132</v>
      </c>
      <c r="C88" s="94"/>
      <c r="D88" s="94"/>
      <c r="E88" s="94"/>
      <c r="F88" s="94"/>
      <c r="G88" s="106">
        <f>SUM(G83:G87)</f>
        <v>32754.17879068639</v>
      </c>
      <c r="H88" s="106">
        <f t="shared" ref="H88" si="13">SUM(H83:H87)</f>
        <v>32284.876435562899</v>
      </c>
      <c r="K88" s="338" t="s">
        <v>132</v>
      </c>
      <c r="L88" s="338"/>
      <c r="M88" s="338"/>
      <c r="N88" s="338"/>
      <c r="O88" s="338"/>
      <c r="P88" s="334">
        <f>SUM(P83:P87)</f>
        <v>32876.598835379125</v>
      </c>
      <c r="Q88" s="334">
        <f t="shared" ref="Q88" si="14">SUM(Q83:Q87)</f>
        <v>32328.983278067732</v>
      </c>
    </row>
    <row r="90" spans="1:17" ht="15.6" customHeight="1">
      <c r="A90" s="15" t="s">
        <v>144</v>
      </c>
      <c r="B90" s="14"/>
      <c r="C90" s="14"/>
      <c r="D90" s="14"/>
      <c r="E90" s="14"/>
      <c r="F90" s="14"/>
      <c r="G90" s="14"/>
      <c r="H90" s="14"/>
      <c r="I90" s="14"/>
      <c r="J90" s="14"/>
      <c r="K90" s="14"/>
      <c r="L90" s="14"/>
    </row>
  </sheetData>
  <mergeCells count="26">
    <mergeCell ref="L81:M81"/>
    <mergeCell ref="N81:O81"/>
    <mergeCell ref="P81:Q81"/>
    <mergeCell ref="B58:L59"/>
    <mergeCell ref="B60:L61"/>
    <mergeCell ref="B64:L65"/>
    <mergeCell ref="E74:G74"/>
    <mergeCell ref="N74:P74"/>
    <mergeCell ref="B81:B82"/>
    <mergeCell ref="C81:D81"/>
    <mergeCell ref="E81:F81"/>
    <mergeCell ref="G81:H81"/>
    <mergeCell ref="K81:K82"/>
    <mergeCell ref="A55:L56"/>
    <mergeCell ref="B7:B9"/>
    <mergeCell ref="C7:E7"/>
    <mergeCell ref="C8:E8"/>
    <mergeCell ref="C19:E19"/>
    <mergeCell ref="C20:E20"/>
    <mergeCell ref="B29:B30"/>
    <mergeCell ref="C29:E29"/>
    <mergeCell ref="B40:B41"/>
    <mergeCell ref="C40:C41"/>
    <mergeCell ref="D40:F40"/>
    <mergeCell ref="G40:I40"/>
    <mergeCell ref="J40:L40"/>
  </mergeCells>
  <hyperlinks>
    <hyperlink ref="O1" location="TOC!A1" display="Table of Contents" xr:uid="{ED4B98D3-E0C8-43D2-BFF4-ADE5181A1989}"/>
  </hyperlinks>
  <pageMargins left="0.7" right="0.7" top="0.75" bottom="0.75" header="0.3" footer="0.3"/>
  <pageSetup scale="72"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67342-91C6-41AD-81DC-B2AB3BDDCA69}">
  <dimension ref="A1:R41"/>
  <sheetViews>
    <sheetView zoomScaleNormal="100" workbookViewId="0"/>
  </sheetViews>
  <sheetFormatPr defaultRowHeight="15.6"/>
  <cols>
    <col min="1" max="1" width="8.88671875" style="2" customWidth="1"/>
    <col min="2" max="2" width="15" style="2" customWidth="1"/>
    <col min="3" max="3" width="18.44140625" style="2" customWidth="1"/>
    <col min="4" max="7" width="12.77734375" style="2" customWidth="1"/>
    <col min="8" max="8" width="8.88671875" style="2" customWidth="1"/>
    <col min="9" max="16384" width="8.88671875" style="2"/>
  </cols>
  <sheetData>
    <row r="1" spans="1:18" ht="17.399999999999999">
      <c r="A1" s="13" t="s">
        <v>744</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689</v>
      </c>
      <c r="B3" s="1"/>
      <c r="C3" s="1"/>
      <c r="D3" s="1"/>
      <c r="E3" s="1"/>
      <c r="F3" s="1"/>
      <c r="G3" s="1"/>
      <c r="H3" s="1"/>
      <c r="I3" s="1"/>
      <c r="J3" s="1"/>
      <c r="K3" s="1"/>
      <c r="L3" s="14"/>
    </row>
    <row r="4" spans="1:18">
      <c r="A4" s="43"/>
      <c r="B4" s="1"/>
      <c r="C4" s="1"/>
      <c r="D4" s="1"/>
      <c r="E4" s="1"/>
      <c r="F4" s="1"/>
      <c r="G4" s="1"/>
      <c r="H4" s="1"/>
      <c r="I4" s="1"/>
      <c r="J4" s="1"/>
      <c r="K4" s="1"/>
      <c r="L4" s="1"/>
    </row>
    <row r="5" spans="1:18" ht="62.4">
      <c r="A5" s="43"/>
      <c r="B5" s="4" t="s">
        <v>3</v>
      </c>
      <c r="C5" s="4" t="s">
        <v>690</v>
      </c>
      <c r="D5" s="4" t="s">
        <v>691</v>
      </c>
      <c r="E5" s="4" t="s">
        <v>692</v>
      </c>
      <c r="F5" s="4" t="s">
        <v>693</v>
      </c>
      <c r="G5" s="4" t="s">
        <v>694</v>
      </c>
      <c r="H5" s="1"/>
      <c r="I5" s="1"/>
      <c r="J5" s="1"/>
      <c r="K5" s="1"/>
      <c r="L5" s="1"/>
    </row>
    <row r="6" spans="1:18">
      <c r="A6" s="43"/>
      <c r="B6" s="32">
        <v>2017</v>
      </c>
      <c r="C6" s="92">
        <v>232300</v>
      </c>
      <c r="D6" s="92">
        <v>290400</v>
      </c>
      <c r="E6" s="92">
        <v>67760</v>
      </c>
      <c r="F6" s="92">
        <v>2420000</v>
      </c>
      <c r="G6" s="92">
        <v>2370000</v>
      </c>
      <c r="H6" s="1"/>
      <c r="I6" s="1"/>
      <c r="J6" s="1"/>
      <c r="K6" s="1"/>
      <c r="L6" s="1"/>
    </row>
    <row r="7" spans="1:18">
      <c r="A7" s="43"/>
      <c r="B7" s="32">
        <v>2018</v>
      </c>
      <c r="C7" s="92">
        <v>249500</v>
      </c>
      <c r="D7" s="92">
        <v>303600</v>
      </c>
      <c r="E7" s="92">
        <v>70840</v>
      </c>
      <c r="F7" s="92">
        <v>2530000</v>
      </c>
      <c r="G7" s="92">
        <v>2470000</v>
      </c>
      <c r="H7" s="1"/>
      <c r="I7" s="1"/>
      <c r="J7" s="1"/>
      <c r="K7" s="1"/>
      <c r="L7" s="1"/>
    </row>
    <row r="8" spans="1:18">
      <c r="A8" s="43"/>
      <c r="B8" s="32">
        <v>2019</v>
      </c>
      <c r="C8" s="92">
        <v>253200</v>
      </c>
      <c r="D8" s="92">
        <v>320400</v>
      </c>
      <c r="E8" s="92">
        <v>74760</v>
      </c>
      <c r="F8" s="92">
        <v>2670000</v>
      </c>
      <c r="G8" s="92">
        <v>2610000</v>
      </c>
      <c r="H8" s="1"/>
      <c r="I8" s="1"/>
      <c r="J8" s="1"/>
      <c r="K8" s="1"/>
      <c r="L8" s="1"/>
    </row>
    <row r="9" spans="1:18">
      <c r="A9" s="1"/>
      <c r="B9" s="32">
        <v>2020</v>
      </c>
      <c r="C9" s="92">
        <v>258500</v>
      </c>
      <c r="D9" s="92">
        <v>352800</v>
      </c>
      <c r="E9" s="92">
        <v>82320</v>
      </c>
      <c r="F9" s="92">
        <v>2940000</v>
      </c>
      <c r="G9" s="92">
        <v>2810000</v>
      </c>
      <c r="H9" s="1"/>
      <c r="I9" s="1"/>
      <c r="J9" s="1"/>
      <c r="K9" s="1"/>
      <c r="L9" s="1"/>
    </row>
    <row r="10" spans="1:18">
      <c r="A10" s="1"/>
      <c r="B10" s="1"/>
      <c r="C10" s="1"/>
      <c r="D10" s="1"/>
      <c r="E10" s="1"/>
      <c r="F10" s="1"/>
      <c r="G10" s="1"/>
      <c r="H10" s="1"/>
      <c r="I10" s="1"/>
      <c r="J10" s="1"/>
      <c r="K10" s="1"/>
      <c r="L10" s="1"/>
    </row>
    <row r="11" spans="1:18">
      <c r="A11" s="43"/>
      <c r="B11" s="17" t="s">
        <v>695</v>
      </c>
      <c r="C11" s="1"/>
      <c r="D11" s="1"/>
      <c r="E11" s="1"/>
      <c r="F11" s="251">
        <v>2936450</v>
      </c>
      <c r="G11" s="1"/>
      <c r="H11" s="1"/>
      <c r="I11" s="1"/>
      <c r="J11" s="1"/>
      <c r="K11" s="1"/>
      <c r="L11" s="1"/>
    </row>
    <row r="12" spans="1:18">
      <c r="A12" s="1"/>
      <c r="B12" s="17" t="s">
        <v>696</v>
      </c>
      <c r="C12" s="1"/>
      <c r="D12" s="1"/>
      <c r="E12" s="1"/>
      <c r="F12" s="1"/>
      <c r="G12" s="251">
        <v>293645</v>
      </c>
      <c r="H12" s="1"/>
      <c r="I12" s="1"/>
      <c r="J12" s="1"/>
      <c r="K12" s="1"/>
      <c r="L12" s="1"/>
    </row>
    <row r="13" spans="1:18">
      <c r="A13" s="1"/>
      <c r="B13" s="17" t="s">
        <v>697</v>
      </c>
      <c r="C13" s="1"/>
      <c r="D13" s="1"/>
      <c r="E13" s="1"/>
      <c r="F13" s="1"/>
      <c r="G13" s="358">
        <v>0.3</v>
      </c>
      <c r="H13" s="1"/>
      <c r="I13" s="1"/>
      <c r="J13" s="1"/>
      <c r="K13" s="1"/>
      <c r="L13" s="1"/>
    </row>
    <row r="14" spans="1:18">
      <c r="A14" s="1"/>
      <c r="B14" s="1"/>
      <c r="C14" s="1"/>
      <c r="D14" s="1"/>
      <c r="E14" s="1"/>
      <c r="F14" s="1"/>
      <c r="G14" s="1"/>
      <c r="H14" s="1"/>
      <c r="I14" s="1"/>
      <c r="J14" s="1"/>
      <c r="K14" s="1"/>
      <c r="L14" s="1"/>
    </row>
    <row r="16" spans="1:18">
      <c r="A16" s="17" t="s">
        <v>91</v>
      </c>
      <c r="B16" s="1" t="s">
        <v>698</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ht="46.8">
      <c r="A20" s="3"/>
      <c r="B20" s="93" t="s">
        <v>3</v>
      </c>
      <c r="C20" s="93" t="s">
        <v>699</v>
      </c>
      <c r="D20" s="93" t="s">
        <v>691</v>
      </c>
      <c r="E20" s="93" t="s">
        <v>700</v>
      </c>
      <c r="F20" s="3"/>
      <c r="G20" s="3"/>
      <c r="H20" s="3"/>
      <c r="I20" s="3"/>
      <c r="J20" s="3"/>
      <c r="K20" s="3"/>
      <c r="L20" s="3"/>
      <c r="M20" s="3"/>
      <c r="N20" s="9"/>
    </row>
    <row r="21" spans="1:14">
      <c r="A21" s="3"/>
      <c r="B21" s="94">
        <f>B6</f>
        <v>2017</v>
      </c>
      <c r="C21" s="136">
        <f>C6/G6</f>
        <v>9.8016877637130795E-2</v>
      </c>
      <c r="D21" s="136">
        <f>D6/F6</f>
        <v>0.12</v>
      </c>
      <c r="E21" s="136">
        <f>E6/F6</f>
        <v>2.8000000000000001E-2</v>
      </c>
      <c r="F21" s="62"/>
      <c r="G21" s="62"/>
      <c r="H21" s="3"/>
      <c r="I21" s="3"/>
      <c r="J21" s="3"/>
      <c r="K21" s="3"/>
      <c r="L21" s="3"/>
      <c r="M21" s="3"/>
      <c r="N21" s="9"/>
    </row>
    <row r="22" spans="1:14">
      <c r="A22" s="3"/>
      <c r="B22" s="94">
        <f t="shared" ref="B22:B24" si="0">B7</f>
        <v>2018</v>
      </c>
      <c r="C22" s="136">
        <f t="shared" ref="C22:C24" si="1">C7/G7</f>
        <v>0.10101214574898786</v>
      </c>
      <c r="D22" s="136">
        <f t="shared" ref="D22:D24" si="2">D7/F7</f>
        <v>0.12</v>
      </c>
      <c r="E22" s="136">
        <f t="shared" ref="E22:E24" si="3">E7/F7</f>
        <v>2.8000000000000001E-2</v>
      </c>
      <c r="F22" s="62"/>
      <c r="G22" s="62"/>
      <c r="H22" s="3"/>
      <c r="I22" s="3"/>
      <c r="J22" s="3"/>
      <c r="K22" s="3"/>
      <c r="L22" s="3"/>
      <c r="M22" s="3"/>
      <c r="N22" s="9"/>
    </row>
    <row r="23" spans="1:14">
      <c r="A23" s="3"/>
      <c r="B23" s="94">
        <f t="shared" si="0"/>
        <v>2019</v>
      </c>
      <c r="C23" s="136">
        <f t="shared" si="1"/>
        <v>9.7011494252873559E-2</v>
      </c>
      <c r="D23" s="136">
        <f t="shared" si="2"/>
        <v>0.12</v>
      </c>
      <c r="E23" s="136">
        <f t="shared" si="3"/>
        <v>2.8000000000000001E-2</v>
      </c>
      <c r="F23" s="62"/>
      <c r="G23" s="62"/>
      <c r="H23" s="3"/>
      <c r="I23" s="3"/>
      <c r="J23" s="3"/>
      <c r="K23" s="3"/>
      <c r="L23" s="3"/>
      <c r="M23" s="3"/>
      <c r="N23" s="9"/>
    </row>
    <row r="24" spans="1:14">
      <c r="A24" s="3"/>
      <c r="B24" s="107">
        <f t="shared" si="0"/>
        <v>2020</v>
      </c>
      <c r="C24" s="140">
        <f t="shared" si="1"/>
        <v>9.1992882562277584E-2</v>
      </c>
      <c r="D24" s="140">
        <f t="shared" si="2"/>
        <v>0.12</v>
      </c>
      <c r="E24" s="140">
        <f t="shared" si="3"/>
        <v>2.8000000000000001E-2</v>
      </c>
      <c r="F24" s="62"/>
      <c r="G24" s="62"/>
      <c r="H24" s="3"/>
      <c r="I24" s="3"/>
      <c r="J24" s="3"/>
      <c r="K24" s="3"/>
      <c r="L24" s="3"/>
      <c r="M24" s="3"/>
      <c r="N24" s="9"/>
    </row>
    <row r="25" spans="1:14">
      <c r="A25" s="3"/>
      <c r="B25" s="3" t="s">
        <v>701</v>
      </c>
      <c r="C25" s="125">
        <f>G12/F11</f>
        <v>0.1</v>
      </c>
      <c r="D25" s="3"/>
      <c r="E25" s="3"/>
      <c r="F25" s="62"/>
      <c r="G25" s="62"/>
      <c r="H25" s="3"/>
      <c r="I25" s="3"/>
      <c r="J25" s="3"/>
      <c r="K25" s="3"/>
      <c r="L25" s="3"/>
      <c r="M25" s="3"/>
      <c r="N25" s="9"/>
    </row>
    <row r="26" spans="1:14">
      <c r="A26" s="3"/>
      <c r="B26" s="3" t="s">
        <v>336</v>
      </c>
      <c r="C26" s="125"/>
      <c r="D26" s="125">
        <f>AVERAGE(D21:D24)</f>
        <v>0.12</v>
      </c>
      <c r="E26" s="125">
        <f>AVERAGE(E21:E24)</f>
        <v>2.8000000000000001E-2</v>
      </c>
      <c r="F26" s="3"/>
      <c r="G26" s="277"/>
      <c r="H26" s="3"/>
      <c r="I26" s="3"/>
      <c r="J26" s="3"/>
      <c r="K26" s="3"/>
      <c r="L26" s="3"/>
      <c r="M26" s="3"/>
      <c r="N26" s="9"/>
    </row>
    <row r="27" spans="1:14">
      <c r="A27" s="3"/>
      <c r="B27" s="3"/>
      <c r="C27" s="3"/>
      <c r="D27" s="3"/>
      <c r="E27" s="3"/>
      <c r="F27" s="3"/>
      <c r="G27" s="3"/>
      <c r="H27" s="3"/>
      <c r="I27" s="3"/>
      <c r="J27" s="3"/>
      <c r="K27" s="3"/>
      <c r="L27" s="3"/>
      <c r="M27" s="3"/>
      <c r="N27" s="9"/>
    </row>
    <row r="28" spans="1:14">
      <c r="A28" s="3"/>
      <c r="B28" s="3" t="s">
        <v>702</v>
      </c>
      <c r="C28" s="3"/>
      <c r="D28" s="3"/>
      <c r="E28" s="277">
        <f>C25</f>
        <v>0.1</v>
      </c>
      <c r="F28" s="3"/>
      <c r="G28" s="3"/>
      <c r="H28" s="3"/>
      <c r="I28" s="3"/>
      <c r="J28" s="3"/>
      <c r="K28" s="3"/>
      <c r="L28" s="3"/>
      <c r="M28" s="3"/>
      <c r="N28" s="9"/>
    </row>
    <row r="29" spans="1:14">
      <c r="A29" s="3"/>
      <c r="B29" s="3" t="s">
        <v>703</v>
      </c>
      <c r="C29" s="3"/>
      <c r="D29" s="3"/>
      <c r="E29" s="277"/>
      <c r="F29" s="3"/>
      <c r="G29" s="3"/>
      <c r="H29" s="3"/>
      <c r="I29" s="3"/>
      <c r="J29" s="3"/>
      <c r="K29" s="3"/>
      <c r="L29" s="3"/>
      <c r="M29" s="3"/>
      <c r="N29" s="9"/>
    </row>
    <row r="30" spans="1:14">
      <c r="A30" s="3"/>
      <c r="B30" s="3" t="s">
        <v>704</v>
      </c>
      <c r="C30" s="3"/>
      <c r="D30" s="3"/>
      <c r="E30" s="277"/>
      <c r="F30" s="3"/>
      <c r="G30" s="3"/>
      <c r="H30" s="3"/>
      <c r="I30" s="3"/>
      <c r="J30" s="3"/>
      <c r="K30" s="3"/>
      <c r="L30" s="3"/>
      <c r="M30" s="3"/>
      <c r="N30" s="9"/>
    </row>
    <row r="31" spans="1:14">
      <c r="A31" s="3"/>
      <c r="B31" s="3"/>
      <c r="C31" s="3"/>
      <c r="D31" s="3"/>
      <c r="E31" s="3"/>
      <c r="F31" s="3"/>
      <c r="G31" s="3"/>
      <c r="H31" s="3"/>
      <c r="I31" s="3"/>
      <c r="J31" s="3"/>
      <c r="K31" s="3"/>
      <c r="L31" s="3"/>
      <c r="M31" s="3"/>
      <c r="N31" s="9"/>
    </row>
    <row r="32" spans="1:14">
      <c r="A32" s="3"/>
      <c r="B32" s="3" t="s">
        <v>705</v>
      </c>
      <c r="C32" s="3"/>
      <c r="D32" s="3"/>
      <c r="F32" s="125">
        <f>$G$13*E28</f>
        <v>0.03</v>
      </c>
      <c r="G32" s="3"/>
      <c r="H32" s="3"/>
      <c r="I32" s="3"/>
      <c r="J32" s="3"/>
      <c r="K32" s="3"/>
      <c r="L32" s="3"/>
      <c r="M32" s="3"/>
      <c r="N32" s="9"/>
    </row>
    <row r="33" spans="1:14">
      <c r="A33" s="3"/>
      <c r="B33" s="3" t="s">
        <v>706</v>
      </c>
      <c r="C33" s="3"/>
      <c r="D33" s="3"/>
      <c r="F33" s="125">
        <f>E28*(1-G13)</f>
        <v>6.9999999999999993E-2</v>
      </c>
      <c r="G33" s="3"/>
      <c r="H33" s="3"/>
      <c r="I33" s="3"/>
      <c r="J33" s="3"/>
      <c r="K33" s="3"/>
      <c r="L33" s="3"/>
      <c r="M33" s="3"/>
      <c r="N33" s="9"/>
    </row>
    <row r="34" spans="1:14">
      <c r="A34" s="3"/>
      <c r="B34" s="3"/>
      <c r="C34" s="3"/>
      <c r="D34" s="125"/>
      <c r="F34" s="62"/>
      <c r="G34" s="3"/>
      <c r="H34" s="3"/>
      <c r="I34" s="3"/>
      <c r="J34" s="3"/>
      <c r="K34" s="3"/>
      <c r="L34" s="3"/>
      <c r="M34" s="3"/>
      <c r="N34" s="9"/>
    </row>
    <row r="35" spans="1:14">
      <c r="A35" s="3"/>
      <c r="B35" s="3" t="s">
        <v>707</v>
      </c>
      <c r="C35" s="3"/>
      <c r="D35" s="3"/>
      <c r="F35" s="125">
        <f>F33+D26+E26</f>
        <v>0.218</v>
      </c>
      <c r="G35" s="3"/>
      <c r="H35" s="3"/>
      <c r="I35" s="3"/>
      <c r="J35" s="3"/>
      <c r="K35" s="3"/>
      <c r="L35" s="3"/>
      <c r="M35" s="3"/>
      <c r="N35" s="9"/>
    </row>
    <row r="37" spans="1:14">
      <c r="A37" s="15" t="s">
        <v>11</v>
      </c>
      <c r="B37" s="14"/>
      <c r="C37" s="14"/>
      <c r="D37" s="14"/>
      <c r="E37" s="14"/>
      <c r="F37" s="14"/>
      <c r="G37" s="14"/>
      <c r="H37" s="14"/>
      <c r="I37" s="14"/>
      <c r="J37" s="14"/>
      <c r="K37" s="14"/>
      <c r="L37" s="14"/>
    </row>
    <row r="39" spans="1:14">
      <c r="A39" s="15" t="s">
        <v>144</v>
      </c>
      <c r="B39" s="14"/>
      <c r="C39" s="14"/>
      <c r="D39" s="14"/>
      <c r="E39" s="14"/>
      <c r="F39" s="14"/>
      <c r="G39" s="14"/>
      <c r="H39" s="14"/>
      <c r="I39" s="14"/>
      <c r="J39" s="14"/>
      <c r="K39" s="14"/>
      <c r="L39" s="14"/>
    </row>
    <row r="40" spans="1:14">
      <c r="A40" s="3"/>
      <c r="B40" s="3"/>
      <c r="C40" s="3"/>
      <c r="D40" s="3"/>
      <c r="E40" s="3"/>
      <c r="F40" s="3"/>
      <c r="G40" s="3"/>
      <c r="H40" s="3"/>
      <c r="I40" s="3"/>
      <c r="J40" s="3"/>
      <c r="K40" s="3"/>
      <c r="L40" s="3"/>
    </row>
    <row r="41" spans="1:14">
      <c r="A41" s="3"/>
      <c r="B41" s="3"/>
      <c r="C41" s="3"/>
      <c r="D41" s="3"/>
      <c r="E41" s="3"/>
      <c r="F41" s="3"/>
      <c r="G41" s="3"/>
      <c r="H41" s="3"/>
      <c r="I41" s="3"/>
      <c r="J41" s="3"/>
      <c r="K41" s="3"/>
      <c r="L41" s="3"/>
    </row>
  </sheetData>
  <hyperlinks>
    <hyperlink ref="O1" location="TOC!A1" display="Table of Contents" xr:uid="{3D7840FB-20FA-4A7F-9BB4-DFB49E73F980}"/>
  </hyperlinks>
  <pageMargins left="0.7" right="0.7" top="0.75" bottom="0.75" header="0.3" footer="0.3"/>
  <pageSetup scale="6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9948-4D60-4825-9A31-BA2F9E36EC29}">
  <dimension ref="A1:J161"/>
  <sheetViews>
    <sheetView workbookViewId="0"/>
  </sheetViews>
  <sheetFormatPr defaultRowHeight="14.4"/>
  <cols>
    <col min="1" max="1" width="52.88671875" customWidth="1"/>
    <col min="3" max="3" width="8.88671875" style="722"/>
  </cols>
  <sheetData>
    <row r="1" spans="1:10" ht="21">
      <c r="A1" s="441" t="s">
        <v>86</v>
      </c>
      <c r="B1" s="20"/>
      <c r="C1" s="20"/>
      <c r="D1" s="20"/>
      <c r="E1" s="20"/>
      <c r="F1" s="20"/>
      <c r="G1" s="20"/>
      <c r="H1" s="20"/>
      <c r="I1" s="20"/>
      <c r="J1" s="20"/>
    </row>
    <row r="2" spans="1:10" ht="21">
      <c r="A2" s="20"/>
      <c r="B2" s="20"/>
      <c r="C2" s="20"/>
      <c r="D2" s="20"/>
      <c r="E2" s="20"/>
      <c r="F2" s="20"/>
      <c r="G2" s="20"/>
      <c r="H2" s="20"/>
      <c r="I2" s="20"/>
      <c r="J2" s="20"/>
    </row>
    <row r="3" spans="1:10" ht="18">
      <c r="A3" s="22" t="s">
        <v>43</v>
      </c>
    </row>
    <row r="4" spans="1:10">
      <c r="A4" t="s">
        <v>44</v>
      </c>
    </row>
    <row r="5" spans="1:10">
      <c r="A5" t="s">
        <v>45</v>
      </c>
    </row>
    <row r="7" spans="1:10">
      <c r="A7" s="21" t="s">
        <v>33</v>
      </c>
      <c r="C7"/>
    </row>
    <row r="8" spans="1:10">
      <c r="A8" s="21" t="s">
        <v>34</v>
      </c>
      <c r="C8"/>
    </row>
    <row r="9" spans="1:10">
      <c r="A9" s="21" t="s">
        <v>35</v>
      </c>
      <c r="C9"/>
    </row>
    <row r="10" spans="1:10">
      <c r="A10" s="21" t="s">
        <v>36</v>
      </c>
      <c r="C10"/>
    </row>
    <row r="11" spans="1:10">
      <c r="A11" s="21" t="s">
        <v>37</v>
      </c>
      <c r="C11"/>
    </row>
    <row r="12" spans="1:10">
      <c r="A12" s="21" t="s">
        <v>38</v>
      </c>
      <c r="C12"/>
    </row>
    <row r="13" spans="1:10">
      <c r="A13" s="21" t="s">
        <v>39</v>
      </c>
      <c r="C13"/>
    </row>
    <row r="14" spans="1:10">
      <c r="A14" s="21" t="s">
        <v>40</v>
      </c>
      <c r="C14"/>
    </row>
    <row r="15" spans="1:10">
      <c r="A15" s="21" t="s">
        <v>41</v>
      </c>
      <c r="C15"/>
    </row>
    <row r="16" spans="1:10">
      <c r="A16" s="21" t="s">
        <v>42</v>
      </c>
      <c r="C16"/>
    </row>
    <row r="17" spans="1:3">
      <c r="C17"/>
    </row>
    <row r="18" spans="1:3">
      <c r="C18"/>
    </row>
    <row r="19" spans="1:3" ht="18">
      <c r="A19" s="22" t="s">
        <v>439</v>
      </c>
      <c r="C19"/>
    </row>
    <row r="20" spans="1:3">
      <c r="A20" t="s">
        <v>437</v>
      </c>
      <c r="C20"/>
    </row>
    <row r="21" spans="1:3">
      <c r="A21" t="s">
        <v>438</v>
      </c>
      <c r="C21"/>
    </row>
    <row r="22" spans="1:3">
      <c r="C22"/>
    </row>
    <row r="23" spans="1:3">
      <c r="A23" s="21" t="s">
        <v>358</v>
      </c>
      <c r="C23"/>
    </row>
    <row r="24" spans="1:3">
      <c r="A24" s="21" t="s">
        <v>359</v>
      </c>
      <c r="C24"/>
    </row>
    <row r="25" spans="1:3">
      <c r="A25" s="21" t="s">
        <v>360</v>
      </c>
      <c r="C25"/>
    </row>
    <row r="26" spans="1:3">
      <c r="A26" s="21" t="s">
        <v>361</v>
      </c>
      <c r="C26"/>
    </row>
    <row r="27" spans="1:3">
      <c r="A27" s="21" t="s">
        <v>363</v>
      </c>
      <c r="C27"/>
    </row>
    <row r="28" spans="1:3">
      <c r="A28" s="21" t="s">
        <v>362</v>
      </c>
      <c r="C28"/>
    </row>
    <row r="29" spans="1:3">
      <c r="A29" s="21" t="s">
        <v>364</v>
      </c>
      <c r="C29"/>
    </row>
    <row r="30" spans="1:3">
      <c r="A30" s="21" t="s">
        <v>365</v>
      </c>
      <c r="C30"/>
    </row>
    <row r="31" spans="1:3">
      <c r="A31" s="21" t="s">
        <v>36</v>
      </c>
      <c r="C31"/>
    </row>
    <row r="32" spans="1:3">
      <c r="A32" s="21" t="s">
        <v>366</v>
      </c>
      <c r="C32"/>
    </row>
    <row r="33" spans="1:3">
      <c r="A33" s="21" t="s">
        <v>367</v>
      </c>
      <c r="C33"/>
    </row>
    <row r="34" spans="1:3">
      <c r="A34" s="21" t="s">
        <v>37</v>
      </c>
      <c r="C34"/>
    </row>
    <row r="35" spans="1:3">
      <c r="A35" s="21" t="s">
        <v>368</v>
      </c>
      <c r="C35"/>
    </row>
    <row r="36" spans="1:3">
      <c r="A36" s="21" t="s">
        <v>38</v>
      </c>
      <c r="C36"/>
    </row>
    <row r="37" spans="1:3">
      <c r="A37" s="21" t="s">
        <v>39</v>
      </c>
      <c r="C37"/>
    </row>
    <row r="38" spans="1:3">
      <c r="A38" s="21" t="s">
        <v>369</v>
      </c>
      <c r="C38"/>
    </row>
    <row r="39" spans="1:3">
      <c r="A39" s="21" t="s">
        <v>370</v>
      </c>
      <c r="C39"/>
    </row>
    <row r="40" spans="1:3">
      <c r="A40" s="21" t="s">
        <v>371</v>
      </c>
      <c r="C40"/>
    </row>
    <row r="41" spans="1:3">
      <c r="A41" s="21" t="s">
        <v>372</v>
      </c>
      <c r="C41"/>
    </row>
    <row r="42" spans="1:3">
      <c r="A42" s="21" t="s">
        <v>373</v>
      </c>
      <c r="C42"/>
    </row>
    <row r="43" spans="1:3">
      <c r="A43" s="21" t="s">
        <v>42</v>
      </c>
      <c r="C43"/>
    </row>
    <row r="44" spans="1:3">
      <c r="A44" s="21" t="s">
        <v>374</v>
      </c>
      <c r="C44"/>
    </row>
    <row r="45" spans="1:3">
      <c r="A45" s="21" t="s">
        <v>375</v>
      </c>
      <c r="C45"/>
    </row>
    <row r="46" spans="1:3">
      <c r="C46"/>
    </row>
    <row r="47" spans="1:3">
      <c r="C47"/>
    </row>
    <row r="48" spans="1:3" ht="18">
      <c r="A48" s="22" t="s">
        <v>440</v>
      </c>
      <c r="C48"/>
    </row>
    <row r="49" spans="1:3">
      <c r="A49" t="s">
        <v>441</v>
      </c>
      <c r="C49"/>
    </row>
    <row r="50" spans="1:3">
      <c r="A50" t="s">
        <v>442</v>
      </c>
      <c r="C50"/>
    </row>
    <row r="51" spans="1:3">
      <c r="C51"/>
    </row>
    <row r="52" spans="1:3">
      <c r="A52" s="21" t="s">
        <v>376</v>
      </c>
      <c r="C52"/>
    </row>
    <row r="53" spans="1:3">
      <c r="A53" s="21" t="s">
        <v>359</v>
      </c>
      <c r="C53"/>
    </row>
    <row r="54" spans="1:3">
      <c r="A54" s="21" t="s">
        <v>377</v>
      </c>
      <c r="C54"/>
    </row>
    <row r="55" spans="1:3">
      <c r="A55" s="21" t="s">
        <v>378</v>
      </c>
      <c r="C55"/>
    </row>
    <row r="56" spans="1:3">
      <c r="A56" s="21" t="s">
        <v>379</v>
      </c>
      <c r="C56"/>
    </row>
    <row r="57" spans="1:3">
      <c r="A57" s="21" t="s">
        <v>380</v>
      </c>
      <c r="C57"/>
    </row>
    <row r="58" spans="1:3">
      <c r="A58" s="21" t="s">
        <v>381</v>
      </c>
      <c r="C58"/>
    </row>
    <row r="59" spans="1:3">
      <c r="A59" s="21" t="s">
        <v>382</v>
      </c>
      <c r="C59"/>
    </row>
    <row r="60" spans="1:3">
      <c r="A60" s="21" t="s">
        <v>383</v>
      </c>
      <c r="C60"/>
    </row>
    <row r="61" spans="1:3">
      <c r="A61" s="21" t="s">
        <v>34</v>
      </c>
      <c r="C61"/>
    </row>
    <row r="62" spans="1:3">
      <c r="A62" s="21" t="s">
        <v>384</v>
      </c>
      <c r="C62"/>
    </row>
    <row r="63" spans="1:3">
      <c r="A63" s="21" t="s">
        <v>364</v>
      </c>
      <c r="C63"/>
    </row>
    <row r="64" spans="1:3">
      <c r="A64" s="21" t="s">
        <v>35</v>
      </c>
      <c r="C64"/>
    </row>
    <row r="65" spans="1:3">
      <c r="A65" s="21" t="s">
        <v>36</v>
      </c>
      <c r="C65"/>
    </row>
    <row r="66" spans="1:3">
      <c r="A66" s="21" t="s">
        <v>385</v>
      </c>
      <c r="C66"/>
    </row>
    <row r="67" spans="1:3">
      <c r="A67" s="21" t="s">
        <v>386</v>
      </c>
      <c r="C67"/>
    </row>
    <row r="68" spans="1:3">
      <c r="A68" s="21" t="s">
        <v>387</v>
      </c>
      <c r="C68"/>
    </row>
    <row r="69" spans="1:3">
      <c r="A69" s="21" t="s">
        <v>388</v>
      </c>
      <c r="C69"/>
    </row>
    <row r="70" spans="1:3">
      <c r="A70" s="21" t="s">
        <v>389</v>
      </c>
      <c r="C70"/>
    </row>
    <row r="71" spans="1:3">
      <c r="A71" s="21" t="s">
        <v>390</v>
      </c>
      <c r="C71"/>
    </row>
    <row r="72" spans="1:3">
      <c r="A72" s="21" t="s">
        <v>391</v>
      </c>
      <c r="C72"/>
    </row>
    <row r="73" spans="1:3">
      <c r="A73" s="21" t="s">
        <v>392</v>
      </c>
      <c r="C73"/>
    </row>
    <row r="74" spans="1:3">
      <c r="A74" s="21" t="s">
        <v>393</v>
      </c>
      <c r="C74"/>
    </row>
    <row r="75" spans="1:3">
      <c r="A75" s="21" t="s">
        <v>394</v>
      </c>
      <c r="C75"/>
    </row>
    <row r="76" spans="1:3">
      <c r="A76" s="21" t="s">
        <v>39</v>
      </c>
      <c r="C76"/>
    </row>
    <row r="77" spans="1:3">
      <c r="A77" s="21" t="s">
        <v>395</v>
      </c>
      <c r="C77"/>
    </row>
    <row r="78" spans="1:3">
      <c r="A78" s="21" t="s">
        <v>396</v>
      </c>
      <c r="C78"/>
    </row>
    <row r="79" spans="1:3">
      <c r="A79" s="21" t="s">
        <v>397</v>
      </c>
      <c r="C79"/>
    </row>
    <row r="80" spans="1:3">
      <c r="A80" s="21" t="s">
        <v>398</v>
      </c>
      <c r="C80"/>
    </row>
    <row r="81" spans="1:3">
      <c r="A81" s="21" t="s">
        <v>399</v>
      </c>
      <c r="C81"/>
    </row>
    <row r="82" spans="1:3">
      <c r="A82" s="21" t="s">
        <v>400</v>
      </c>
      <c r="C82"/>
    </row>
    <row r="83" spans="1:3">
      <c r="A83" s="21" t="s">
        <v>40</v>
      </c>
      <c r="C83"/>
    </row>
    <row r="84" spans="1:3">
      <c r="A84" s="21" t="s">
        <v>401</v>
      </c>
      <c r="C84"/>
    </row>
    <row r="85" spans="1:3" s="21" customFormat="1">
      <c r="A85" s="21" t="s">
        <v>402</v>
      </c>
    </row>
    <row r="86" spans="1:3">
      <c r="A86" s="21" t="s">
        <v>403</v>
      </c>
      <c r="C86"/>
    </row>
    <row r="87" spans="1:3">
      <c r="A87" s="21" t="s">
        <v>374</v>
      </c>
      <c r="C87"/>
    </row>
    <row r="88" spans="1:3">
      <c r="A88" s="21" t="s">
        <v>404</v>
      </c>
      <c r="C88"/>
    </row>
    <row r="89" spans="1:3">
      <c r="A89" s="21" t="s">
        <v>405</v>
      </c>
      <c r="C89"/>
    </row>
    <row r="90" spans="1:3">
      <c r="C90"/>
    </row>
    <row r="91" spans="1:3">
      <c r="C91"/>
    </row>
    <row r="92" spans="1:3" ht="18">
      <c r="A92" s="22" t="s">
        <v>443</v>
      </c>
      <c r="C92"/>
    </row>
    <row r="93" spans="1:3">
      <c r="A93" t="s">
        <v>444</v>
      </c>
      <c r="C93"/>
    </row>
    <row r="94" spans="1:3">
      <c r="A94" t="s">
        <v>445</v>
      </c>
      <c r="C94"/>
    </row>
    <row r="95" spans="1:3">
      <c r="C95"/>
    </row>
    <row r="96" spans="1:3">
      <c r="A96" s="21" t="s">
        <v>33</v>
      </c>
      <c r="C96"/>
    </row>
    <row r="97" spans="1:3">
      <c r="A97" s="21" t="s">
        <v>379</v>
      </c>
      <c r="C97"/>
    </row>
    <row r="98" spans="1:3">
      <c r="A98" s="21" t="s">
        <v>35</v>
      </c>
      <c r="C98"/>
    </row>
    <row r="99" spans="1:3">
      <c r="A99" s="21" t="s">
        <v>406</v>
      </c>
      <c r="C99"/>
    </row>
    <row r="100" spans="1:3">
      <c r="A100" s="21" t="s">
        <v>407</v>
      </c>
      <c r="C100"/>
    </row>
    <row r="101" spans="1:3">
      <c r="A101" s="21" t="s">
        <v>408</v>
      </c>
      <c r="C101"/>
    </row>
    <row r="102" spans="1:3">
      <c r="A102" s="21" t="s">
        <v>409</v>
      </c>
      <c r="C102"/>
    </row>
    <row r="103" spans="1:3">
      <c r="A103" s="21" t="s">
        <v>410</v>
      </c>
      <c r="C103"/>
    </row>
    <row r="104" spans="1:3">
      <c r="A104" s="21" t="s">
        <v>411</v>
      </c>
      <c r="C104"/>
    </row>
    <row r="105" spans="1:3">
      <c r="C105"/>
    </row>
    <row r="106" spans="1:3">
      <c r="C106"/>
    </row>
    <row r="107" spans="1:3" ht="18">
      <c r="A107" s="22" t="s">
        <v>446</v>
      </c>
      <c r="C107"/>
    </row>
    <row r="108" spans="1:3">
      <c r="A108" t="s">
        <v>263</v>
      </c>
      <c r="C108"/>
    </row>
    <row r="109" spans="1:3">
      <c r="A109" t="s">
        <v>447</v>
      </c>
      <c r="C109"/>
    </row>
    <row r="110" spans="1:3">
      <c r="C110"/>
    </row>
    <row r="111" spans="1:3">
      <c r="A111" s="21" t="s">
        <v>360</v>
      </c>
      <c r="C111"/>
    </row>
    <row r="112" spans="1:3">
      <c r="A112" s="21" t="s">
        <v>412</v>
      </c>
      <c r="C112"/>
    </row>
    <row r="113" spans="1:3">
      <c r="A113" s="21" t="s">
        <v>379</v>
      </c>
      <c r="C113"/>
    </row>
    <row r="114" spans="1:3">
      <c r="A114" s="21" t="s">
        <v>413</v>
      </c>
      <c r="C114"/>
    </row>
    <row r="115" spans="1:3">
      <c r="A115" s="21" t="s">
        <v>414</v>
      </c>
      <c r="C115"/>
    </row>
    <row r="116" spans="1:3">
      <c r="A116" s="21" t="s">
        <v>415</v>
      </c>
      <c r="C116"/>
    </row>
    <row r="117" spans="1:3">
      <c r="A117" s="21" t="s">
        <v>416</v>
      </c>
      <c r="C117"/>
    </row>
    <row r="118" spans="1:3">
      <c r="A118" s="21" t="s">
        <v>417</v>
      </c>
      <c r="C118"/>
    </row>
    <row r="119" spans="1:3">
      <c r="A119" s="21" t="s">
        <v>387</v>
      </c>
      <c r="C119"/>
    </row>
    <row r="120" spans="1:3">
      <c r="A120" s="21" t="s">
        <v>418</v>
      </c>
      <c r="C120"/>
    </row>
    <row r="121" spans="1:3">
      <c r="A121" s="21" t="s">
        <v>419</v>
      </c>
      <c r="C121"/>
    </row>
    <row r="122" spans="1:3">
      <c r="A122" s="21" t="s">
        <v>420</v>
      </c>
      <c r="C122"/>
    </row>
    <row r="123" spans="1:3">
      <c r="A123" s="21" t="s">
        <v>421</v>
      </c>
      <c r="C123"/>
    </row>
    <row r="124" spans="1:3">
      <c r="A124" s="21" t="s">
        <v>394</v>
      </c>
      <c r="C124"/>
    </row>
    <row r="125" spans="1:3">
      <c r="A125" s="21" t="s">
        <v>422</v>
      </c>
      <c r="C125"/>
    </row>
    <row r="126" spans="1:3">
      <c r="A126" s="21" t="s">
        <v>396</v>
      </c>
      <c r="C126"/>
    </row>
    <row r="127" spans="1:3">
      <c r="A127" s="21" t="s">
        <v>423</v>
      </c>
      <c r="C127"/>
    </row>
    <row r="128" spans="1:3">
      <c r="A128" s="21" t="s">
        <v>424</v>
      </c>
      <c r="C128"/>
    </row>
    <row r="129" spans="1:3">
      <c r="A129" s="21" t="s">
        <v>425</v>
      </c>
      <c r="C129"/>
    </row>
    <row r="130" spans="1:3">
      <c r="A130" s="21" t="s">
        <v>372</v>
      </c>
      <c r="C130"/>
    </row>
    <row r="131" spans="1:3">
      <c r="A131" s="21" t="s">
        <v>402</v>
      </c>
      <c r="C131"/>
    </row>
    <row r="132" spans="1:3">
      <c r="A132" s="21" t="s">
        <v>426</v>
      </c>
      <c r="C132"/>
    </row>
    <row r="133" spans="1:3">
      <c r="A133" s="21" t="s">
        <v>375</v>
      </c>
      <c r="C133"/>
    </row>
    <row r="134" spans="1:3">
      <c r="C134"/>
    </row>
    <row r="135" spans="1:3">
      <c r="C135"/>
    </row>
    <row r="136" spans="1:3" ht="18">
      <c r="A136" s="22" t="s">
        <v>450</v>
      </c>
      <c r="C136"/>
    </row>
    <row r="137" spans="1:3">
      <c r="A137" t="s">
        <v>449</v>
      </c>
      <c r="C137"/>
    </row>
    <row r="138" spans="1:3">
      <c r="A138" t="s">
        <v>448</v>
      </c>
      <c r="C138"/>
    </row>
    <row r="139" spans="1:3">
      <c r="C139"/>
    </row>
    <row r="140" spans="1:3">
      <c r="A140" s="21" t="s">
        <v>427</v>
      </c>
      <c r="C140"/>
    </row>
    <row r="141" spans="1:3">
      <c r="A141" s="21" t="s">
        <v>428</v>
      </c>
      <c r="C141"/>
    </row>
    <row r="142" spans="1:3">
      <c r="A142" s="21" t="s">
        <v>360</v>
      </c>
      <c r="C142"/>
    </row>
    <row r="143" spans="1:3">
      <c r="A143" s="21" t="s">
        <v>413</v>
      </c>
      <c r="C143"/>
    </row>
    <row r="144" spans="1:3">
      <c r="A144" s="21" t="s">
        <v>429</v>
      </c>
      <c r="C144"/>
    </row>
    <row r="145" spans="1:3">
      <c r="A145" s="21" t="s">
        <v>430</v>
      </c>
      <c r="C145"/>
    </row>
    <row r="146" spans="1:3">
      <c r="A146" s="21" t="s">
        <v>414</v>
      </c>
      <c r="C146"/>
    </row>
    <row r="147" spans="1:3">
      <c r="A147" s="21" t="s">
        <v>431</v>
      </c>
      <c r="C147"/>
    </row>
    <row r="148" spans="1:3">
      <c r="A148" s="21" t="s">
        <v>432</v>
      </c>
      <c r="C148"/>
    </row>
    <row r="149" spans="1:3">
      <c r="A149" s="21" t="s">
        <v>417</v>
      </c>
      <c r="C149"/>
    </row>
    <row r="150" spans="1:3">
      <c r="A150" s="21" t="s">
        <v>433</v>
      </c>
      <c r="C150"/>
    </row>
    <row r="151" spans="1:3">
      <c r="A151" s="21" t="s">
        <v>418</v>
      </c>
      <c r="C151"/>
    </row>
    <row r="152" spans="1:3">
      <c r="A152" s="21" t="s">
        <v>434</v>
      </c>
      <c r="C152"/>
    </row>
    <row r="153" spans="1:3">
      <c r="A153" s="21" t="s">
        <v>420</v>
      </c>
      <c r="C153"/>
    </row>
    <row r="154" spans="1:3">
      <c r="A154" s="21" t="s">
        <v>421</v>
      </c>
      <c r="C154"/>
    </row>
    <row r="155" spans="1:3">
      <c r="A155" s="21" t="s">
        <v>422</v>
      </c>
      <c r="C155"/>
    </row>
    <row r="156" spans="1:3">
      <c r="A156" s="21" t="s">
        <v>423</v>
      </c>
      <c r="C156"/>
    </row>
    <row r="157" spans="1:3">
      <c r="A157" s="21" t="s">
        <v>424</v>
      </c>
      <c r="C157"/>
    </row>
    <row r="158" spans="1:3">
      <c r="A158" s="21" t="s">
        <v>372</v>
      </c>
      <c r="C158"/>
    </row>
    <row r="159" spans="1:3">
      <c r="A159" s="21" t="s">
        <v>41</v>
      </c>
      <c r="C159"/>
    </row>
    <row r="160" spans="1:3">
      <c r="A160" s="21" t="s">
        <v>435</v>
      </c>
      <c r="C160"/>
    </row>
    <row r="161" spans="1:3">
      <c r="A161" s="21" t="s">
        <v>436</v>
      </c>
      <c r="C161"/>
    </row>
  </sheetData>
  <hyperlinks>
    <hyperlink ref="A7" location="F2020_Q15!A1" display="GIRR Fall 2020 Question 15 (LOs 1d, 1i, 4b, 4c)" xr:uid="{4FA4EFBF-99E4-4D2F-B0BC-60D9AFD64C75}"/>
    <hyperlink ref="A8" location="F2021_Q6!A1" display="GIRR Fall 2021 Question 6 (LOs 1d, 1f, 3g, 3j)" xr:uid="{718A9F56-DDC7-47B3-8C8E-DDC24B6CF51E}"/>
    <hyperlink ref="A9" location="S2021_Q18!A1" display="GIRR Fall 2021 Question 18 (LOs 1d, 3f, 3g, 4a, 4b)" xr:uid="{77189F10-7D8A-4D00-8C7E-4D5BE4116937}"/>
    <hyperlink ref="A10" location="S2022_Q2!A1" display="GIRR Spring 2022 Question 2 (LOs 1d, 2a, 3c, 3d)" xr:uid="{61E9AF27-6424-4348-A506-B974E6162CF4}"/>
    <hyperlink ref="A11" location="F2022_Q18!A1" display="GIRR Fall 2022 Question 18 (LOs 1d, 2a)" xr:uid="{D369F659-BFC1-4C80-811A-9D93C29F5EA0}"/>
    <hyperlink ref="A12" location="S2023_Q2!A1" display="GIRR Spring 2023 Question 2 (LOs 1g, 2a)" xr:uid="{23C7AD7B-8CEE-4516-AAAB-B4FEBF1D5833}"/>
    <hyperlink ref="A13" location="F2023_Q1!A1" display="GIRR Fall 2023 Question 1 (LOs 1d, 2a, 3d)" xr:uid="{D9686332-DD0F-4F90-8A49-A4DF0BDD6FE6}"/>
    <hyperlink ref="A14" location="S2024_Q7!A1" display="GIRR Spring 2024 Question 7 (LOs 1d, 3e, 3f, 3g)" xr:uid="{E6C9EF92-DEA0-4C95-A07A-876793EB156B}"/>
    <hyperlink ref="A15" location="F2024_Q3!A1" display="GIRR Fall 2024 Question 3 (LOs 1l, 6d, 6e)" xr:uid="{7A128533-8EE3-4354-A43D-8BAE4464AD28}"/>
    <hyperlink ref="A16" location="F2024_Q4!A1" display="GIRR Fall 2024 Question 4 (LOs 1d, 2a, 2c)" xr:uid="{EF19FF14-5013-4EAA-A7F3-F5A79AC5A5BC}"/>
    <hyperlink ref="A23" location="F2021_Q1!A1" display="GIRR Fall 2020 Question 1 (LOs 2a)" xr:uid="{85B99474-DB06-4ACB-AC1C-5610C07C1DE9}"/>
    <hyperlink ref="A24" location="F2020_Q9!A1" display="GIRR Fall 2020 Question 9 (LOs 2d, 3e, 3f, 3g)" xr:uid="{152CBA7F-2C7A-4B13-8EB2-6DEFC2738A94}"/>
    <hyperlink ref="A25" location="F2020_Q16!A1" display="GIRR Fall 2020 Question 16 (LOs 2d, 5b, 5e, 6g)" xr:uid="{BA3CC833-5F75-4854-9F5F-8E48496493CD}"/>
    <hyperlink ref="A26" location="S2021_Q1!A1" display="GIRR Spring 2021 Question 1 (LOs 2c, 2d)" xr:uid="{D5523054-6866-49F3-90E0-1F47ADB85131}"/>
    <hyperlink ref="A28" location="F2021_Q6!A1" display="GIRR Fall 2021 Question 6 (LOs 2d, 3g)" xr:uid="{B9CC91DE-1A85-43C6-B4A6-04E8CCA02131}"/>
    <hyperlink ref="A27" location="F2021_Q1!A1" display="GIRR Fall 2021 Question 1 (LOs 2c, 2d)" xr:uid="{33514623-9A00-4EC0-AD68-B5EA3CB1D6CD}"/>
    <hyperlink ref="A29" location="F2021_Q16!A1" display="GIRR Fall 2021 Question 16 (LOs 2a, 3c, 3d)" xr:uid="{028FA5A6-E0AE-43BC-80BD-FE845B945D16}"/>
    <hyperlink ref="A30" location="S2022_Q1!A1" display="GIRR Spring 2022 Question 1 (LOs 2c, 2d)" xr:uid="{7D6F07F0-8549-46DF-A69B-C6A022482CD4}"/>
    <hyperlink ref="A31" location="S2022_Q2!A1" display="GIRR Spring 2022 Question 2 (LOs 1d, 2a, 3c, 3d)" xr:uid="{39AADD70-7F79-4DD6-AD9C-19850097D30D}"/>
    <hyperlink ref="A32" location="F2022_Q2!A1" display="GIRR Fall 2022 Question 2 (LOs 2d)" xr:uid="{A7270024-6C72-45C3-BD3D-9D96F8AE0130}"/>
    <hyperlink ref="A33" location="F2022_Q11!A1" display="GIRR Fall 2022 Question 11 (LOs 2b, 2c)" xr:uid="{08424778-D6FE-412D-9B4A-DCE05C27016F}"/>
    <hyperlink ref="A34" location="F2022_Q18!A1" display="GIRR Fall 2022 Question 18 (LOs 1d, 2a)" xr:uid="{EC10E6E3-60EF-4C24-8329-F46A9FF4775F}"/>
    <hyperlink ref="A35" location="S2023_Q1!A1" display="GIRR Spring 2023 Question 1 (LOs 2b, 2c, 2d)" xr:uid="{297BF51D-F6A5-474C-B046-4655FF043E36}"/>
    <hyperlink ref="A36" location="S2023_Q2!A1" display="GIRR Spring 2023 Question 2 (LOs 1g, 2a)" xr:uid="{8C9FE104-D05F-45F5-9C91-627CA3704145}"/>
    <hyperlink ref="A37" location="F2023_Q1!A1" display="GIRR Fall 2023 Question 1 (LOs 1d, 2a, 3d)" xr:uid="{15DB6985-5068-4BCA-B6AD-9600A3B3CF25}"/>
    <hyperlink ref="A38" location="F2023_Q9!A1" display="GIRR Fall 2023 Question 9 (LOs 2d)" xr:uid="{6AEF621A-AD16-49D4-A72C-78501B49E4AD}"/>
    <hyperlink ref="A39" location="F2023_Q15!A1" display="GIRR Fall 2023 Question 15 (LOs 2c, 2d)" xr:uid="{F42F6778-B4E1-47B5-8EB3-1A8618CC7A6B}"/>
    <hyperlink ref="A40" location="S2024_Q1!A1" display="GIRR Spring 2024 Question 1 (LOs 2c, 2d)" xr:uid="{605E3297-C316-4BFF-9F04-12D5C899D689}"/>
    <hyperlink ref="A41" location="S2024_Q5!A1" display="GIRR Spring 2024 Question 5 (LOs 1d, 1f, 3g, and 3j)" xr:uid="{C79E6743-1B28-493E-AB42-6A05159D2FB7}"/>
    <hyperlink ref="A42" location="S2024_Q13!A1" display="GIRR Spring 2024 Question 13 (LOs 2a)" xr:uid="{BF854443-045A-4C53-A21C-A7308FA33E75}"/>
    <hyperlink ref="A43" location="F2024_Q4!A1" display="GIRR Fall 2024 Question 4 (LOs 1d, 2a, 2c)" xr:uid="{E1FF1B3A-3394-4042-B554-016C390A4DD7}"/>
    <hyperlink ref="A44" location="F2024_Q10!A1" display="GIRR Fall 2024 Question 10 (LOs 2a, 3e, 3g)" xr:uid="{2C925755-6EEE-4C81-ADCB-CF0B7BFEE728}"/>
    <hyperlink ref="A45" location="F2024_Q11!A1" display="GIRR Fall 2024 Question 11 (LOs 2d, 5b, 5e)" xr:uid="{58973B8B-E291-4C16-A8F7-57FFAC49CFEF}"/>
    <hyperlink ref="A52" location="F2020_Q2!A1" display="GIRR Fall 2020 Question 2 (LOs 3e, 3f, 3g)" xr:uid="{5979215E-480A-4C21-AA37-FFF1CE359BDA}"/>
    <hyperlink ref="A53" location="F2020_Q9!A1" display="GIRR Fall 2020 Question 9 (LOs 2d, 3e, 3f, 3g)" xr:uid="{FC29FA44-A12B-4BA2-8BF2-AFAE022D114E}"/>
    <hyperlink ref="A54" location="F2020_Q19!A1" display="GIRR Fall 2020 Question 19 (LOs 3e, 3g)" xr:uid="{618B1033-6C1F-435E-AE34-EFB7062CFC2C}"/>
    <hyperlink ref="A55" location="S2021_Q2!A1" display="GIRR Spring 2021 Question 2 (LOs 3c, 3d)" xr:uid="{B81C2116-5EC0-4861-B10E-097003D59CFE}"/>
    <hyperlink ref="A56" location="S2021_Q3!A1" display="GIRR Spring 2021 Question 3 (LOs 3g, 4a, 4b, 4c, 5b, 5c, 5d, 5e)" xr:uid="{60941724-4677-4410-98D3-09BA5751DABD}"/>
    <hyperlink ref="A57" location="S2021_Q9!A1" display="GIRR Spring 2021 Question 9 (LOs 3d, 3f, 3g)" xr:uid="{28382BB7-ED0F-4F15-B36A-A590CA2C3ABC}"/>
    <hyperlink ref="A58" location="S2021_Q14!A1" display="GIRR Spring 2021 Question 14 (LOs 2d, 3g)" xr:uid="{C37324DF-72AC-4E8E-B5EA-1DBE3B637465}"/>
    <hyperlink ref="A59" location="S2021_Q19!A1" display="GIRR Spring 2021 Question 19 (LOs 3e, 3g, 3j)" xr:uid="{42166B0C-54D9-437C-837A-AA04A15837D7}"/>
    <hyperlink ref="A60" location="F2021_Q2!A1" display="GIRR Fall 2021 Question 2 (LOs 3a, 3e, 3f, 3g)" xr:uid="{92C0EC81-4BC6-4D99-B643-A283EE3BBF16}"/>
    <hyperlink ref="A61" location="F2021_Q6!A1" display="GIRR Fall 2021 Question 6 (LOs 1d, 1f, 3g, 3j)" xr:uid="{7AC9F2F6-6631-43B4-9BC2-87963FACD583}"/>
    <hyperlink ref="A62" location="F2021_Q11!A1" display="GIRR Fall 2021 Question 11 (LOs 3e, 3g)" xr:uid="{C2A0EB0E-0897-4629-94BC-5BF4AAF77EEA}"/>
    <hyperlink ref="A63" location="F2021_Q16!A1" display="GIRR Fall 2021 Question 16 (LOs 2a, 3c, 3d)" xr:uid="{454A50EC-D7D2-47D9-9A94-A805ACAA5800}"/>
    <hyperlink ref="A64" location="F2021_Q18!A1" display="GIRR Fall 2021 Question 18 (LOs 1d, 3f, 3g, 4a, 4b)" xr:uid="{5E88A3AD-13E0-4547-BF13-787A7E234AA3}"/>
    <hyperlink ref="A65" location="S2022_Q2!A1" display="GIRR Spring 2022 Question 2 (LOs 1d, 2a, 3c, 3d)" xr:uid="{E9CF7DD2-BBDF-4966-9454-ED91A0FFDC20}"/>
    <hyperlink ref="A66" location="S2022_Q8!A1" display="GIRR Spring 2022 Question 8 (LOs 3c, 3d, 3e, 3g)" xr:uid="{7C4B51CD-7508-4BF3-BC28-FA56707EE41A}"/>
    <hyperlink ref="A67" location="S2022_Q15!A1" display="GIRR Spring 2022 Question 15 (LOs 3e, 3g)" xr:uid="{1FA2C377-8F05-41FC-B066-EFF9BEC39A1D}"/>
    <hyperlink ref="A68" location="F2022_Q6!A1" display="GIRR Fall 2022 Question 6 (LOs 3g, 3j, 6b, 6c, 6d)" xr:uid="{021B7574-7B35-4249-8BFC-048A8B5E0C8F}"/>
    <hyperlink ref="A69" location="F2022_Q15!A1" display="GIRR Fall 2022 Question 15 (LOs 3d, 3e, 3g)" xr:uid="{B8CD2000-AF43-4FFD-A410-B33C37E86669}"/>
    <hyperlink ref="A70" location="F2022_Q17!A1" display="GIRR Fall 2022 Question 17 (LOs 3e, 3f, 3g, 3j)" xr:uid="{8C676F96-6631-4AAC-801B-DF30CBA80E66}"/>
    <hyperlink ref="A71" location="S2023_Q3!A1" display="GIRR Spring 2023 Question 3 (LOs 3e, 3g)" xr:uid="{74F20CFE-5D83-49F8-89FE-E532C3054288}"/>
    <hyperlink ref="A72" location="S2023_Q6!A1" display="GIRR Spring 2023 Question 6 (LOs 3e, 3g)" xr:uid="{EF22788A-1A11-45A9-8293-F78CBEE7A681}"/>
    <hyperlink ref="A73" location="S2023_Q11!A1" display="GIRR Spring 2023 Question 11 (LOs 3e, 3g)" xr:uid="{547A8892-9130-459B-A797-B6C093ABF834}"/>
    <hyperlink ref="A74" location="S2023_Q13!A1" display="GIRR Spring 2023 Question 13 (LOs 3c, 3d)" xr:uid="{D140DF1E-168C-456D-853B-DEF25663D6C5}"/>
    <hyperlink ref="A75" location="S2023_Q14!A1" display="GIRR Spring 2023 Question 14 (LOs 3g, 5c, 5d)" xr:uid="{70063131-9FD0-46E1-930F-E8587F6AFAD0}"/>
    <hyperlink ref="A76" location="F2023_Q1!A1" display="GIRR Fall 2023 Question 1 (LOs 1d, 2a, 3d)" xr:uid="{924CA4B0-3E3E-4C00-862F-E2729438C928}"/>
    <hyperlink ref="A77" location="F2023_Q5!A1" display="GIRR Fall 2023 Question 5 (LOs 3g)" xr:uid="{2819E7BA-D280-4150-A528-5411C2401CBA}"/>
    <hyperlink ref="A78" location="F2023_Q8!A1" display="GIRR Fall 2023 Question 8 (LOs 3g, 5c, 5d, 5e)" xr:uid="{C02EFCED-0D72-4846-A74B-E48A73424BC6}"/>
    <hyperlink ref="A79" location="F2023_Q10!A1" display="GIRR Fall 2023 Question 10 (LOs 3e, 3g)" xr:uid="{1E909D31-A4FD-4890-B45D-B09035BD6A3B}"/>
    <hyperlink ref="A80" location="F2023_Q13!A1" display="GIRR Fall 2023 Question 13 (LOs 3e, 3f, 3g)" xr:uid="{AEDAD603-2A4E-42C4-9E58-9704BCA4D171}"/>
    <hyperlink ref="A81" location="F2023_Q14!A1" display="GIRR Fall 2023 Question 14 (LOs 3c, 3d)" xr:uid="{3B44B249-85B5-4F31-881A-FE9271E7A74C}"/>
    <hyperlink ref="A82" location="S2024_Q2!A1" display="GIRR Spring 2024 Question 2 (LOs 3e, 3g)" xr:uid="{74EC04C7-EE29-4AFD-9933-45F6DE64EF0A}"/>
    <hyperlink ref="A83" location="S2024_Q7!A1" display="GIRR Spring 2024 Question 7 (LOs 1d, 3e, 3f, 3g)" xr:uid="{F96EB013-7C72-48BD-ADBF-B2FE27DB3D04}"/>
    <hyperlink ref="A84" location="S2024_Q10!A1" display="GIRR Spring 2024 Question 10 (LOs 3d, 3e, 3g)" xr:uid="{D51984A9-FF51-4B1B-A679-B6CECB16D87C}"/>
    <hyperlink ref="A85:XFD85" location="S2024_Q12!A1" display="GIRR Spring 2024 Question 12 (LOs 3g, 5c, 5d)" xr:uid="{7C7B5951-7E1D-4A8A-846C-74EF7822EFB2}"/>
    <hyperlink ref="A86" location="F2024_Q2!A1" display="GIRR Fall 2024 Question 2 (LOs 3e, 3f, 3g)" xr:uid="{FDDB0AE6-5AD5-4371-A2DD-441ABDCA4C6B}"/>
    <hyperlink ref="A87" location="F2024_Q10!A1" display="GIRR Fall 2024 Question 10 (LOs 2a, 3e, 3g)" xr:uid="{828DC0AF-008B-48F3-8DB9-E751B851C3F0}"/>
    <hyperlink ref="A88" location="F2024_Q12!A1" display="GIRR Fall 2024 Question 12 (LOs 3f, 3g, 3j)" xr:uid="{11AF7229-0DE5-47E6-B40A-A52071FFF240}"/>
    <hyperlink ref="A89" location="F2024_Q13!A1" display="GIRR Fall 2024 Question 13 (LOs 3e, 3g)" xr:uid="{C221461E-1A19-4A0C-A3FD-C9BB16CF4CEF}"/>
    <hyperlink ref="A96" location="F2020_Q15!A1" display="GIRR Fall 2020 Question 15 (LOs 1d, 1i, 4b, 4c)" xr:uid="{991F72D4-31D1-4A82-81C8-E746ECCF11F7}"/>
    <hyperlink ref="A97" location="S2021_Q3!A1" display="GIRR Spring 2021 Question 3 (LOs 3g, 4a, 4b, 4c, 5b, 5c, 5d, 5e)" xr:uid="{288AB5C6-452A-45B1-B2D4-0EFDBCFF834C}"/>
    <hyperlink ref="A98" location="F2021_Q18!A1" display="GIRR Fall 2021 Question 18 (LOs 1d, 3f, 3g, 4a, 4b)" xr:uid="{5504196C-87C5-4A3E-BB0A-9472C56D1900}"/>
    <hyperlink ref="A99" location="S2022_Q12!A1" display="GIRR Spring 2022 Question 12 (LOs 4b, 4c)" xr:uid="{614B2499-6DA6-4CA1-8CD6-D2D88D6506AC}"/>
    <hyperlink ref="A100" location="F2022_Q12!A1" display="GIRR Fall 2022 Question 12 (LOs 4a, 4b, 4c)" xr:uid="{DB746F91-53DE-4720-B470-F49BDB445CFC}"/>
    <hyperlink ref="A101" location="S2023_Q9!A1" display="GIRR Spring 2023 Question 9 (LOs 4a, 4b, 4c)" xr:uid="{558737AC-864E-4C41-AA96-C4610455EA05}"/>
    <hyperlink ref="A102" location="F2023_Q4!A1" display="GIRR Fall 2023 Question 4 (LOs 4b)" xr:uid="{1237B96E-C706-42A7-93B3-4B8A9856BDF8}"/>
    <hyperlink ref="A103" location="S2024_Q8!A1" display="GIRR Spring 2024 Question 8 (LOs 4a, 4b, 4c)" xr:uid="{8B5CCA2F-F2DD-4567-B282-B8A8DBA5897A}"/>
    <hyperlink ref="A104" location="F2024_Q9!A1" display="GIRR Fall 2024 Question 9 (LOs 4a, 4b)" xr:uid="{6F990FCF-2C8E-40CA-8AF9-794396F891B7}"/>
    <hyperlink ref="A111" location="F2020_Q16!A1" display="GIRR Fall 2020 Question 16 (LOs 2d, 5b, 5e, 6g)" xr:uid="{FDB6BFA3-804D-4B19-B2EF-D643EA88C139}"/>
    <hyperlink ref="A112" location="F2020_Q20!A1" display="GIRR Fall 2020 Question 20 (LOs 5a, 5b, 5c, 5d, 5e)" xr:uid="{9D6F587F-B757-47BE-8140-71F6610F3489}"/>
    <hyperlink ref="A113" location="S2021_Q3!A1" display="GIRR Spring 2021 Question 3 (LOs 3g, 4a, 4b, 4c, 5b, 5c, 5d, 5e)" xr:uid="{B1D0CC1B-BB82-494F-ACA7-6B9C5A588DDA}"/>
    <hyperlink ref="A114" location="S2021_Q12!A1" display="GIRR Spring 2021 Question 12 (LOs 5b, 5c, 5d, 5e, 6g, 6h)" xr:uid="{2BD31039-B04F-4202-85DD-263B21E91AC7}"/>
    <hyperlink ref="A115" location="F2021_Q4!A1" display="GIRR Fall 2021 Question 4 (LOs 5b, 5e, 6d, 6e, 6g)" xr:uid="{CD1C6F33-88F4-4BFA-8A04-22829C906DC2}"/>
    <hyperlink ref="A116" location="F2021_Q5!A1" display="GIRR Fall 2021 Question 5 (LOs 5b, 5c)" xr:uid="{CA20E1F7-60FE-4FE8-8327-072B33C57678}"/>
    <hyperlink ref="A117" location="S2022_Q16!A1" display="GIRR Spring 2022 Question 16 (LOs 5b, 5c, 5d, 5e)" xr:uid="{05B4CE69-9B38-4CD8-B00A-53BD1AA1C927}"/>
    <hyperlink ref="A118" location="S2022_Q17!A1" display="GIRR Spring 2022 Question 17 (LOs 5b, 5e, 6d, 6e, 6g, 6h)" xr:uid="{5E38175C-63F1-4095-8D2E-28CAB9AEAA07}"/>
    <hyperlink ref="A119" location="F2022_Q6!A1" display="GIRR Fall 2022 Question 6 (LOs 3g, 3j, 6b, 6c, 6d)" xr:uid="{A7B1B54F-17B7-4167-92CB-3E72E761C27C}"/>
    <hyperlink ref="A120" location="F2022_Q14!A1" display="GIRR Fall 2022 Question 14 (LOs 5b, 5c, 5d, 5e, 6e, 6g, 6h)" xr:uid="{DC1E8863-283C-402F-8D09-E337001EF767}"/>
    <hyperlink ref="A121" location="F2022_Q16!A1" display="GIRR Fall 2022 Question 16 (LOs 5b, 5c, 5d, 5e)" xr:uid="{FB46840D-9EA1-4A2F-85EA-D3DDDCAB0926}"/>
    <hyperlink ref="A122" location="S2023_Q5!A1" display="GIRR Spring 2023 Question 5 (LOs 5b, 5c, 5d, 5e, 6g)" xr:uid="{8B07049A-5D57-4EE1-BBB3-56E073F63910}"/>
    <hyperlink ref="A123" location="S2023_Q8!A1" display="GIRR Spring 2023 Question 8 (LOs 5a, 5b, 5e, 6c, 6d)" xr:uid="{44C75A55-83CB-4A97-B087-8A7E0BE7F16C}"/>
    <hyperlink ref="A124" location="S2023_Q14!A1" display="GIRR Spring 2023 Question 14 (LOs 3g, 5c, 5d)" xr:uid="{F7E7909B-4ACC-47AA-A57B-13B385CA4179}"/>
    <hyperlink ref="A125" location="F2023_Q3!A1" display="GIRR Fall 2023 Question 3 (LOs 5b, 5e, 6d)" xr:uid="{261668B8-79AE-4740-A774-32279A3F304C}"/>
    <hyperlink ref="A126" location="F2023_Q8!A1" display="GIRR Fall 2023 Question 8 (LOs 3g, 5c, 5d, 5e)" xr:uid="{22E485F7-EC5F-4D32-9DD4-006BF6AB11AE}"/>
    <hyperlink ref="A127" location="F2023_Q11!A1" display="GIRR Fall 2023 Question 11 (LOs 5b, 5c, 5d, 5e, 6a)" xr:uid="{39983030-8C33-4BB6-9BC2-5E60E4D03C75}"/>
    <hyperlink ref="A128" location="F2023_Q12!A1" display="GIRR Fall 2023 Question 12 (LOs 5b, 5c, 5d, 5e, 6g, 6h)" xr:uid="{C60E8E11-518A-4825-96A2-99DC7BBF115F}"/>
    <hyperlink ref="A129" location="S2024_Q3!A1" display="GIRR Spring 2024 Question 3 (LOs 5b, 5c, 5e)" xr:uid="{7D2E8689-D716-4E2B-B588-991C478076C9}"/>
    <hyperlink ref="A130" location="S2024_Q5!A1" display="GIRR Spring 2024 Question 5 (LOs 1d, 1f, 3g, and 3j)" xr:uid="{E1D84396-2CA2-48EB-9AE2-30CF11D55FCF}"/>
    <hyperlink ref="A131" location="S2024_Q12!A1" display="GIRR Spring 2024 Question 12 (LOs 3g, 5c, 5d)" xr:uid="{465A20A8-C283-4CE5-A123-84A5A264622F}"/>
    <hyperlink ref="A132" location="F2024_Q8!A1" display="GIRR Fall 2024 Question 8 (LOs 5e)" xr:uid="{AE904393-A32F-4FC3-BF84-E7CB4AAFD337}"/>
    <hyperlink ref="A133" location="F2024_Q11!A1" display="GIRR Fall 2024 Question 11 (LOs 2d, 5b, 5e)" xr:uid="{84338C99-AA5C-4CB3-BC7A-92A3429B16CB}"/>
    <hyperlink ref="A140" location="F2020_Q5!A1" display="GIRR Fall 2020 Question 5 (LOs 6a)" xr:uid="{520F025C-FE56-44D8-8E39-76C031AC8A0E}"/>
    <hyperlink ref="A141" location="F2020_Q13!A1" display="GIRR Fall 2020 Question 13 (LOs 6c, 6d)" xr:uid="{F5780364-F7FA-4E92-9E15-F3199B7F2AD2}"/>
    <hyperlink ref="A142" location="F2020_Q16!A1" display="GIRR Fall 2020 Question 16 (LOs 2d, 5b, 5e, 6g)" xr:uid="{5AAEE9C0-A8E1-402C-BFAC-82073F17D101}"/>
    <hyperlink ref="A143" location="S2021_Q12!A1" display="GIRR Spring 2021 Question 12 (LOs 5b, 5c, 5d, 5e, 6g, 6h)" xr:uid="{5B9238D5-AD00-436C-BB57-57FBE3B4F1EE}"/>
    <hyperlink ref="A144" location="S2021_Q16!A1" display="GIRR Spring 2021 Question 16 (LOs 6c, 6d)" xr:uid="{EF549EB1-9030-4658-A1FC-A5B65C9BF9DD}"/>
    <hyperlink ref="A145" location="S2021_Q18!A1" display="GIRR Spring 2021 Question 18 (LOs 6a)" xr:uid="{788E032A-773C-402A-91FB-2C12BDA2FA4A}"/>
    <hyperlink ref="A146" location="F2021_Q4!A1" display="GIRR Fall 2021 Question 4 (LOs 5b, 5e, 6d, 6e, 6g)" xr:uid="{F5C593C6-F2BB-43CB-B871-2947B9564AE9}"/>
    <hyperlink ref="A147" location="F2021_Q15!A1" display="GIRR Fall 2021 Question 15 (LOs 6g)" xr:uid="{7AE81A05-7AAE-4772-A12E-6F0842AF1CC4}"/>
    <hyperlink ref="A148" location="F2021_Q20!A1" display="GIRR Fall 2021 Question 20 (LOs 6a)" xr:uid="{7032FF74-E0EA-4257-B12F-61764060BFD8}"/>
    <hyperlink ref="A149" location="S2022_Q17!A1" display="GIRR Spring 2022 Question 17 (LOs 5b, 5e, 6d, 6e, 6g, 6h)" xr:uid="{7A673213-13A9-48F5-AD61-69115BF47E38}"/>
    <hyperlink ref="A150" location="F2022_Q5!A1" display="GIRR Fall 2022 Question 5 (LOs 6a)" xr:uid="{47CAF396-D4CB-4C43-A42A-3F8E488E8B1A}"/>
    <hyperlink ref="A151" location="F2022_Q14!A1" display="GIRR Fall 2022 Question 14 (LOs 5b, 5c, 5d, 5e, 6e, 6g, 6h)" xr:uid="{280E1D62-4601-4E81-A6EC-DFF5413BD83F}"/>
    <hyperlink ref="A152" location="S2023_Q4!A1" display="GIRR Spring 2023 Question 4 (LOs 6a)" xr:uid="{9B4F3D60-6B93-4F43-A92F-673124C69188}"/>
    <hyperlink ref="A153" location="S2023_Q5!A1" display="GIRR Spring 2023 Question 5 (LOs 5b, 5c, 5d, 5e, 6g)" xr:uid="{2642CE52-D0CE-4469-850E-B946597B9664}"/>
    <hyperlink ref="A154" location="S2023_Q8!A1" display="GIRR Spring 2023 Question 8 (LOs 5a, 5b, 5e, 6c, 6d)" xr:uid="{FCB1FCE8-A5E3-447A-9018-974D6E3E2F09}"/>
    <hyperlink ref="A155" location="F2023_Q3!A1" display="GIRR Fall 2023 Question 3 (LOs 5b, 5e, 6d)" xr:uid="{13ED7630-E115-4DF6-8875-FC90D535E2C8}"/>
    <hyperlink ref="A156" location="F2023_Q11!A1" display="GIRR Fall 2023 Question 11 (LOs 5b, 5c, 5d, 5e, 6a)" xr:uid="{8954231D-14C5-457D-A54C-A8333DB2E43E}"/>
    <hyperlink ref="A157" location="F2023_Q12!A1" display="GIRR Fall 2023 Question 12 (LOs 5b, 5c, 5d, 5e, 6g, 6h)" xr:uid="{E32FE14A-A8F5-4B80-A27D-291F139A0795}"/>
    <hyperlink ref="A158" location="S2024_Q5!A1" display="GIRR Spring 2024 Question 5 (LOs 1d, 1f, 3g, and 3j)" xr:uid="{31ACA5A7-579C-4243-9EF7-510E3DD6C67E}"/>
    <hyperlink ref="A159" location="F2024_Q3!A1" display="GIRR Fall 2024 Question 3 (LOs 1l, 6d, 6e)" xr:uid="{623E642F-A99A-46C6-9BE4-AFBC5464BD85}"/>
    <hyperlink ref="A160" location="F2024_Q5!A1" display="GIRR Fall 2024 Question 5 (LOs 6f, 6g)" xr:uid="{F1ED51FA-5F18-4B1C-B50E-423CCDF4DD3E}"/>
    <hyperlink ref="A161" location="F2024_Q6!A1" display="GIRR Fall 2024 Question 6 (LOs 6a)" xr:uid="{C5B18D66-B085-464A-9F30-B2CBF8FB9F38}"/>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6CE3A-D945-4736-9FF4-19B0294E032C}">
  <dimension ref="A1:R84"/>
  <sheetViews>
    <sheetView zoomScaleNormal="100" workbookViewId="0"/>
  </sheetViews>
  <sheetFormatPr defaultRowHeight="15.6"/>
  <cols>
    <col min="1" max="1" width="8.88671875" style="2" customWidth="1"/>
    <col min="2" max="2" width="11.77734375" style="2" customWidth="1"/>
    <col min="3" max="5" width="12.77734375" style="2" customWidth="1"/>
    <col min="6" max="9" width="10.77734375" style="2" customWidth="1"/>
    <col min="10" max="16384" width="8.88671875" style="2"/>
  </cols>
  <sheetData>
    <row r="1" spans="1:15" ht="17.399999999999999">
      <c r="A1" s="13" t="s">
        <v>745</v>
      </c>
      <c r="B1" s="1"/>
      <c r="C1" s="1"/>
      <c r="D1" s="1" t="s">
        <v>216</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6" spans="1:15">
      <c r="A6" s="15"/>
      <c r="B6" s="14"/>
      <c r="C6" s="14"/>
      <c r="D6" s="14"/>
      <c r="E6" s="14"/>
      <c r="F6" s="14"/>
      <c r="G6" s="14"/>
      <c r="H6" s="14"/>
      <c r="I6" s="14"/>
      <c r="J6" s="14"/>
      <c r="K6" s="14"/>
      <c r="L6" s="14"/>
    </row>
    <row r="7" spans="1:15">
      <c r="A7" s="1" t="s">
        <v>708</v>
      </c>
      <c r="B7" s="14"/>
      <c r="C7" s="14"/>
      <c r="D7" s="14"/>
      <c r="E7" s="14"/>
      <c r="F7" s="14"/>
      <c r="G7" s="14"/>
      <c r="H7" s="14"/>
      <c r="I7" s="14"/>
      <c r="J7" s="14"/>
      <c r="K7" s="14"/>
      <c r="L7" s="14"/>
    </row>
    <row r="8" spans="1:15">
      <c r="A8" s="15"/>
      <c r="B8" s="14"/>
      <c r="C8" s="14"/>
      <c r="D8" s="14"/>
      <c r="E8" s="14"/>
      <c r="F8" s="14"/>
      <c r="G8" s="14"/>
      <c r="H8" s="14"/>
      <c r="I8" s="14"/>
      <c r="J8" s="14"/>
      <c r="K8" s="14"/>
      <c r="L8" s="14"/>
    </row>
    <row r="9" spans="1:15">
      <c r="A9" s="15"/>
      <c r="B9" s="829" t="s">
        <v>49</v>
      </c>
      <c r="C9" s="829" t="s">
        <v>178</v>
      </c>
      <c r="D9" s="829" t="s">
        <v>709</v>
      </c>
      <c r="E9" s="829"/>
      <c r="F9" s="829"/>
      <c r="G9" s="829"/>
      <c r="H9" s="829"/>
      <c r="I9" s="829"/>
      <c r="J9" s="14"/>
      <c r="K9" s="14"/>
      <c r="L9" s="14"/>
    </row>
    <row r="10" spans="1:15">
      <c r="A10" s="15"/>
      <c r="B10" s="829"/>
      <c r="C10" s="829"/>
      <c r="D10" s="5">
        <v>12</v>
      </c>
      <c r="E10" s="5">
        <v>24</v>
      </c>
      <c r="F10" s="5">
        <v>36</v>
      </c>
      <c r="G10" s="5">
        <v>48</v>
      </c>
      <c r="H10" s="5">
        <v>60</v>
      </c>
      <c r="I10" s="5">
        <v>72</v>
      </c>
      <c r="J10" s="14"/>
      <c r="K10" s="14"/>
      <c r="L10" s="14"/>
    </row>
    <row r="11" spans="1:15">
      <c r="A11" s="15"/>
      <c r="B11" s="6">
        <v>2015</v>
      </c>
      <c r="C11" s="7">
        <v>23313</v>
      </c>
      <c r="D11" s="7">
        <v>5108</v>
      </c>
      <c r="E11" s="7">
        <v>8571</v>
      </c>
      <c r="F11" s="7">
        <v>11226</v>
      </c>
      <c r="G11" s="7">
        <v>12960</v>
      </c>
      <c r="H11" s="7">
        <v>13912</v>
      </c>
      <c r="I11" s="7">
        <v>14520</v>
      </c>
      <c r="J11" s="14"/>
      <c r="K11" s="14"/>
      <c r="L11" s="14"/>
    </row>
    <row r="12" spans="1:15">
      <c r="A12" s="15"/>
      <c r="B12" s="6">
        <v>2016</v>
      </c>
      <c r="C12" s="7">
        <v>22459</v>
      </c>
      <c r="D12" s="7">
        <v>5241</v>
      </c>
      <c r="E12" s="7">
        <v>8759</v>
      </c>
      <c r="F12" s="7">
        <v>11451</v>
      </c>
      <c r="G12" s="7">
        <v>13129</v>
      </c>
      <c r="H12" s="7">
        <v>14071</v>
      </c>
      <c r="I12" s="6"/>
      <c r="J12" s="14"/>
      <c r="K12" s="14"/>
      <c r="L12" s="14"/>
    </row>
    <row r="13" spans="1:15">
      <c r="A13" s="15"/>
      <c r="B13" s="6">
        <v>2017</v>
      </c>
      <c r="C13" s="7">
        <v>22525</v>
      </c>
      <c r="D13" s="7">
        <v>5436</v>
      </c>
      <c r="E13" s="7">
        <v>8640</v>
      </c>
      <c r="F13" s="7">
        <v>11222</v>
      </c>
      <c r="G13" s="7">
        <v>12825</v>
      </c>
      <c r="H13" s="6"/>
      <c r="I13" s="6"/>
      <c r="J13" s="14"/>
      <c r="K13" s="14"/>
      <c r="L13" s="14"/>
    </row>
    <row r="14" spans="1:15">
      <c r="A14" s="15"/>
      <c r="B14" s="6">
        <v>2018</v>
      </c>
      <c r="C14" s="7">
        <v>21688</v>
      </c>
      <c r="D14" s="7">
        <v>5787</v>
      </c>
      <c r="E14" s="7">
        <v>9153</v>
      </c>
      <c r="F14" s="7">
        <v>11822</v>
      </c>
      <c r="G14" s="6"/>
      <c r="H14" s="6"/>
      <c r="I14" s="6"/>
      <c r="J14" s="14"/>
      <c r="K14" s="14"/>
      <c r="L14" s="14"/>
    </row>
    <row r="15" spans="1:15">
      <c r="A15" s="15"/>
      <c r="B15" s="6">
        <v>2019</v>
      </c>
      <c r="C15" s="7">
        <v>20743</v>
      </c>
      <c r="D15" s="7">
        <v>5103</v>
      </c>
      <c r="E15" s="7">
        <v>7968</v>
      </c>
      <c r="F15" s="6"/>
      <c r="G15" s="6"/>
      <c r="H15" s="6"/>
      <c r="I15" s="6"/>
      <c r="J15" s="14"/>
      <c r="K15" s="14"/>
      <c r="L15" s="14"/>
    </row>
    <row r="16" spans="1:15">
      <c r="A16" s="15"/>
      <c r="B16" s="6">
        <v>2020</v>
      </c>
      <c r="C16" s="7">
        <v>17850</v>
      </c>
      <c r="D16" s="7">
        <v>3370</v>
      </c>
      <c r="E16" s="6"/>
      <c r="F16" s="6"/>
      <c r="G16" s="339"/>
      <c r="H16" s="339"/>
      <c r="I16" s="340"/>
      <c r="J16" s="14"/>
      <c r="K16" s="14"/>
      <c r="L16" s="14"/>
    </row>
    <row r="17" spans="1:18">
      <c r="A17" s="15"/>
      <c r="B17" s="14"/>
      <c r="C17" s="14"/>
      <c r="D17" s="14"/>
      <c r="E17" s="14"/>
      <c r="F17" s="14"/>
      <c r="G17" s="14"/>
      <c r="H17" s="14"/>
      <c r="I17" s="14"/>
      <c r="J17" s="14"/>
      <c r="K17" s="14"/>
      <c r="L17" s="14"/>
    </row>
    <row r="18" spans="1:18">
      <c r="A18" s="15"/>
      <c r="B18" s="17" t="s">
        <v>710</v>
      </c>
      <c r="C18" s="14"/>
      <c r="D18" s="14"/>
      <c r="E18" s="14"/>
      <c r="F18" s="14"/>
      <c r="G18" s="14"/>
      <c r="H18" s="14"/>
      <c r="I18" s="14"/>
      <c r="J18" s="14"/>
      <c r="K18" s="14"/>
      <c r="L18" s="14"/>
    </row>
    <row r="19" spans="1:18">
      <c r="A19" s="15"/>
      <c r="B19" s="17" t="s">
        <v>711</v>
      </c>
      <c r="C19" s="14"/>
      <c r="D19" s="14"/>
      <c r="E19" s="14"/>
      <c r="F19" s="14"/>
      <c r="G19" s="14"/>
      <c r="H19" s="14"/>
      <c r="I19" s="14"/>
      <c r="J19" s="14"/>
      <c r="K19" s="14"/>
      <c r="L19" s="14"/>
    </row>
    <row r="20" spans="1:18">
      <c r="A20" s="15"/>
      <c r="B20" s="884" t="s">
        <v>712</v>
      </c>
      <c r="C20" s="840"/>
      <c r="D20" s="840"/>
      <c r="E20" s="840"/>
      <c r="F20" s="840"/>
      <c r="G20" s="840"/>
      <c r="H20" s="840"/>
      <c r="I20" s="840"/>
      <c r="J20" s="840"/>
      <c r="K20" s="840"/>
      <c r="L20" s="840"/>
    </row>
    <row r="21" spans="1:18">
      <c r="A21" s="15"/>
      <c r="B21" s="840"/>
      <c r="C21" s="840"/>
      <c r="D21" s="840"/>
      <c r="E21" s="840"/>
      <c r="F21" s="840"/>
      <c r="G21" s="840"/>
      <c r="H21" s="840"/>
      <c r="I21" s="840"/>
      <c r="J21" s="840"/>
      <c r="K21" s="840"/>
      <c r="L21" s="840"/>
    </row>
    <row r="22" spans="1:18">
      <c r="A22" s="15"/>
      <c r="B22" s="14"/>
      <c r="C22" s="14"/>
      <c r="D22" s="14"/>
      <c r="E22" s="14"/>
      <c r="F22" s="14"/>
      <c r="G22" s="14"/>
      <c r="H22" s="14"/>
      <c r="I22" s="14"/>
      <c r="J22" s="14"/>
      <c r="K22" s="14"/>
      <c r="L22" s="14"/>
    </row>
    <row r="23" spans="1:18">
      <c r="A23" s="3"/>
      <c r="B23" s="3"/>
      <c r="C23" s="3"/>
      <c r="D23" s="3"/>
      <c r="E23" s="3"/>
      <c r="F23" s="3"/>
      <c r="G23" s="3"/>
      <c r="H23" s="3"/>
      <c r="I23" s="3"/>
      <c r="J23" s="3"/>
      <c r="K23" s="3"/>
      <c r="L23" s="3"/>
    </row>
    <row r="24" spans="1:18">
      <c r="A24" s="17" t="s">
        <v>133</v>
      </c>
      <c r="B24" s="1" t="s">
        <v>713</v>
      </c>
      <c r="C24" s="1"/>
      <c r="D24" s="1"/>
      <c r="E24" s="1"/>
      <c r="F24" s="1"/>
      <c r="G24" s="1"/>
      <c r="H24" s="1"/>
      <c r="I24" s="1"/>
      <c r="J24" s="1"/>
      <c r="K24" s="1"/>
      <c r="L24" s="1"/>
      <c r="M24" s="9"/>
      <c r="N24" s="9"/>
      <c r="O24" s="9"/>
      <c r="P24" s="9"/>
      <c r="Q24" s="9"/>
      <c r="R24" s="9"/>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3"/>
      <c r="B27" s="107" t="s">
        <v>58</v>
      </c>
      <c r="C27" s="341" t="s">
        <v>714</v>
      </c>
      <c r="D27" s="341" t="s">
        <v>715</v>
      </c>
      <c r="E27" s="341" t="s">
        <v>716</v>
      </c>
      <c r="F27" s="341" t="s">
        <v>717</v>
      </c>
      <c r="G27" s="341" t="s">
        <v>718</v>
      </c>
      <c r="H27" s="342" t="s">
        <v>719</v>
      </c>
      <c r="I27" s="3"/>
      <c r="J27" s="3"/>
      <c r="K27" s="3"/>
      <c r="L27" s="3"/>
      <c r="M27" s="3"/>
      <c r="N27" s="9"/>
    </row>
    <row r="28" spans="1:18">
      <c r="A28" s="3"/>
      <c r="B28" s="94">
        <f>B11</f>
        <v>2015</v>
      </c>
      <c r="C28" s="332">
        <f>E11/D11</f>
        <v>1.677956147220047</v>
      </c>
      <c r="D28" s="332">
        <f t="shared" ref="D28:G28" si="0">F11/E11</f>
        <v>1.3097654882744136</v>
      </c>
      <c r="E28" s="332">
        <f t="shared" si="0"/>
        <v>1.1544628540887225</v>
      </c>
      <c r="F28" s="332">
        <f t="shared" si="0"/>
        <v>1.0734567901234568</v>
      </c>
      <c r="G28" s="332">
        <f t="shared" si="0"/>
        <v>1.0437032777458308</v>
      </c>
      <c r="H28" s="332"/>
      <c r="I28" s="3"/>
      <c r="J28" s="3"/>
      <c r="K28" s="3"/>
      <c r="L28" s="3"/>
      <c r="M28" s="3"/>
      <c r="N28" s="9"/>
    </row>
    <row r="29" spans="1:18">
      <c r="B29" s="94">
        <f t="shared" ref="B29:B32" si="1">B12</f>
        <v>2016</v>
      </c>
      <c r="C29" s="332">
        <f t="shared" ref="C29:F32" si="2">E12/D12</f>
        <v>1.6712459454302615</v>
      </c>
      <c r="D29" s="332">
        <f t="shared" si="2"/>
        <v>1.3073410206644593</v>
      </c>
      <c r="E29" s="332">
        <f t="shared" si="2"/>
        <v>1.1465374203126364</v>
      </c>
      <c r="F29" s="332">
        <f t="shared" si="2"/>
        <v>1.071749562038236</v>
      </c>
      <c r="G29" s="332"/>
      <c r="H29" s="332"/>
      <c r="I29" s="3"/>
      <c r="M29" s="9"/>
      <c r="N29" s="9"/>
    </row>
    <row r="30" spans="1:18">
      <c r="B30" s="94">
        <f t="shared" si="1"/>
        <v>2017</v>
      </c>
      <c r="C30" s="332">
        <f t="shared" si="2"/>
        <v>1.5894039735099337</v>
      </c>
      <c r="D30" s="332">
        <f t="shared" si="2"/>
        <v>1.2988425925925926</v>
      </c>
      <c r="E30" s="332">
        <f t="shared" si="2"/>
        <v>1.1428444127606487</v>
      </c>
      <c r="F30" s="332"/>
      <c r="G30" s="332"/>
      <c r="H30" s="332"/>
      <c r="I30" s="3"/>
      <c r="M30" s="9"/>
      <c r="N30" s="9"/>
    </row>
    <row r="31" spans="1:18">
      <c r="B31" s="94">
        <f t="shared" si="1"/>
        <v>2018</v>
      </c>
      <c r="C31" s="332">
        <f t="shared" si="2"/>
        <v>1.5816485225505443</v>
      </c>
      <c r="D31" s="332">
        <f t="shared" si="2"/>
        <v>1.2915983830438107</v>
      </c>
      <c r="E31" s="332"/>
      <c r="F31" s="332"/>
      <c r="G31" s="332"/>
      <c r="H31" s="332"/>
      <c r="I31" s="3"/>
      <c r="M31" s="9"/>
      <c r="N31" s="9"/>
    </row>
    <row r="32" spans="1:18">
      <c r="B32" s="94">
        <f t="shared" si="1"/>
        <v>2019</v>
      </c>
      <c r="C32" s="332">
        <f t="shared" si="2"/>
        <v>1.5614344503233393</v>
      </c>
      <c r="D32" s="332"/>
      <c r="E32" s="332"/>
      <c r="F32" s="332"/>
      <c r="G32" s="332"/>
      <c r="H32" s="332"/>
      <c r="I32" s="3"/>
      <c r="M32" s="9"/>
      <c r="N32" s="9"/>
    </row>
    <row r="33" spans="1:14">
      <c r="B33" s="94"/>
      <c r="C33" s="332"/>
      <c r="D33" s="332"/>
      <c r="E33" s="332"/>
      <c r="F33" s="332"/>
      <c r="G33" s="332"/>
      <c r="H33" s="332"/>
      <c r="I33" s="3"/>
      <c r="M33" s="9"/>
      <c r="N33" s="9"/>
    </row>
    <row r="34" spans="1:14">
      <c r="B34" s="143" t="s">
        <v>720</v>
      </c>
      <c r="C34" s="332">
        <f>AVERAGE(C28:C32)</f>
        <v>1.6163378078068251</v>
      </c>
      <c r="D34" s="332">
        <f t="shared" ref="D34:G34" si="3">AVERAGE(D28:D32)</f>
        <v>1.301886871143819</v>
      </c>
      <c r="E34" s="332">
        <f t="shared" si="3"/>
        <v>1.1479482290540026</v>
      </c>
      <c r="F34" s="332">
        <f t="shared" si="3"/>
        <v>1.0726031760808463</v>
      </c>
      <c r="G34" s="332">
        <f t="shared" si="3"/>
        <v>1.0437032777458308</v>
      </c>
      <c r="H34" s="332"/>
      <c r="I34" s="3"/>
      <c r="M34" s="9"/>
      <c r="N34" s="9"/>
    </row>
    <row r="35" spans="1:14">
      <c r="B35" s="143" t="s">
        <v>721</v>
      </c>
      <c r="C35" s="332">
        <f>AVERAGE(C30:C32)</f>
        <v>1.5774956487946057</v>
      </c>
      <c r="D35" s="332">
        <f>AVERAGE(D29:D31)</f>
        <v>1.2992606654336207</v>
      </c>
      <c r="E35" s="332">
        <f>E34</f>
        <v>1.1479482290540026</v>
      </c>
      <c r="F35" s="332">
        <f>F34</f>
        <v>1.0726031760808463</v>
      </c>
      <c r="G35" s="332">
        <f>G34</f>
        <v>1.0437032777458308</v>
      </c>
      <c r="H35" s="332"/>
      <c r="I35" s="3"/>
      <c r="M35" s="9"/>
      <c r="N35" s="9"/>
    </row>
    <row r="36" spans="1:14">
      <c r="B36" s="143" t="s">
        <v>722</v>
      </c>
      <c r="C36" s="332">
        <f>C35</f>
        <v>1.5774956487946057</v>
      </c>
      <c r="D36" s="332">
        <f t="shared" ref="D36:G36" si="4">D35</f>
        <v>1.2992606654336207</v>
      </c>
      <c r="E36" s="332">
        <f t="shared" si="4"/>
        <v>1.1479482290540026</v>
      </c>
      <c r="F36" s="332">
        <f t="shared" si="4"/>
        <v>1.0726031760808463</v>
      </c>
      <c r="G36" s="332">
        <f t="shared" si="4"/>
        <v>1.0437032777458308</v>
      </c>
      <c r="H36" s="332">
        <v>1.1000000000000001</v>
      </c>
      <c r="I36" s="3"/>
      <c r="M36" s="9"/>
      <c r="N36" s="9"/>
    </row>
    <row r="37" spans="1:14">
      <c r="C37" s="34"/>
      <c r="D37" s="34"/>
      <c r="E37" s="34"/>
      <c r="F37" s="34"/>
      <c r="G37" s="34"/>
      <c r="H37" s="34"/>
      <c r="M37" s="9"/>
      <c r="N37" s="9"/>
    </row>
    <row r="38" spans="1:14">
      <c r="B38" s="2" t="s">
        <v>723</v>
      </c>
      <c r="M38" s="9"/>
      <c r="N38" s="9"/>
    </row>
    <row r="40" spans="1:14">
      <c r="A40" s="17" t="s">
        <v>18</v>
      </c>
      <c r="B40" s="884" t="s">
        <v>724</v>
      </c>
      <c r="C40" s="871"/>
      <c r="D40" s="871"/>
      <c r="E40" s="871"/>
      <c r="F40" s="871"/>
      <c r="G40" s="871"/>
      <c r="H40" s="871"/>
      <c r="I40" s="871"/>
      <c r="J40" s="871"/>
      <c r="K40" s="871"/>
      <c r="L40" s="871"/>
    </row>
    <row r="41" spans="1:14">
      <c r="A41" s="14"/>
      <c r="B41" s="871"/>
      <c r="C41" s="871"/>
      <c r="D41" s="871"/>
      <c r="E41" s="871"/>
      <c r="F41" s="871"/>
      <c r="G41" s="871"/>
      <c r="H41" s="871"/>
      <c r="I41" s="871"/>
      <c r="J41" s="871"/>
      <c r="K41" s="871"/>
      <c r="L41" s="871"/>
    </row>
    <row r="42" spans="1:14">
      <c r="A42" s="3"/>
      <c r="B42" s="3"/>
      <c r="C42" s="3"/>
      <c r="D42" s="3"/>
      <c r="E42" s="3"/>
      <c r="F42" s="3"/>
      <c r="G42" s="3"/>
      <c r="H42" s="3"/>
      <c r="I42" s="3"/>
      <c r="J42" s="3"/>
      <c r="K42" s="3"/>
      <c r="L42" s="3"/>
    </row>
    <row r="43" spans="1:14">
      <c r="A43" s="3" t="s">
        <v>20</v>
      </c>
      <c r="B43" s="3"/>
      <c r="C43" s="3"/>
      <c r="D43" s="3"/>
      <c r="E43" s="3"/>
      <c r="F43" s="3"/>
      <c r="G43" s="3"/>
      <c r="H43" s="3"/>
      <c r="I43" s="3"/>
      <c r="J43" s="3"/>
      <c r="K43" s="3"/>
      <c r="L43" s="3"/>
    </row>
    <row r="44" spans="1:14">
      <c r="A44" s="3"/>
      <c r="B44" s="295"/>
      <c r="C44" s="341" t="s">
        <v>714</v>
      </c>
      <c r="D44" s="341" t="s">
        <v>715</v>
      </c>
      <c r="E44" s="341" t="s">
        <v>716</v>
      </c>
      <c r="F44" s="341" t="s">
        <v>717</v>
      </c>
      <c r="G44" s="341" t="s">
        <v>718</v>
      </c>
      <c r="H44" s="342" t="s">
        <v>719</v>
      </c>
      <c r="I44" s="3"/>
      <c r="J44" s="3"/>
      <c r="K44" s="3"/>
      <c r="L44" s="3"/>
    </row>
    <row r="45" spans="1:14">
      <c r="A45" s="3"/>
      <c r="B45" s="143" t="s">
        <v>725</v>
      </c>
      <c r="C45" s="332">
        <f>PRODUCT(C$36:$H36)</f>
        <v>2.8973140610703583</v>
      </c>
      <c r="D45" s="332">
        <f>PRODUCT(D$36:$H36)</f>
        <v>1.8366542331094546</v>
      </c>
      <c r="E45" s="332">
        <f>PRODUCT(E$36:$H36)</f>
        <v>1.4136148980516408</v>
      </c>
      <c r="F45" s="332">
        <f>PRODUCT(F$36:$H36)</f>
        <v>1.2314273956557846</v>
      </c>
      <c r="G45" s="332">
        <f>PRODUCT(G$36:$H36)</f>
        <v>1.1480736055204139</v>
      </c>
      <c r="H45" s="332">
        <f>PRODUCT($H$36:H36)</f>
        <v>1.1000000000000001</v>
      </c>
      <c r="I45" s="3"/>
      <c r="J45" s="3"/>
      <c r="K45" s="3"/>
      <c r="L45" s="3"/>
    </row>
    <row r="46" spans="1:14">
      <c r="A46" s="3"/>
      <c r="B46" s="3"/>
      <c r="C46" s="3"/>
      <c r="D46" s="3"/>
      <c r="E46" s="3"/>
      <c r="F46" s="3"/>
      <c r="G46" s="3"/>
      <c r="H46" s="3"/>
      <c r="I46" s="3"/>
      <c r="J46" s="3"/>
      <c r="K46" s="3"/>
      <c r="L46" s="3"/>
    </row>
    <row r="47" spans="1:14" ht="46.8">
      <c r="A47" s="3"/>
      <c r="B47" s="107" t="s">
        <v>58</v>
      </c>
      <c r="C47" s="93" t="s">
        <v>324</v>
      </c>
      <c r="D47" s="93" t="s">
        <v>726</v>
      </c>
      <c r="E47" s="93" t="s">
        <v>131</v>
      </c>
      <c r="F47" s="93" t="s">
        <v>727</v>
      </c>
      <c r="G47" s="18"/>
      <c r="H47" s="18"/>
      <c r="I47" s="18"/>
      <c r="J47" s="3"/>
      <c r="K47" s="3"/>
      <c r="L47" s="3"/>
    </row>
    <row r="48" spans="1:14">
      <c r="B48" s="94">
        <f>B11</f>
        <v>2015</v>
      </c>
      <c r="C48" s="343">
        <f>I11</f>
        <v>14520</v>
      </c>
      <c r="D48" s="344">
        <f>H$45</f>
        <v>1.1000000000000001</v>
      </c>
      <c r="E48" s="12">
        <f t="shared" ref="E48:E53" si="5">D48*C48</f>
        <v>15972.000000000002</v>
      </c>
      <c r="F48" s="345">
        <f t="shared" ref="F48:F53" si="6">E48/C11</f>
        <v>0.68511131128554892</v>
      </c>
      <c r="G48" s="18"/>
      <c r="H48" s="18"/>
      <c r="I48" s="18"/>
      <c r="M48" s="3"/>
    </row>
    <row r="49" spans="1:13">
      <c r="B49" s="94">
        <f t="shared" ref="B49:B53" si="7">B12</f>
        <v>2016</v>
      </c>
      <c r="C49" s="343">
        <f>H12</f>
        <v>14071</v>
      </c>
      <c r="D49" s="344">
        <f>G$45</f>
        <v>1.1480736055204139</v>
      </c>
      <c r="E49" s="12">
        <f t="shared" si="5"/>
        <v>16154.543703277744</v>
      </c>
      <c r="F49" s="345">
        <f t="shared" si="6"/>
        <v>0.71929042714625513</v>
      </c>
      <c r="G49" s="18"/>
      <c r="H49" s="18"/>
      <c r="I49" s="18"/>
      <c r="M49" s="3"/>
    </row>
    <row r="50" spans="1:13">
      <c r="B50" s="94">
        <f t="shared" si="7"/>
        <v>2017</v>
      </c>
      <c r="C50" s="343">
        <f>G13</f>
        <v>12825</v>
      </c>
      <c r="D50" s="344">
        <f>F$45</f>
        <v>1.2314273956557846</v>
      </c>
      <c r="E50" s="12">
        <f t="shared" si="5"/>
        <v>15793.056349285438</v>
      </c>
      <c r="F50" s="345">
        <f t="shared" si="6"/>
        <v>0.70113457710479188</v>
      </c>
      <c r="G50" s="18"/>
      <c r="H50" s="18"/>
      <c r="I50" s="18"/>
      <c r="M50" s="3"/>
    </row>
    <row r="51" spans="1:13">
      <c r="B51" s="94">
        <f t="shared" si="7"/>
        <v>2018</v>
      </c>
      <c r="C51" s="343">
        <f>F14</f>
        <v>11822</v>
      </c>
      <c r="D51" s="344">
        <f>E$45</f>
        <v>1.4136148980516408</v>
      </c>
      <c r="E51" s="12">
        <f t="shared" si="5"/>
        <v>16711.755324766498</v>
      </c>
      <c r="F51" s="345">
        <f t="shared" si="6"/>
        <v>0.77055308579705362</v>
      </c>
      <c r="G51" s="18"/>
      <c r="H51" s="18"/>
      <c r="I51" s="18"/>
    </row>
    <row r="52" spans="1:13">
      <c r="B52" s="94">
        <f t="shared" si="7"/>
        <v>2019</v>
      </c>
      <c r="C52" s="343">
        <f>E15</f>
        <v>7968</v>
      </c>
      <c r="D52" s="344">
        <f>D$45</f>
        <v>1.8366542331094546</v>
      </c>
      <c r="E52" s="12">
        <f t="shared" si="5"/>
        <v>14634.460929416135</v>
      </c>
      <c r="F52" s="345">
        <f t="shared" si="6"/>
        <v>0.70551322997715538</v>
      </c>
      <c r="G52" s="18"/>
      <c r="H52" s="18"/>
      <c r="I52" s="18"/>
    </row>
    <row r="53" spans="1:13">
      <c r="B53" s="107">
        <f t="shared" si="7"/>
        <v>2020</v>
      </c>
      <c r="C53" s="346">
        <f>D16</f>
        <v>3370</v>
      </c>
      <c r="D53" s="347">
        <f>C$45</f>
        <v>2.8973140610703583</v>
      </c>
      <c r="E53" s="348">
        <f t="shared" si="5"/>
        <v>9763.9483858071071</v>
      </c>
      <c r="F53" s="349">
        <f t="shared" si="6"/>
        <v>0.54699990956902556</v>
      </c>
      <c r="G53" s="18"/>
      <c r="H53" s="18"/>
      <c r="I53" s="18"/>
    </row>
    <row r="54" spans="1:13">
      <c r="B54" s="94" t="s">
        <v>132</v>
      </c>
      <c r="C54" s="343">
        <f>SUM(C48:C53)</f>
        <v>64576</v>
      </c>
      <c r="D54" s="350"/>
      <c r="E54" s="343">
        <f t="shared" ref="E54" si="8">SUM(E48:E53)</f>
        <v>89029.764692552912</v>
      </c>
      <c r="F54" s="350"/>
      <c r="G54" s="18"/>
      <c r="H54" s="18"/>
      <c r="I54" s="18"/>
    </row>
    <row r="56" spans="1:13">
      <c r="A56" s="17" t="s">
        <v>25</v>
      </c>
      <c r="B56" s="884" t="s">
        <v>728</v>
      </c>
      <c r="C56" s="871"/>
      <c r="D56" s="871"/>
      <c r="E56" s="871"/>
      <c r="F56" s="871"/>
      <c r="G56" s="871"/>
      <c r="H56" s="871"/>
      <c r="I56" s="871"/>
      <c r="J56" s="871"/>
      <c r="K56" s="871"/>
      <c r="L56" s="871"/>
    </row>
    <row r="57" spans="1:13">
      <c r="A57" s="14"/>
      <c r="B57" s="871"/>
      <c r="C57" s="871"/>
      <c r="D57" s="871"/>
      <c r="E57" s="871"/>
      <c r="F57" s="871"/>
      <c r="G57" s="871"/>
      <c r="H57" s="871"/>
      <c r="I57" s="871"/>
      <c r="J57" s="871"/>
      <c r="K57" s="871"/>
      <c r="L57" s="871"/>
    </row>
    <row r="58" spans="1:13">
      <c r="A58" s="3"/>
      <c r="B58" s="3"/>
      <c r="C58" s="3"/>
      <c r="D58" s="3"/>
      <c r="E58" s="3"/>
      <c r="F58" s="3"/>
      <c r="G58" s="3"/>
      <c r="H58" s="3"/>
      <c r="I58" s="3"/>
      <c r="J58" s="3"/>
      <c r="K58" s="3"/>
      <c r="L58" s="3"/>
    </row>
    <row r="59" spans="1:13">
      <c r="A59" s="3" t="s">
        <v>20</v>
      </c>
      <c r="B59" s="3"/>
      <c r="C59" s="3"/>
      <c r="D59" s="3"/>
      <c r="E59" s="3"/>
      <c r="F59" s="3"/>
      <c r="G59" s="3"/>
      <c r="H59" s="3"/>
      <c r="I59" s="3"/>
      <c r="J59" s="3"/>
      <c r="K59" s="3"/>
      <c r="L59" s="3"/>
    </row>
    <row r="60" spans="1:13" ht="46.8">
      <c r="A60" s="3"/>
      <c r="B60" s="107" t="s">
        <v>58</v>
      </c>
      <c r="C60" s="93" t="s">
        <v>47</v>
      </c>
      <c r="D60" s="93" t="s">
        <v>324</v>
      </c>
      <c r="E60" s="93" t="s">
        <v>726</v>
      </c>
      <c r="F60" s="93" t="s">
        <v>729</v>
      </c>
      <c r="G60" s="93" t="s">
        <v>730</v>
      </c>
      <c r="H60" s="93" t="s">
        <v>131</v>
      </c>
      <c r="I60" s="93" t="s">
        <v>727</v>
      </c>
      <c r="J60" s="62"/>
      <c r="K60" s="3"/>
      <c r="L60" s="3"/>
    </row>
    <row r="61" spans="1:13">
      <c r="A61" s="3"/>
      <c r="B61" s="94">
        <f>B48</f>
        <v>2015</v>
      </c>
      <c r="C61" s="141">
        <f>C11</f>
        <v>23313</v>
      </c>
      <c r="D61" s="141">
        <f t="shared" ref="D61:E66" si="9">C48</f>
        <v>14520</v>
      </c>
      <c r="E61" s="344">
        <f t="shared" si="9"/>
        <v>1.1000000000000001</v>
      </c>
      <c r="F61" s="351">
        <f t="shared" ref="F61:F66" si="10">1-1/E61</f>
        <v>9.0909090909090939E-2</v>
      </c>
      <c r="G61" s="181">
        <v>0.65</v>
      </c>
      <c r="H61" s="141">
        <f>G61*C61*F61+D61</f>
        <v>15897.586363636365</v>
      </c>
      <c r="I61" s="136">
        <f>H61/C61</f>
        <v>0.68191937389595358</v>
      </c>
      <c r="J61" s="62"/>
      <c r="K61" s="3"/>
      <c r="L61" s="3"/>
    </row>
    <row r="62" spans="1:13">
      <c r="A62" s="3"/>
      <c r="B62" s="94">
        <f t="shared" ref="B62:B66" si="11">B49</f>
        <v>2016</v>
      </c>
      <c r="C62" s="141">
        <f t="shared" ref="C62:C66" si="12">C12</f>
        <v>22459</v>
      </c>
      <c r="D62" s="141">
        <f t="shared" si="9"/>
        <v>14071</v>
      </c>
      <c r="E62" s="344">
        <f t="shared" si="9"/>
        <v>1.1480736055204139</v>
      </c>
      <c r="F62" s="351">
        <f t="shared" si="10"/>
        <v>0.12897570748810405</v>
      </c>
      <c r="G62" s="181">
        <v>0.65</v>
      </c>
      <c r="H62" s="141">
        <f t="shared" ref="H62:H66" si="13">G62*C62*F62+D62</f>
        <v>15953.832519408963</v>
      </c>
      <c r="I62" s="136">
        <f t="shared" ref="I62:I66" si="14">H62/C62</f>
        <v>0.71035364528291389</v>
      </c>
      <c r="J62" s="62"/>
      <c r="K62" s="3"/>
      <c r="L62" s="3"/>
    </row>
    <row r="63" spans="1:13">
      <c r="A63" s="3"/>
      <c r="B63" s="94">
        <f t="shared" si="11"/>
        <v>2017</v>
      </c>
      <c r="C63" s="141">
        <f t="shared" si="12"/>
        <v>22525</v>
      </c>
      <c r="D63" s="141">
        <f t="shared" si="9"/>
        <v>12825</v>
      </c>
      <c r="E63" s="344">
        <f t="shared" si="9"/>
        <v>1.2314273956557846</v>
      </c>
      <c r="F63" s="351">
        <f t="shared" si="10"/>
        <v>0.18793425943925846</v>
      </c>
      <c r="G63" s="181">
        <v>0.65</v>
      </c>
      <c r="H63" s="141">
        <f t="shared" si="13"/>
        <v>15576.592476015043</v>
      </c>
      <c r="I63" s="136">
        <f t="shared" si="14"/>
        <v>0.69152463822486321</v>
      </c>
      <c r="J63" s="62"/>
      <c r="K63" s="3"/>
      <c r="L63" s="3"/>
    </row>
    <row r="64" spans="1:13">
      <c r="A64" s="3"/>
      <c r="B64" s="94">
        <f t="shared" si="11"/>
        <v>2018</v>
      </c>
      <c r="C64" s="141">
        <f t="shared" si="12"/>
        <v>21688</v>
      </c>
      <c r="D64" s="141">
        <f t="shared" si="9"/>
        <v>11822</v>
      </c>
      <c r="E64" s="344">
        <f t="shared" si="9"/>
        <v>1.4136148980516408</v>
      </c>
      <c r="F64" s="351">
        <f t="shared" si="10"/>
        <v>0.29259375988589154</v>
      </c>
      <c r="G64" s="181">
        <v>0.65</v>
      </c>
      <c r="H64" s="141">
        <f t="shared" si="13"/>
        <v>15946.752751863391</v>
      </c>
      <c r="I64" s="136">
        <f t="shared" si="14"/>
        <v>0.73528000515784719</v>
      </c>
      <c r="J64" s="62"/>
      <c r="K64" s="3"/>
      <c r="L64" s="3"/>
    </row>
    <row r="65" spans="1:14">
      <c r="B65" s="94">
        <f t="shared" si="11"/>
        <v>2019</v>
      </c>
      <c r="C65" s="141">
        <f t="shared" si="12"/>
        <v>20743</v>
      </c>
      <c r="D65" s="141">
        <f t="shared" si="9"/>
        <v>7968</v>
      </c>
      <c r="E65" s="344">
        <f t="shared" si="9"/>
        <v>1.8366542331094546</v>
      </c>
      <c r="F65" s="351">
        <f t="shared" si="10"/>
        <v>0.45553170434970736</v>
      </c>
      <c r="G65" s="181">
        <v>0.65</v>
      </c>
      <c r="H65" s="141">
        <f t="shared" si="13"/>
        <v>14109.911193161886</v>
      </c>
      <c r="I65" s="136">
        <f t="shared" si="14"/>
        <v>0.68022519371170453</v>
      </c>
      <c r="J65" s="62"/>
    </row>
    <row r="66" spans="1:14">
      <c r="B66" s="107">
        <f t="shared" si="11"/>
        <v>2020</v>
      </c>
      <c r="C66" s="352">
        <f t="shared" si="12"/>
        <v>17850</v>
      </c>
      <c r="D66" s="352">
        <f t="shared" si="9"/>
        <v>3370</v>
      </c>
      <c r="E66" s="347">
        <f t="shared" si="9"/>
        <v>2.8973140610703583</v>
      </c>
      <c r="F66" s="353">
        <f t="shared" si="10"/>
        <v>0.6548527432919824</v>
      </c>
      <c r="G66" s="183">
        <v>0.6</v>
      </c>
      <c r="H66" s="352">
        <f t="shared" si="13"/>
        <v>10383.472880657131</v>
      </c>
      <c r="I66" s="140">
        <f t="shared" si="14"/>
        <v>0.58170716418247237</v>
      </c>
      <c r="J66" s="62"/>
    </row>
    <row r="67" spans="1:14">
      <c r="B67" s="94" t="s">
        <v>132</v>
      </c>
      <c r="C67" s="141"/>
      <c r="D67" s="141">
        <f>SUM(D61:D66)</f>
        <v>64576</v>
      </c>
      <c r="E67" s="354"/>
      <c r="F67" s="355"/>
      <c r="G67" s="276"/>
      <c r="H67" s="141">
        <f>SUM(H61:H66)</f>
        <v>87868.148184742779</v>
      </c>
      <c r="I67" s="356"/>
      <c r="J67" s="62"/>
      <c r="M67" s="3"/>
      <c r="N67" s="3"/>
    </row>
    <row r="69" spans="1:14">
      <c r="A69" s="17" t="s">
        <v>147</v>
      </c>
      <c r="B69" s="1" t="s">
        <v>731</v>
      </c>
      <c r="C69" s="1"/>
      <c r="D69" s="1"/>
      <c r="E69" s="1"/>
      <c r="F69" s="1"/>
      <c r="G69" s="1"/>
      <c r="H69" s="1"/>
      <c r="I69" s="1"/>
      <c r="J69" s="1"/>
      <c r="K69" s="1"/>
      <c r="L69" s="1"/>
    </row>
    <row r="70" spans="1:14">
      <c r="A70" s="3"/>
      <c r="B70" s="3"/>
      <c r="C70" s="3"/>
      <c r="D70" s="3"/>
      <c r="E70" s="3"/>
      <c r="F70" s="3"/>
      <c r="G70" s="3"/>
      <c r="H70" s="3"/>
      <c r="I70" s="3"/>
      <c r="J70" s="3"/>
      <c r="K70" s="3"/>
      <c r="L70" s="3"/>
    </row>
    <row r="71" spans="1:14">
      <c r="A71" s="3" t="s">
        <v>20</v>
      </c>
      <c r="B71" s="3"/>
      <c r="C71" s="3"/>
      <c r="D71" s="3"/>
      <c r="E71" s="3"/>
      <c r="F71" s="3"/>
      <c r="G71" s="3"/>
      <c r="H71" s="3"/>
      <c r="I71" s="3"/>
      <c r="J71" s="3"/>
      <c r="K71" s="3"/>
      <c r="L71" s="3"/>
    </row>
    <row r="72" spans="1:14" ht="46.8">
      <c r="A72" s="3"/>
      <c r="B72" s="107" t="s">
        <v>58</v>
      </c>
      <c r="C72" s="93" t="s">
        <v>732</v>
      </c>
      <c r="D72" s="93" t="s">
        <v>733</v>
      </c>
      <c r="E72" s="93" t="s">
        <v>734</v>
      </c>
      <c r="F72" s="93" t="s">
        <v>131</v>
      </c>
      <c r="G72" s="93" t="s">
        <v>735</v>
      </c>
      <c r="I72" s="3"/>
      <c r="J72" s="3"/>
      <c r="K72" s="3"/>
      <c r="L72" s="3"/>
    </row>
    <row r="73" spans="1:14">
      <c r="B73" s="357">
        <v>2015</v>
      </c>
      <c r="C73" s="125">
        <f>F48</f>
        <v>0.68511131128554892</v>
      </c>
      <c r="D73" s="125">
        <f>I61</f>
        <v>0.68191937389595358</v>
      </c>
      <c r="E73" s="125">
        <f>C73</f>
        <v>0.68511131128554892</v>
      </c>
      <c r="F73" s="141">
        <f t="shared" ref="F73:F78" si="15">E73*C61</f>
        <v>15972.000000000002</v>
      </c>
      <c r="G73" s="141">
        <f t="shared" ref="G73:G78" si="16">F73-D61</f>
        <v>1452.0000000000018</v>
      </c>
    </row>
    <row r="74" spans="1:14">
      <c r="B74" s="94">
        <v>2016</v>
      </c>
      <c r="C74" s="125">
        <f t="shared" ref="C74:C78" si="17">F49</f>
        <v>0.71929042714625513</v>
      </c>
      <c r="D74" s="125">
        <f t="shared" ref="D74:D78" si="18">I62</f>
        <v>0.71035364528291389</v>
      </c>
      <c r="E74" s="125">
        <f>C74</f>
        <v>0.71929042714625513</v>
      </c>
      <c r="F74" s="141">
        <f t="shared" si="15"/>
        <v>16154.543703277744</v>
      </c>
      <c r="G74" s="141">
        <f t="shared" si="16"/>
        <v>2083.5437032777445</v>
      </c>
    </row>
    <row r="75" spans="1:14">
      <c r="B75" s="94">
        <f>B74+1</f>
        <v>2017</v>
      </c>
      <c r="C75" s="125">
        <f t="shared" si="17"/>
        <v>0.70113457710479188</v>
      </c>
      <c r="D75" s="125">
        <f t="shared" si="18"/>
        <v>0.69152463822486321</v>
      </c>
      <c r="E75" s="125">
        <f>C75</f>
        <v>0.70113457710479188</v>
      </c>
      <c r="F75" s="141">
        <f t="shared" si="15"/>
        <v>15793.056349285436</v>
      </c>
      <c r="G75" s="141">
        <f t="shared" si="16"/>
        <v>2968.0563492854362</v>
      </c>
      <c r="M75" s="3"/>
    </row>
    <row r="76" spans="1:14">
      <c r="B76" s="94">
        <f>B75+1</f>
        <v>2018</v>
      </c>
      <c r="C76" s="125">
        <f t="shared" si="17"/>
        <v>0.77055308579705362</v>
      </c>
      <c r="D76" s="125">
        <f t="shared" si="18"/>
        <v>0.73528000515784719</v>
      </c>
      <c r="E76" s="125">
        <f>C76</f>
        <v>0.77055308579705362</v>
      </c>
      <c r="F76" s="141">
        <f t="shared" si="15"/>
        <v>16711.755324766498</v>
      </c>
      <c r="G76" s="141">
        <f t="shared" si="16"/>
        <v>4889.7553247664982</v>
      </c>
      <c r="M76" s="3"/>
    </row>
    <row r="77" spans="1:14">
      <c r="B77" s="94">
        <f>B76+1</f>
        <v>2019</v>
      </c>
      <c r="C77" s="125">
        <f t="shared" si="17"/>
        <v>0.70551322997715538</v>
      </c>
      <c r="D77" s="125">
        <f t="shared" si="18"/>
        <v>0.68022519371170453</v>
      </c>
      <c r="E77" s="125">
        <f>C77</f>
        <v>0.70551322997715538</v>
      </c>
      <c r="F77" s="141">
        <f t="shared" si="15"/>
        <v>14634.460929416135</v>
      </c>
      <c r="G77" s="141">
        <f t="shared" si="16"/>
        <v>6666.4609294161346</v>
      </c>
    </row>
    <row r="78" spans="1:14">
      <c r="B78" s="107">
        <f>B77+1</f>
        <v>2020</v>
      </c>
      <c r="C78" s="128">
        <f t="shared" si="17"/>
        <v>0.54699990956902556</v>
      </c>
      <c r="D78" s="128">
        <f t="shared" si="18"/>
        <v>0.58170716418247237</v>
      </c>
      <c r="E78" s="128">
        <f>D78</f>
        <v>0.58170716418247237</v>
      </c>
      <c r="F78" s="352">
        <f t="shared" si="15"/>
        <v>10383.472880657131</v>
      </c>
      <c r="G78" s="352">
        <f t="shared" si="16"/>
        <v>7013.4728806571311</v>
      </c>
    </row>
    <row r="79" spans="1:14">
      <c r="B79" s="94" t="s">
        <v>132</v>
      </c>
      <c r="C79" s="125"/>
      <c r="D79" s="125"/>
      <c r="E79" s="125"/>
      <c r="F79" s="141">
        <f>SUM(F73:F78)</f>
        <v>89649.289187402945</v>
      </c>
      <c r="G79" s="141">
        <f>SUM(G73:G78)</f>
        <v>25073.289187402945</v>
      </c>
    </row>
    <row r="81" spans="2:9" ht="15.6" customHeight="1">
      <c r="B81" s="888" t="s">
        <v>736</v>
      </c>
      <c r="C81" s="888"/>
      <c r="D81" s="888"/>
      <c r="E81" s="888"/>
      <c r="F81" s="888"/>
      <c r="G81" s="888"/>
      <c r="H81" s="888"/>
      <c r="I81" s="888"/>
    </row>
    <row r="82" spans="2:9">
      <c r="B82" s="888"/>
      <c r="C82" s="888"/>
      <c r="D82" s="888"/>
      <c r="E82" s="888"/>
      <c r="F82" s="888"/>
      <c r="G82" s="888"/>
      <c r="H82" s="888"/>
      <c r="I82" s="888"/>
    </row>
    <row r="83" spans="2:9">
      <c r="B83" s="888"/>
      <c r="C83" s="888"/>
      <c r="D83" s="888"/>
      <c r="E83" s="888"/>
      <c r="F83" s="888"/>
      <c r="G83" s="888"/>
      <c r="H83" s="888"/>
      <c r="I83" s="888"/>
    </row>
    <row r="84" spans="2:9">
      <c r="B84" s="888"/>
      <c r="C84" s="888"/>
      <c r="D84" s="888"/>
      <c r="E84" s="888"/>
      <c r="F84" s="888"/>
      <c r="G84" s="888"/>
      <c r="H84" s="888"/>
      <c r="I84" s="888"/>
    </row>
  </sheetData>
  <mergeCells count="7">
    <mergeCell ref="B81:I84"/>
    <mergeCell ref="B9:B10"/>
    <mergeCell ref="C9:C10"/>
    <mergeCell ref="D9:I9"/>
    <mergeCell ref="B20:L21"/>
    <mergeCell ref="B40:L41"/>
    <mergeCell ref="B56:L57"/>
  </mergeCells>
  <hyperlinks>
    <hyperlink ref="O1" location="TOC!A1" display="Table of Contents" xr:uid="{73DE8E63-7360-41F8-9794-B117F0F1E453}"/>
  </hyperlinks>
  <pageMargins left="0.7" right="0.7" top="0.75" bottom="0.75" header="0.3" footer="0.3"/>
  <pageSetup scale="80" orientation="portrait"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88C6-302C-427B-ABC9-C8E27060EF44}">
  <dimension ref="A1:R70"/>
  <sheetViews>
    <sheetView zoomScaleNormal="100" workbookViewId="0"/>
  </sheetViews>
  <sheetFormatPr defaultColWidth="8.88671875" defaultRowHeight="15.6"/>
  <cols>
    <col min="1" max="3" width="11.6640625" style="2" customWidth="1"/>
    <col min="4" max="7" width="10.33203125" style="2" customWidth="1"/>
    <col min="8" max="8" width="11.33203125" style="2" customWidth="1"/>
    <col min="9" max="12" width="12.6640625" style="2" customWidth="1"/>
    <col min="13" max="16384" width="8.88671875" style="2"/>
  </cols>
  <sheetData>
    <row r="1" spans="1:15" ht="17.399999999999999">
      <c r="A1" s="13" t="s">
        <v>1063</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746</v>
      </c>
      <c r="B3" s="1"/>
      <c r="C3" s="1"/>
      <c r="D3" s="1"/>
      <c r="E3" s="1"/>
      <c r="F3" s="1"/>
      <c r="G3" s="1"/>
      <c r="H3" s="1"/>
      <c r="I3" s="1"/>
      <c r="J3" s="1"/>
      <c r="K3" s="1"/>
      <c r="L3" s="14"/>
    </row>
    <row r="4" spans="1:15">
      <c r="A4" s="1"/>
      <c r="B4" s="1"/>
      <c r="C4" s="1"/>
      <c r="D4" s="1"/>
      <c r="E4" s="1"/>
      <c r="F4" s="1"/>
      <c r="G4" s="1"/>
      <c r="H4" s="1"/>
      <c r="I4" s="1"/>
      <c r="J4" s="1"/>
      <c r="K4" s="1"/>
      <c r="L4" s="14"/>
    </row>
    <row r="5" spans="1:15">
      <c r="A5" s="43" t="s">
        <v>747</v>
      </c>
      <c r="B5" s="1"/>
      <c r="C5" s="1"/>
      <c r="D5" s="1"/>
      <c r="E5" s="1"/>
      <c r="F5" s="1"/>
      <c r="G5" s="1"/>
      <c r="H5" s="361">
        <v>2100</v>
      </c>
      <c r="I5" s="362" t="s">
        <v>748</v>
      </c>
      <c r="J5" s="1"/>
      <c r="K5" s="1"/>
      <c r="L5" s="1"/>
    </row>
    <row r="6" spans="1:15">
      <c r="A6" s="363"/>
      <c r="B6" s="1"/>
      <c r="C6" s="1"/>
      <c r="D6" s="1"/>
      <c r="E6" s="1"/>
      <c r="F6" s="1"/>
      <c r="G6" s="1"/>
      <c r="H6" s="1"/>
      <c r="I6" s="1"/>
      <c r="J6" s="1"/>
      <c r="K6" s="1"/>
      <c r="L6" s="1"/>
    </row>
    <row r="7" spans="1:15">
      <c r="A7" s="43" t="s">
        <v>749</v>
      </c>
      <c r="B7" s="1"/>
      <c r="C7" s="1"/>
      <c r="D7" s="1"/>
      <c r="E7" s="1"/>
      <c r="F7" s="1"/>
      <c r="G7" s="1"/>
      <c r="H7" s="364">
        <v>720</v>
      </c>
      <c r="I7" s="362" t="s">
        <v>748</v>
      </c>
      <c r="J7" s="1"/>
      <c r="K7" s="1"/>
      <c r="L7" s="1"/>
    </row>
    <row r="8" spans="1:15">
      <c r="A8" s="363"/>
      <c r="B8" s="1"/>
      <c r="C8" s="1"/>
      <c r="D8" s="1"/>
      <c r="E8" s="1"/>
      <c r="F8" s="1"/>
      <c r="G8" s="1"/>
      <c r="H8" s="1"/>
      <c r="I8" s="1"/>
      <c r="J8" s="1"/>
      <c r="K8" s="1"/>
      <c r="L8" s="1"/>
    </row>
    <row r="9" spans="1:15">
      <c r="A9" s="43" t="s">
        <v>750</v>
      </c>
      <c r="B9" s="1"/>
      <c r="C9" s="1"/>
      <c r="D9" s="1"/>
      <c r="E9" s="1"/>
      <c r="F9" s="1"/>
      <c r="G9" s="1"/>
      <c r="H9" s="361">
        <v>1800</v>
      </c>
      <c r="I9" s="362" t="s">
        <v>751</v>
      </c>
      <c r="J9" s="1"/>
      <c r="K9" s="1"/>
      <c r="L9" s="1"/>
    </row>
    <row r="10" spans="1:15">
      <c r="A10" s="363"/>
      <c r="B10" s="1"/>
      <c r="C10" s="1"/>
      <c r="D10" s="1"/>
      <c r="E10" s="1"/>
      <c r="F10" s="1"/>
      <c r="G10" s="1"/>
      <c r="H10" s="1"/>
      <c r="I10" s="1"/>
      <c r="J10" s="1"/>
      <c r="K10" s="1"/>
      <c r="L10" s="1"/>
    </row>
    <row r="11" spans="1:15">
      <c r="A11" s="363"/>
      <c r="B11" s="1"/>
      <c r="C11" s="1"/>
      <c r="D11" s="1"/>
      <c r="E11" s="1"/>
      <c r="F11" s="1"/>
      <c r="G11" s="1"/>
      <c r="H11" s="1"/>
      <c r="I11" s="1"/>
      <c r="J11" s="1"/>
      <c r="K11" s="1"/>
      <c r="L11" s="1"/>
    </row>
    <row r="12" spans="1:15" ht="15.6" customHeight="1">
      <c r="A12" s="1" t="s">
        <v>752</v>
      </c>
      <c r="B12" s="1"/>
      <c r="C12" s="1"/>
      <c r="D12" s="377">
        <v>0.05</v>
      </c>
      <c r="E12" s="362" t="s">
        <v>753</v>
      </c>
      <c r="F12" s="1"/>
      <c r="G12" s="1"/>
      <c r="H12" s="1"/>
      <c r="I12" s="1"/>
      <c r="J12" s="1"/>
      <c r="K12" s="1"/>
      <c r="L12" s="1"/>
    </row>
    <row r="13" spans="1:15">
      <c r="A13" s="440"/>
      <c r="B13" s="1"/>
      <c r="C13" s="1"/>
      <c r="D13" s="1"/>
      <c r="E13" s="1"/>
      <c r="F13" s="1"/>
      <c r="G13" s="1"/>
      <c r="H13" s="1"/>
      <c r="I13" s="1"/>
      <c r="J13" s="1"/>
      <c r="K13" s="1"/>
      <c r="L13" s="1"/>
    </row>
    <row r="14" spans="1:15">
      <c r="A14" s="1" t="s">
        <v>754</v>
      </c>
      <c r="B14" s="1"/>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91</v>
      </c>
      <c r="B17" s="17" t="s">
        <v>755</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0" spans="1:18">
      <c r="A20" s="3"/>
      <c r="B20" s="107" t="s">
        <v>756</v>
      </c>
      <c r="C20" s="35" t="s">
        <v>757</v>
      </c>
      <c r="D20" s="3"/>
      <c r="E20" s="3"/>
      <c r="F20" s="3"/>
      <c r="G20" s="3"/>
      <c r="H20" s="3"/>
      <c r="I20" s="3"/>
      <c r="J20" s="3"/>
      <c r="K20" s="3"/>
      <c r="L20" s="3"/>
      <c r="M20" s="3"/>
      <c r="N20" s="9"/>
    </row>
    <row r="21" spans="1:18">
      <c r="A21" s="3"/>
      <c r="B21" s="94">
        <v>1</v>
      </c>
      <c r="C21" s="83">
        <f>H5*(1+D12)</f>
        <v>2205</v>
      </c>
      <c r="D21" s="3"/>
      <c r="E21" s="3"/>
      <c r="F21" s="3"/>
      <c r="G21" s="3"/>
      <c r="H21" s="3"/>
      <c r="I21" s="3"/>
      <c r="J21" s="3"/>
      <c r="K21" s="3"/>
      <c r="L21" s="3"/>
      <c r="M21" s="3"/>
      <c r="N21" s="9"/>
    </row>
    <row r="22" spans="1:18">
      <c r="B22" s="94">
        <v>2</v>
      </c>
      <c r="C22" s="83">
        <f>2*H7</f>
        <v>1440</v>
      </c>
      <c r="M22" s="9"/>
      <c r="N22" s="9"/>
    </row>
    <row r="23" spans="1:18">
      <c r="B23" s="94">
        <v>3</v>
      </c>
      <c r="C23" s="83">
        <f>H9</f>
        <v>1800</v>
      </c>
      <c r="M23" s="9"/>
      <c r="N23" s="9"/>
    </row>
    <row r="24" spans="1:18">
      <c r="B24" s="107">
        <v>3</v>
      </c>
      <c r="C24" s="86">
        <f>-H9*4/12</f>
        <v>-600</v>
      </c>
      <c r="M24" s="9"/>
      <c r="N24" s="9"/>
    </row>
    <row r="25" spans="1:18">
      <c r="B25" s="34" t="s">
        <v>132</v>
      </c>
      <c r="C25" s="83">
        <f>SUM(C21:C24)</f>
        <v>4845</v>
      </c>
      <c r="M25" s="9"/>
      <c r="N25" s="9"/>
    </row>
    <row r="27" spans="1:18">
      <c r="A27" s="17" t="s">
        <v>133</v>
      </c>
      <c r="B27" s="1" t="s">
        <v>758</v>
      </c>
      <c r="C27" s="1"/>
      <c r="D27" s="1"/>
      <c r="E27" s="1"/>
      <c r="F27" s="1"/>
      <c r="G27" s="1"/>
      <c r="H27" s="1"/>
      <c r="I27" s="1"/>
      <c r="J27" s="1"/>
      <c r="K27" s="1"/>
      <c r="L27" s="1"/>
    </row>
    <row r="28" spans="1:18">
      <c r="A28" s="3"/>
      <c r="B28" s="3"/>
      <c r="C28" s="3"/>
      <c r="D28" s="3"/>
      <c r="E28" s="3"/>
      <c r="F28" s="3"/>
      <c r="G28" s="3"/>
      <c r="H28" s="3"/>
      <c r="I28" s="3"/>
      <c r="J28" s="3"/>
      <c r="K28" s="3"/>
      <c r="L28" s="3"/>
    </row>
    <row r="29" spans="1:18">
      <c r="A29" s="3" t="s">
        <v>20</v>
      </c>
      <c r="B29" s="3"/>
      <c r="C29" s="3"/>
      <c r="D29" s="3"/>
      <c r="E29" s="3"/>
      <c r="F29" s="3"/>
      <c r="G29" s="3"/>
      <c r="H29" s="3"/>
      <c r="I29" s="3"/>
      <c r="J29" s="3"/>
      <c r="K29" s="3"/>
      <c r="L29" s="3"/>
    </row>
    <row r="30" spans="1:18" ht="46.8">
      <c r="A30" s="3"/>
      <c r="B30" s="107" t="s">
        <v>756</v>
      </c>
      <c r="C30" s="319" t="s">
        <v>759</v>
      </c>
      <c r="D30" s="319"/>
      <c r="E30" s="319"/>
      <c r="F30" s="93" t="s">
        <v>760</v>
      </c>
      <c r="G30" s="93" t="s">
        <v>761</v>
      </c>
      <c r="H30" s="319" t="s">
        <v>762</v>
      </c>
      <c r="I30" s="3"/>
      <c r="J30" s="3"/>
      <c r="K30" s="3"/>
      <c r="L30" s="3"/>
    </row>
    <row r="31" spans="1:18">
      <c r="A31" s="3"/>
      <c r="B31" s="94">
        <v>1</v>
      </c>
      <c r="C31" s="2" t="s">
        <v>763</v>
      </c>
      <c r="F31" s="83">
        <f>H5</f>
        <v>2100</v>
      </c>
      <c r="G31" s="34">
        <v>10</v>
      </c>
      <c r="H31" s="237">
        <f>F31*G31/12</f>
        <v>1750</v>
      </c>
      <c r="I31" s="3"/>
      <c r="J31" s="3"/>
      <c r="K31" s="3"/>
      <c r="L31" s="3"/>
    </row>
    <row r="32" spans="1:18">
      <c r="B32" s="107">
        <v>1</v>
      </c>
      <c r="C32" s="319" t="s">
        <v>764</v>
      </c>
      <c r="D32" s="319"/>
      <c r="E32" s="319"/>
      <c r="F32" s="86">
        <f>F31*(1+D12)</f>
        <v>2205</v>
      </c>
      <c r="G32" s="35">
        <v>2</v>
      </c>
      <c r="H32" s="241">
        <f t="shared" ref="H32:H35" si="0">F32*G32/12</f>
        <v>367.5</v>
      </c>
      <c r="M32" s="3"/>
    </row>
    <row r="33" spans="1:14">
      <c r="B33" s="94">
        <v>2</v>
      </c>
      <c r="C33" s="2" t="s">
        <v>765</v>
      </c>
      <c r="F33" s="83">
        <f>H7</f>
        <v>720</v>
      </c>
      <c r="G33" s="34">
        <v>6</v>
      </c>
      <c r="H33" s="237">
        <f>F33*G33/6</f>
        <v>720</v>
      </c>
      <c r="M33" s="3"/>
    </row>
    <row r="34" spans="1:14">
      <c r="B34" s="107">
        <v>2</v>
      </c>
      <c r="C34" s="319" t="s">
        <v>766</v>
      </c>
      <c r="D34" s="319"/>
      <c r="E34" s="319"/>
      <c r="F34" s="86">
        <f>F33</f>
        <v>720</v>
      </c>
      <c r="G34" s="35">
        <v>5</v>
      </c>
      <c r="H34" s="241">
        <f>F34*G34/6</f>
        <v>600</v>
      </c>
      <c r="M34" s="3"/>
    </row>
    <row r="35" spans="1:14">
      <c r="B35" s="365">
        <v>3</v>
      </c>
      <c r="C35" s="366" t="s">
        <v>767</v>
      </c>
      <c r="D35" s="366"/>
      <c r="E35" s="366"/>
      <c r="F35" s="367">
        <f>H9</f>
        <v>1800</v>
      </c>
      <c r="G35" s="368">
        <v>8</v>
      </c>
      <c r="H35" s="369">
        <f t="shared" si="0"/>
        <v>1200</v>
      </c>
    </row>
    <row r="36" spans="1:14">
      <c r="B36" s="274" t="s">
        <v>768</v>
      </c>
      <c r="F36" s="83"/>
      <c r="G36" s="34"/>
      <c r="H36" s="237">
        <f>SUM(H31:H35)</f>
        <v>4637.5</v>
      </c>
    </row>
    <row r="38" spans="1:14">
      <c r="A38" s="17" t="s">
        <v>18</v>
      </c>
      <c r="B38" s="1" t="s">
        <v>769</v>
      </c>
      <c r="C38" s="1"/>
      <c r="D38" s="1"/>
      <c r="E38" s="1"/>
      <c r="F38" s="1"/>
      <c r="G38" s="1"/>
      <c r="H38" s="1"/>
      <c r="I38" s="1"/>
      <c r="J38" s="1"/>
      <c r="K38" s="1"/>
      <c r="L38" s="1"/>
    </row>
    <row r="39" spans="1:14">
      <c r="A39" s="14"/>
      <c r="B39" s="14"/>
      <c r="C39" s="14"/>
      <c r="D39" s="14"/>
      <c r="E39" s="14"/>
      <c r="F39" s="14"/>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c r="A42" s="3"/>
      <c r="B42" s="107" t="s">
        <v>756</v>
      </c>
      <c r="C42" s="35" t="s">
        <v>770</v>
      </c>
      <c r="E42" s="3"/>
      <c r="F42" s="3"/>
      <c r="G42" s="3"/>
      <c r="H42" s="3"/>
      <c r="I42" s="3"/>
      <c r="J42" s="3"/>
      <c r="K42" s="3"/>
      <c r="L42" s="3"/>
    </row>
    <row r="43" spans="1:14">
      <c r="A43" s="3"/>
      <c r="B43" s="94">
        <v>1</v>
      </c>
      <c r="C43" s="237">
        <f>F32-H32</f>
        <v>1837.5</v>
      </c>
      <c r="D43" s="2" t="s">
        <v>771</v>
      </c>
      <c r="E43" s="3"/>
      <c r="F43" s="3"/>
      <c r="G43" s="3"/>
      <c r="H43" s="3"/>
      <c r="I43" s="3"/>
      <c r="J43" s="3"/>
      <c r="K43" s="3"/>
      <c r="L43" s="3"/>
    </row>
    <row r="44" spans="1:14">
      <c r="B44" s="94">
        <v>2</v>
      </c>
      <c r="C44" s="237">
        <f>F34-H34</f>
        <v>120</v>
      </c>
      <c r="D44" s="2" t="s">
        <v>771</v>
      </c>
    </row>
    <row r="45" spans="1:14">
      <c r="B45" s="107">
        <v>3</v>
      </c>
      <c r="C45" s="241">
        <v>0</v>
      </c>
      <c r="D45" s="2" t="s">
        <v>772</v>
      </c>
    </row>
    <row r="46" spans="1:14">
      <c r="B46" s="94"/>
      <c r="C46" s="237">
        <f>SUM(C43:C45)</f>
        <v>1957.5</v>
      </c>
      <c r="M46" s="3"/>
      <c r="N46" s="3"/>
    </row>
    <row r="48" spans="1:14">
      <c r="A48" s="1" t="s">
        <v>773</v>
      </c>
      <c r="B48" s="14"/>
      <c r="C48" s="14"/>
      <c r="D48" s="14"/>
      <c r="E48" s="14"/>
      <c r="F48" s="14"/>
      <c r="G48" s="1"/>
      <c r="H48" s="1"/>
      <c r="I48" s="1"/>
      <c r="J48" s="1"/>
      <c r="K48" s="1"/>
      <c r="L48" s="1"/>
    </row>
    <row r="49" spans="1:13">
      <c r="A49" s="14"/>
      <c r="B49" s="14"/>
      <c r="C49" s="14"/>
      <c r="D49" s="14"/>
      <c r="E49" s="14"/>
      <c r="F49" s="14"/>
      <c r="G49" s="1"/>
      <c r="H49" s="1"/>
      <c r="I49" s="1"/>
      <c r="J49" s="1"/>
      <c r="K49" s="1"/>
      <c r="L49" s="1"/>
    </row>
    <row r="50" spans="1:13">
      <c r="A50" s="17" t="s">
        <v>25</v>
      </c>
      <c r="B50" s="1" t="s">
        <v>774</v>
      </c>
      <c r="C50" s="1"/>
      <c r="D50" s="1"/>
      <c r="E50" s="1"/>
      <c r="F50" s="1"/>
      <c r="G50" s="1"/>
      <c r="H50" s="1"/>
      <c r="I50" s="1"/>
      <c r="J50" s="1"/>
      <c r="K50" s="1"/>
      <c r="L50" s="1"/>
    </row>
    <row r="51" spans="1:13">
      <c r="A51" s="14"/>
      <c r="B51" s="14"/>
      <c r="C51" s="14"/>
      <c r="D51" s="14"/>
      <c r="E51" s="14"/>
      <c r="F51" s="14"/>
      <c r="G51" s="1"/>
      <c r="H51" s="1"/>
      <c r="I51" s="1"/>
      <c r="J51" s="1"/>
      <c r="K51" s="1"/>
      <c r="L51" s="1"/>
    </row>
    <row r="52" spans="1:13">
      <c r="A52" s="3"/>
      <c r="B52" s="3"/>
      <c r="C52" s="3"/>
      <c r="D52" s="3"/>
      <c r="E52" s="3"/>
      <c r="F52" s="3"/>
      <c r="G52" s="3"/>
      <c r="H52" s="3"/>
      <c r="I52" s="3"/>
      <c r="J52" s="3"/>
      <c r="K52" s="3"/>
      <c r="L52" s="3"/>
    </row>
    <row r="53" spans="1:13">
      <c r="A53" s="3" t="s">
        <v>20</v>
      </c>
      <c r="B53" s="3"/>
      <c r="C53" s="3"/>
      <c r="D53" s="3"/>
      <c r="E53" s="3"/>
      <c r="F53" s="3"/>
      <c r="G53" s="3"/>
      <c r="H53" s="3"/>
      <c r="I53" s="3"/>
      <c r="J53" s="3"/>
      <c r="K53" s="3"/>
      <c r="L53" s="3"/>
    </row>
    <row r="54" spans="1:13">
      <c r="A54" s="3"/>
      <c r="B54" s="3"/>
      <c r="C54" s="3"/>
      <c r="D54" s="3"/>
      <c r="E54" s="3"/>
      <c r="F54" s="3"/>
      <c r="G54" s="3"/>
      <c r="H54" s="3"/>
      <c r="I54" s="3"/>
      <c r="J54" s="3"/>
      <c r="K54" s="3"/>
      <c r="L54" s="3"/>
    </row>
    <row r="55" spans="1:13">
      <c r="A55" s="3" t="s">
        <v>775</v>
      </c>
      <c r="B55" s="3"/>
      <c r="C55" s="3"/>
      <c r="D55" s="3"/>
      <c r="E55" s="3"/>
      <c r="F55" s="3"/>
      <c r="G55" s="3"/>
      <c r="H55" s="3"/>
      <c r="I55" s="3"/>
      <c r="J55" s="3"/>
      <c r="K55" s="3"/>
      <c r="L55" s="3"/>
    </row>
    <row r="56" spans="1:13">
      <c r="A56" s="2" t="s">
        <v>776</v>
      </c>
    </row>
    <row r="57" spans="1:13">
      <c r="A57" s="2" t="s">
        <v>777</v>
      </c>
    </row>
    <row r="58" spans="1:13">
      <c r="A58" s="2" t="s">
        <v>778</v>
      </c>
      <c r="M58" s="3"/>
    </row>
    <row r="60" spans="1:13">
      <c r="A60" s="17" t="s">
        <v>147</v>
      </c>
      <c r="B60" s="1" t="s">
        <v>779</v>
      </c>
      <c r="C60" s="1"/>
      <c r="D60" s="1"/>
      <c r="E60" s="1"/>
      <c r="F60" s="1"/>
      <c r="G60" s="1"/>
      <c r="H60" s="1"/>
      <c r="I60" s="1"/>
      <c r="J60" s="1"/>
      <c r="K60" s="1"/>
      <c r="L60" s="1"/>
    </row>
    <row r="61" spans="1:13">
      <c r="A61" s="14"/>
      <c r="B61" s="14"/>
      <c r="C61" s="14"/>
      <c r="D61" s="14"/>
      <c r="E61" s="14"/>
      <c r="F61" s="14"/>
      <c r="G61" s="1"/>
      <c r="H61" s="1"/>
      <c r="I61" s="1"/>
      <c r="J61" s="1"/>
      <c r="K61" s="1"/>
      <c r="L61" s="1"/>
    </row>
    <row r="62" spans="1:13">
      <c r="A62" s="3"/>
      <c r="B62" s="3"/>
      <c r="C62" s="3"/>
      <c r="D62" s="3"/>
      <c r="E62" s="3"/>
      <c r="F62" s="3"/>
      <c r="G62" s="3"/>
      <c r="H62" s="3"/>
      <c r="I62" s="3"/>
      <c r="J62" s="3"/>
      <c r="K62" s="3"/>
      <c r="L62" s="3"/>
    </row>
    <row r="63" spans="1:13">
      <c r="A63" s="3" t="s">
        <v>20</v>
      </c>
      <c r="B63" s="3"/>
      <c r="C63" s="3"/>
      <c r="D63" s="3"/>
      <c r="E63" s="3"/>
      <c r="F63" s="3"/>
      <c r="G63" s="3"/>
      <c r="H63" s="3"/>
      <c r="I63" s="3"/>
      <c r="J63" s="3"/>
      <c r="K63" s="3"/>
      <c r="L63" s="3"/>
    </row>
    <row r="64" spans="1:13">
      <c r="A64" s="3"/>
      <c r="B64" s="107" t="s">
        <v>756</v>
      </c>
      <c r="C64" s="295" t="s">
        <v>759</v>
      </c>
      <c r="D64" s="295"/>
      <c r="E64" s="295"/>
      <c r="F64" s="295" t="s">
        <v>762</v>
      </c>
      <c r="G64" s="107" t="s">
        <v>780</v>
      </c>
      <c r="H64" s="62"/>
      <c r="I64" s="3"/>
      <c r="J64" s="3"/>
      <c r="K64" s="3"/>
      <c r="L64" s="3"/>
    </row>
    <row r="65" spans="1:12">
      <c r="A65" s="3"/>
      <c r="B65" s="94">
        <v>1</v>
      </c>
      <c r="C65" s="3" t="s">
        <v>763</v>
      </c>
      <c r="D65" s="3"/>
      <c r="E65" s="3"/>
      <c r="F65" s="240">
        <f>H31</f>
        <v>1750</v>
      </c>
      <c r="G65" s="240">
        <f>F65*(1+$D$12)</f>
        <v>1837.5</v>
      </c>
      <c r="H65" s="3" t="s">
        <v>781</v>
      </c>
      <c r="I65" s="3"/>
      <c r="J65" s="3"/>
      <c r="K65" s="3"/>
      <c r="L65" s="3"/>
    </row>
    <row r="66" spans="1:12">
      <c r="B66" s="107">
        <v>1</v>
      </c>
      <c r="C66" s="295" t="s">
        <v>764</v>
      </c>
      <c r="D66" s="295"/>
      <c r="E66" s="295"/>
      <c r="F66" s="370">
        <f t="shared" ref="F66:F69" si="1">H32</f>
        <v>367.5</v>
      </c>
      <c r="G66" s="370">
        <f>F66</f>
        <v>367.5</v>
      </c>
      <c r="H66" s="3" t="s">
        <v>782</v>
      </c>
    </row>
    <row r="67" spans="1:12">
      <c r="B67" s="94">
        <v>2</v>
      </c>
      <c r="C67" s="3" t="s">
        <v>765</v>
      </c>
      <c r="D67" s="3"/>
      <c r="E67" s="3"/>
      <c r="F67" s="240">
        <f t="shared" si="1"/>
        <v>720</v>
      </c>
      <c r="G67" s="240">
        <f>F67*(1+$D$12)</f>
        <v>756</v>
      </c>
      <c r="H67" s="3" t="s">
        <v>781</v>
      </c>
    </row>
    <row r="68" spans="1:12">
      <c r="B68" s="107">
        <v>2</v>
      </c>
      <c r="C68" s="295" t="s">
        <v>766</v>
      </c>
      <c r="D68" s="295"/>
      <c r="E68" s="295"/>
      <c r="F68" s="370">
        <f t="shared" si="1"/>
        <v>600</v>
      </c>
      <c r="G68" s="370">
        <f>F68*(1+$D$12)</f>
        <v>630</v>
      </c>
      <c r="H68" s="3" t="s">
        <v>781</v>
      </c>
    </row>
    <row r="69" spans="1:12">
      <c r="B69" s="365">
        <v>3</v>
      </c>
      <c r="C69" s="371" t="s">
        <v>783</v>
      </c>
      <c r="D69" s="371"/>
      <c r="E69" s="371"/>
      <c r="F69" s="372">
        <f t="shared" si="1"/>
        <v>1200</v>
      </c>
      <c r="G69" s="372">
        <f>F69*(1+$D$12)</f>
        <v>1260</v>
      </c>
      <c r="H69" s="3" t="s">
        <v>781</v>
      </c>
    </row>
    <row r="70" spans="1:12">
      <c r="B70" s="274" t="s">
        <v>768</v>
      </c>
      <c r="C70" s="3"/>
      <c r="D70" s="3"/>
      <c r="E70" s="3"/>
      <c r="F70" s="106"/>
      <c r="G70" s="372">
        <f>SUM(G65:G69)</f>
        <v>4851</v>
      </c>
      <c r="H70" s="3"/>
    </row>
  </sheetData>
  <hyperlinks>
    <hyperlink ref="O1" location="TOC!A1" display="Table of Contents" xr:uid="{EE4CAC96-3F17-4AB7-9020-151F7DFF3209}"/>
  </hyperlinks>
  <pageMargins left="0.7" right="0.7" top="0.75" bottom="0.75" header="0.3" footer="0.3"/>
  <pageSetup scale="7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205C-72B5-4641-A1E8-28A0EB51CA98}">
  <dimension ref="A1:R83"/>
  <sheetViews>
    <sheetView zoomScaleNormal="100" workbookViewId="0"/>
  </sheetViews>
  <sheetFormatPr defaultColWidth="8.88671875" defaultRowHeight="15.6"/>
  <cols>
    <col min="1" max="1" width="8.88671875" style="2" customWidth="1"/>
    <col min="2" max="2" width="15.6640625" style="2" customWidth="1"/>
    <col min="3" max="3" width="19.109375" style="2" customWidth="1"/>
    <col min="4" max="5" width="15.6640625" style="2" customWidth="1"/>
    <col min="6" max="6" width="14.5546875" style="2" customWidth="1"/>
    <col min="7" max="7" width="16.109375" style="2" customWidth="1"/>
    <col min="8" max="8" width="8.88671875" style="2" customWidth="1"/>
    <col min="9" max="16384" width="8.88671875" style="2"/>
  </cols>
  <sheetData>
    <row r="1" spans="1:15" ht="17.399999999999999">
      <c r="A1" s="13" t="s">
        <v>1064</v>
      </c>
      <c r="B1" s="1"/>
      <c r="C1" s="1"/>
      <c r="D1" s="1" t="s">
        <v>240</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5" t="s">
        <v>144</v>
      </c>
      <c r="B8" s="14"/>
      <c r="C8" s="14"/>
      <c r="D8" s="14"/>
      <c r="E8" s="14"/>
      <c r="F8" s="14"/>
      <c r="G8" s="14"/>
      <c r="H8" s="14"/>
      <c r="I8" s="14"/>
      <c r="J8" s="14"/>
      <c r="K8" s="14"/>
      <c r="L8" s="14"/>
    </row>
    <row r="9" spans="1:15">
      <c r="A9" s="3"/>
      <c r="B9" s="3"/>
      <c r="C9" s="3"/>
      <c r="D9" s="3"/>
      <c r="E9" s="3"/>
      <c r="F9" s="3"/>
      <c r="G9" s="3"/>
      <c r="H9" s="3"/>
      <c r="I9" s="3"/>
      <c r="J9" s="3"/>
      <c r="K9" s="3"/>
      <c r="L9" s="3"/>
    </row>
    <row r="10" spans="1:15">
      <c r="A10" s="15" t="s">
        <v>146</v>
      </c>
      <c r="B10" s="14"/>
      <c r="C10" s="14"/>
      <c r="D10" s="14"/>
      <c r="E10" s="14"/>
      <c r="F10" s="14"/>
      <c r="G10" s="14"/>
      <c r="H10" s="14"/>
      <c r="I10" s="14"/>
      <c r="J10" s="14"/>
      <c r="K10" s="14"/>
      <c r="L10" s="14"/>
    </row>
    <row r="11" spans="1:15">
      <c r="A11" s="3"/>
      <c r="B11" s="3"/>
      <c r="C11" s="3"/>
      <c r="D11" s="3"/>
      <c r="E11" s="3"/>
      <c r="F11" s="3"/>
      <c r="G11" s="3"/>
      <c r="H11" s="3"/>
      <c r="I11" s="3"/>
      <c r="J11" s="3"/>
      <c r="K11" s="3"/>
      <c r="L11" s="3"/>
    </row>
    <row r="12" spans="1:15">
      <c r="A12" s="15" t="s">
        <v>28</v>
      </c>
      <c r="B12" s="14"/>
      <c r="C12" s="14"/>
      <c r="D12" s="14"/>
      <c r="E12" s="14"/>
      <c r="F12" s="14"/>
      <c r="G12" s="14"/>
      <c r="H12" s="14"/>
      <c r="I12" s="14"/>
      <c r="J12" s="14"/>
      <c r="K12" s="14"/>
      <c r="L12" s="14"/>
    </row>
    <row r="13" spans="1:15">
      <c r="A13" s="3"/>
      <c r="B13" s="3"/>
      <c r="C13" s="3"/>
      <c r="D13" s="3"/>
      <c r="E13" s="3"/>
      <c r="F13" s="3"/>
      <c r="G13" s="3"/>
      <c r="H13" s="3"/>
      <c r="I13" s="3"/>
      <c r="J13" s="3"/>
      <c r="K13" s="3"/>
      <c r="L13" s="3"/>
    </row>
    <row r="14" spans="1:15">
      <c r="A14" s="1" t="s">
        <v>784</v>
      </c>
      <c r="B14" s="1"/>
      <c r="C14" s="1"/>
      <c r="D14" s="1"/>
      <c r="E14" s="1"/>
      <c r="F14" s="1"/>
      <c r="G14" s="1"/>
      <c r="H14" s="1"/>
      <c r="I14" s="1"/>
      <c r="J14" s="1"/>
      <c r="K14" s="1"/>
      <c r="L14" s="14"/>
    </row>
    <row r="15" spans="1:15">
      <c r="A15" s="43"/>
      <c r="B15" s="1"/>
      <c r="C15" s="1"/>
      <c r="D15" s="1"/>
      <c r="E15" s="1"/>
      <c r="F15" s="1"/>
      <c r="G15" s="1"/>
      <c r="H15" s="1"/>
      <c r="I15" s="1"/>
      <c r="J15" s="1"/>
      <c r="K15" s="1"/>
      <c r="L15" s="1"/>
    </row>
    <row r="16" spans="1:15">
      <c r="A16" s="43"/>
      <c r="B16" s="373"/>
      <c r="C16" s="373"/>
      <c r="D16" s="828" t="s">
        <v>785</v>
      </c>
      <c r="E16" s="828" t="s">
        <v>627</v>
      </c>
      <c r="F16" s="1"/>
      <c r="G16" s="1"/>
      <c r="H16" s="1"/>
      <c r="I16" s="1"/>
      <c r="J16" s="1"/>
      <c r="K16" s="1"/>
      <c r="L16" s="1"/>
    </row>
    <row r="17" spans="1:18">
      <c r="A17" s="43"/>
      <c r="B17" s="187" t="s">
        <v>786</v>
      </c>
      <c r="C17" s="187" t="s">
        <v>4</v>
      </c>
      <c r="D17" s="828"/>
      <c r="E17" s="828"/>
      <c r="F17" s="1"/>
      <c r="G17" s="1"/>
      <c r="H17" s="1"/>
      <c r="I17" s="1"/>
      <c r="J17" s="1"/>
      <c r="K17" s="1"/>
      <c r="L17" s="1"/>
    </row>
    <row r="18" spans="1:18">
      <c r="A18" s="43"/>
      <c r="B18" s="25">
        <v>2013</v>
      </c>
      <c r="C18" s="7">
        <v>12603</v>
      </c>
      <c r="D18" s="7">
        <v>12974000</v>
      </c>
      <c r="E18" s="6">
        <v>1.042</v>
      </c>
      <c r="F18" s="1"/>
      <c r="G18" s="1"/>
      <c r="H18" s="1"/>
      <c r="I18" s="1"/>
      <c r="J18" s="1"/>
      <c r="K18" s="1"/>
      <c r="L18" s="1"/>
    </row>
    <row r="19" spans="1:18">
      <c r="A19" s="43"/>
      <c r="B19" s="6">
        <v>2014</v>
      </c>
      <c r="C19" s="7">
        <v>13190</v>
      </c>
      <c r="D19" s="7">
        <v>13846250</v>
      </c>
      <c r="E19" s="6">
        <v>1.087</v>
      </c>
      <c r="F19" s="1"/>
      <c r="G19" s="1"/>
      <c r="H19" s="1"/>
      <c r="I19" s="1"/>
      <c r="J19" s="1"/>
      <c r="K19" s="1"/>
      <c r="L19" s="1"/>
    </row>
    <row r="20" spans="1:18">
      <c r="A20" s="1"/>
      <c r="B20" s="6">
        <v>2015</v>
      </c>
      <c r="C20" s="7">
        <v>13631</v>
      </c>
      <c r="D20" s="7">
        <v>14074250</v>
      </c>
      <c r="E20" s="6">
        <v>1.149</v>
      </c>
      <c r="F20" s="1"/>
      <c r="G20" s="1"/>
      <c r="H20" s="1"/>
      <c r="I20" s="1"/>
      <c r="J20" s="1"/>
      <c r="K20" s="1"/>
      <c r="L20" s="1"/>
    </row>
    <row r="21" spans="1:18">
      <c r="A21" s="1"/>
      <c r="B21" s="6">
        <v>2016</v>
      </c>
      <c r="C21" s="7">
        <v>13988</v>
      </c>
      <c r="D21" s="7">
        <v>13332300</v>
      </c>
      <c r="E21" s="6">
        <v>1.2350000000000001</v>
      </c>
      <c r="F21" s="1"/>
      <c r="G21" s="1"/>
      <c r="H21" s="1"/>
      <c r="I21" s="1"/>
      <c r="J21" s="1"/>
      <c r="K21" s="1"/>
      <c r="L21" s="1"/>
    </row>
    <row r="22" spans="1:18">
      <c r="A22" s="43"/>
      <c r="B22" s="6">
        <v>2017</v>
      </c>
      <c r="C22" s="7">
        <v>15364</v>
      </c>
      <c r="D22" s="7">
        <v>14057100</v>
      </c>
      <c r="E22" s="6">
        <v>1.351</v>
      </c>
      <c r="F22" s="1"/>
      <c r="G22" s="1"/>
      <c r="H22" s="1"/>
      <c r="I22" s="1"/>
      <c r="J22" s="1"/>
      <c r="K22" s="1"/>
      <c r="L22" s="1"/>
    </row>
    <row r="23" spans="1:18">
      <c r="A23" s="1"/>
      <c r="B23" s="6">
        <v>2018</v>
      </c>
      <c r="C23" s="7">
        <v>15949</v>
      </c>
      <c r="D23" s="7">
        <v>13586400</v>
      </c>
      <c r="E23" s="6">
        <v>1.5149999999999999</v>
      </c>
      <c r="F23" s="1"/>
      <c r="G23" s="1"/>
      <c r="H23" s="1"/>
      <c r="I23" s="1"/>
      <c r="J23" s="1"/>
      <c r="K23" s="1"/>
      <c r="L23" s="1"/>
    </row>
    <row r="24" spans="1:18">
      <c r="A24" s="1"/>
      <c r="B24" s="6">
        <v>2019</v>
      </c>
      <c r="C24" s="7">
        <v>16270</v>
      </c>
      <c r="D24" s="7">
        <v>12601600</v>
      </c>
      <c r="E24" s="6">
        <v>1.754</v>
      </c>
      <c r="F24" s="1"/>
      <c r="G24" s="1"/>
      <c r="H24" s="1"/>
      <c r="I24" s="1"/>
      <c r="J24" s="1"/>
      <c r="K24" s="1"/>
      <c r="L24" s="1"/>
    </row>
    <row r="25" spans="1:18">
      <c r="A25" s="1"/>
      <c r="B25" s="6">
        <v>2020</v>
      </c>
      <c r="C25" s="7">
        <v>16468</v>
      </c>
      <c r="D25" s="7">
        <v>10118900</v>
      </c>
      <c r="E25" s="6">
        <v>2.1280000000000001</v>
      </c>
      <c r="F25" s="1"/>
      <c r="G25" s="1"/>
      <c r="H25" s="1"/>
      <c r="I25" s="1"/>
      <c r="J25" s="1"/>
      <c r="K25" s="1"/>
      <c r="L25" s="1"/>
    </row>
    <row r="26" spans="1:18">
      <c r="A26" s="1"/>
      <c r="B26" s="5" t="s">
        <v>132</v>
      </c>
      <c r="C26" s="374">
        <v>117464</v>
      </c>
      <c r="D26" s="374">
        <v>104590800</v>
      </c>
      <c r="E26" s="5"/>
      <c r="F26" s="1"/>
      <c r="G26" s="1"/>
      <c r="H26" s="1"/>
      <c r="I26" s="1"/>
      <c r="J26" s="1"/>
      <c r="K26" s="1"/>
      <c r="L26" s="1"/>
    </row>
    <row r="27" spans="1:18">
      <c r="A27" s="1"/>
      <c r="B27" s="1"/>
      <c r="C27" s="1"/>
      <c r="D27" s="1"/>
      <c r="E27" s="1"/>
      <c r="F27" s="1"/>
      <c r="G27" s="1"/>
      <c r="H27" s="1"/>
      <c r="I27" s="1"/>
      <c r="J27" s="1"/>
      <c r="K27" s="1"/>
      <c r="L27" s="1"/>
    </row>
    <row r="28" spans="1:18">
      <c r="A28" s="1"/>
      <c r="B28" s="375" t="s">
        <v>787</v>
      </c>
      <c r="C28" s="376"/>
      <c r="D28" s="377">
        <v>0.03</v>
      </c>
      <c r="E28" s="1"/>
      <c r="F28" s="1"/>
      <c r="G28" s="1"/>
      <c r="H28" s="1"/>
      <c r="I28" s="1"/>
      <c r="J28" s="1"/>
      <c r="K28" s="1"/>
      <c r="L28" s="1"/>
    </row>
    <row r="29" spans="1:18">
      <c r="A29" s="1"/>
      <c r="B29" s="1"/>
      <c r="C29" s="1"/>
      <c r="D29" s="378"/>
      <c r="E29" s="1"/>
      <c r="F29" s="1"/>
      <c r="G29" s="1"/>
      <c r="H29" s="1"/>
      <c r="I29" s="1"/>
      <c r="J29" s="1"/>
      <c r="K29" s="1"/>
      <c r="L29" s="1"/>
    </row>
    <row r="30" spans="1:18">
      <c r="A30" s="3"/>
      <c r="B30" s="3"/>
      <c r="C30" s="3"/>
      <c r="D30" s="3"/>
      <c r="E30" s="3"/>
      <c r="F30" s="3"/>
      <c r="G30" s="3"/>
      <c r="H30" s="3"/>
      <c r="I30" s="3"/>
      <c r="J30" s="3"/>
      <c r="K30" s="3"/>
      <c r="L30" s="3"/>
    </row>
    <row r="31" spans="1:18">
      <c r="A31" s="17" t="s">
        <v>545</v>
      </c>
      <c r="B31" s="1" t="s">
        <v>788</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ht="62.4">
      <c r="A35" s="3"/>
      <c r="B35" s="93" t="s">
        <v>789</v>
      </c>
      <c r="C35" s="93" t="s">
        <v>628</v>
      </c>
      <c r="D35" s="93" t="s">
        <v>274</v>
      </c>
      <c r="E35" s="93" t="s">
        <v>790</v>
      </c>
      <c r="F35" s="93" t="s">
        <v>791</v>
      </c>
      <c r="G35" s="93" t="s">
        <v>792</v>
      </c>
      <c r="H35" s="3"/>
      <c r="I35" s="3"/>
      <c r="J35" s="3"/>
      <c r="K35" s="3"/>
      <c r="L35" s="3"/>
      <c r="M35" s="3"/>
      <c r="N35" s="9"/>
    </row>
    <row r="36" spans="1:14">
      <c r="A36" s="3"/>
      <c r="B36" s="94">
        <f t="shared" ref="B36:B41" si="0">B37-1</f>
        <v>2013</v>
      </c>
      <c r="C36" s="379">
        <f t="shared" ref="C36:C43" si="1">D18*E18</f>
        <v>13518908</v>
      </c>
      <c r="D36" s="332">
        <f t="shared" ref="D36:D43" si="2">(1+$D$28)^($B$43-B36)</f>
        <v>1.22987386542487</v>
      </c>
      <c r="E36" s="380">
        <f t="shared" ref="E36:E43" si="3">C36*D36/C18</f>
        <v>1319.2534823679441</v>
      </c>
      <c r="F36" s="381">
        <f>$E$50/D36</f>
        <v>1103.6070758059652</v>
      </c>
      <c r="G36" s="12">
        <f t="shared" ref="G36:G43" si="4">C18*F36</f>
        <v>13908759.97638258</v>
      </c>
      <c r="H36" s="3"/>
      <c r="I36" s="3"/>
      <c r="J36" s="3"/>
      <c r="K36" s="3"/>
      <c r="L36" s="3"/>
      <c r="M36" s="3"/>
      <c r="N36" s="9"/>
    </row>
    <row r="37" spans="1:14">
      <c r="A37" s="3"/>
      <c r="B37" s="94">
        <f t="shared" si="0"/>
        <v>2014</v>
      </c>
      <c r="C37" s="379">
        <f t="shared" si="1"/>
        <v>15050873.75</v>
      </c>
      <c r="D37" s="332">
        <f t="shared" si="2"/>
        <v>1.1940522965289999</v>
      </c>
      <c r="E37" s="380">
        <f t="shared" si="3"/>
        <v>1362.5117790716861</v>
      </c>
      <c r="F37" s="381">
        <f t="shared" ref="F37:F43" si="5">$E$50/D37</f>
        <v>1136.7152880801441</v>
      </c>
      <c r="G37" s="12">
        <f t="shared" si="4"/>
        <v>14993274.649777101</v>
      </c>
      <c r="H37" s="3"/>
      <c r="I37" s="3"/>
      <c r="J37" s="3"/>
      <c r="K37" s="3"/>
      <c r="L37" s="3"/>
      <c r="M37" s="3"/>
      <c r="N37" s="9"/>
    </row>
    <row r="38" spans="1:14">
      <c r="A38" s="3"/>
      <c r="B38" s="94">
        <f t="shared" si="0"/>
        <v>2015</v>
      </c>
      <c r="C38" s="379">
        <f t="shared" si="1"/>
        <v>16171313.25</v>
      </c>
      <c r="D38" s="332">
        <f t="shared" si="2"/>
        <v>1.1592740742999998</v>
      </c>
      <c r="E38" s="380">
        <f t="shared" si="3"/>
        <v>1375.3198003161228</v>
      </c>
      <c r="F38" s="381">
        <f t="shared" si="5"/>
        <v>1170.8167467225485</v>
      </c>
      <c r="G38" s="12">
        <f t="shared" si="4"/>
        <v>15959403.074575059</v>
      </c>
      <c r="H38" s="3"/>
      <c r="I38" s="3"/>
      <c r="J38" s="3"/>
      <c r="K38" s="3"/>
      <c r="L38" s="3"/>
      <c r="M38" s="3"/>
      <c r="N38" s="9"/>
    </row>
    <row r="39" spans="1:14">
      <c r="A39" s="3"/>
      <c r="B39" s="94">
        <f t="shared" si="0"/>
        <v>2016</v>
      </c>
      <c r="C39" s="379">
        <f t="shared" si="1"/>
        <v>16465390.500000002</v>
      </c>
      <c r="D39" s="332">
        <f t="shared" si="2"/>
        <v>1.1255088099999999</v>
      </c>
      <c r="E39" s="380">
        <f t="shared" si="3"/>
        <v>1324.8457297569562</v>
      </c>
      <c r="F39" s="381">
        <f t="shared" si="5"/>
        <v>1205.9412491242249</v>
      </c>
      <c r="G39" s="12">
        <f t="shared" si="4"/>
        <v>16868706.192749657</v>
      </c>
      <c r="H39" s="3"/>
      <c r="I39" s="3"/>
      <c r="J39" s="3"/>
      <c r="K39" s="3"/>
      <c r="L39" s="3"/>
      <c r="M39" s="3"/>
      <c r="N39" s="9"/>
    </row>
    <row r="40" spans="1:14">
      <c r="A40" s="3"/>
      <c r="B40" s="94">
        <f t="shared" si="0"/>
        <v>2017</v>
      </c>
      <c r="C40" s="379">
        <f t="shared" si="1"/>
        <v>18991142.100000001</v>
      </c>
      <c r="D40" s="332">
        <f t="shared" si="2"/>
        <v>1.092727</v>
      </c>
      <c r="E40" s="380">
        <f t="shared" si="3"/>
        <v>1350.6986288405819</v>
      </c>
      <c r="F40" s="381">
        <f t="shared" si="5"/>
        <v>1242.1194865979517</v>
      </c>
      <c r="G40" s="12">
        <f t="shared" si="4"/>
        <v>19083923.79209093</v>
      </c>
      <c r="H40" s="3"/>
      <c r="I40" s="3"/>
      <c r="J40" s="3"/>
      <c r="K40" s="3"/>
      <c r="L40" s="3"/>
      <c r="M40" s="3"/>
      <c r="N40" s="9"/>
    </row>
    <row r="41" spans="1:14">
      <c r="A41" s="3"/>
      <c r="B41" s="94">
        <f t="shared" si="0"/>
        <v>2018</v>
      </c>
      <c r="C41" s="379">
        <f t="shared" si="1"/>
        <v>20583396</v>
      </c>
      <c r="D41" s="332">
        <f t="shared" si="2"/>
        <v>1.0609</v>
      </c>
      <c r="E41" s="380">
        <f t="shared" si="3"/>
        <v>1369.1720368925951</v>
      </c>
      <c r="F41" s="381">
        <f t="shared" si="5"/>
        <v>1279.3830711958901</v>
      </c>
      <c r="G41" s="12">
        <f t="shared" si="4"/>
        <v>20404880.602503251</v>
      </c>
      <c r="H41" s="3"/>
      <c r="I41" s="3"/>
      <c r="J41" s="3"/>
      <c r="K41" s="3"/>
      <c r="L41" s="3"/>
      <c r="M41" s="3"/>
      <c r="N41" s="9"/>
    </row>
    <row r="42" spans="1:14">
      <c r="A42" s="3"/>
      <c r="B42" s="94">
        <f>B43-1</f>
        <v>2019</v>
      </c>
      <c r="C42" s="379">
        <f t="shared" si="1"/>
        <v>22103206.399999999</v>
      </c>
      <c r="D42" s="332">
        <f t="shared" si="2"/>
        <v>1.03</v>
      </c>
      <c r="E42" s="380">
        <f t="shared" si="3"/>
        <v>1399.2810443761525</v>
      </c>
      <c r="F42" s="381">
        <f t="shared" si="5"/>
        <v>1317.7645633317668</v>
      </c>
      <c r="G42" s="12">
        <f t="shared" si="4"/>
        <v>21440029.445407845</v>
      </c>
      <c r="H42" s="3"/>
      <c r="I42" s="3"/>
      <c r="J42" s="3"/>
      <c r="K42" s="3"/>
      <c r="L42" s="3"/>
      <c r="M42" s="3"/>
      <c r="N42" s="9"/>
    </row>
    <row r="43" spans="1:14">
      <c r="A43" s="3"/>
      <c r="B43" s="107">
        <v>2020</v>
      </c>
      <c r="C43" s="382">
        <f t="shared" si="1"/>
        <v>21533019.200000003</v>
      </c>
      <c r="D43" s="335">
        <f t="shared" si="2"/>
        <v>1</v>
      </c>
      <c r="E43" s="383">
        <f t="shared" si="3"/>
        <v>1307.5673548700511</v>
      </c>
      <c r="F43" s="384">
        <f t="shared" si="5"/>
        <v>1357.2975002317198</v>
      </c>
      <c r="G43" s="348">
        <f t="shared" si="4"/>
        <v>22351975.233815961</v>
      </c>
      <c r="H43" s="3"/>
      <c r="I43" s="3"/>
      <c r="J43" s="3"/>
      <c r="K43" s="3"/>
      <c r="L43" s="3"/>
      <c r="M43" s="3"/>
      <c r="N43" s="9"/>
    </row>
    <row r="44" spans="1:14">
      <c r="A44" s="3"/>
      <c r="B44" s="94" t="s">
        <v>132</v>
      </c>
      <c r="C44" s="379">
        <f>SUM(C36:C43)</f>
        <v>144417249.19999999</v>
      </c>
      <c r="D44" s="3"/>
      <c r="E44" s="381"/>
      <c r="F44" s="381"/>
      <c r="G44" s="12">
        <f>SUM(G36:G43)</f>
        <v>145010952.96730241</v>
      </c>
      <c r="H44" s="3"/>
      <c r="I44" s="3"/>
      <c r="J44" s="3"/>
      <c r="K44" s="3"/>
      <c r="L44" s="3"/>
      <c r="M44" s="3"/>
      <c r="N44" s="9"/>
    </row>
    <row r="45" spans="1:14">
      <c r="A45" s="3"/>
      <c r="B45" s="18"/>
      <c r="C45" s="18"/>
      <c r="D45" s="18"/>
      <c r="E45" s="18"/>
      <c r="F45" s="18"/>
      <c r="G45" s="18"/>
      <c r="H45" s="18"/>
      <c r="I45" s="3"/>
      <c r="J45" s="3"/>
      <c r="K45" s="3"/>
      <c r="L45" s="3"/>
      <c r="M45" s="3"/>
      <c r="N45" s="9"/>
    </row>
    <row r="46" spans="1:14">
      <c r="A46" s="3"/>
      <c r="B46" s="18"/>
      <c r="D46" s="151" t="s">
        <v>793</v>
      </c>
      <c r="E46" s="11"/>
      <c r="H46" s="3"/>
      <c r="I46" s="3"/>
      <c r="J46" s="3"/>
      <c r="K46" s="3"/>
      <c r="L46" s="3"/>
      <c r="M46" s="3"/>
      <c r="N46" s="9"/>
    </row>
    <row r="47" spans="1:14">
      <c r="A47" s="3"/>
      <c r="B47" s="18"/>
      <c r="D47" s="151" t="s">
        <v>794</v>
      </c>
      <c r="E47" s="380">
        <f>AVERAGE(E36:E42)</f>
        <v>1357.2975002317198</v>
      </c>
      <c r="H47" s="3"/>
      <c r="I47" s="3"/>
      <c r="J47" s="3"/>
      <c r="K47" s="3"/>
      <c r="L47" s="3"/>
      <c r="M47" s="3"/>
      <c r="N47" s="9"/>
    </row>
    <row r="48" spans="1:14">
      <c r="A48" s="3"/>
      <c r="B48" s="18"/>
      <c r="D48" s="151" t="s">
        <v>795</v>
      </c>
      <c r="E48" s="380">
        <f>AVERAGE(E37:E41)</f>
        <v>1356.5095949755885</v>
      </c>
      <c r="G48" s="18"/>
      <c r="H48" s="18"/>
      <c r="I48" s="18"/>
      <c r="J48" s="18"/>
      <c r="K48" s="3"/>
      <c r="L48" s="3"/>
      <c r="M48" s="3"/>
      <c r="N48" s="9"/>
    </row>
    <row r="49" spans="1:14">
      <c r="A49" s="3"/>
      <c r="B49" s="18"/>
      <c r="D49" s="151" t="s">
        <v>796</v>
      </c>
      <c r="E49" s="380">
        <f>AVERAGE(E39:E43)</f>
        <v>1350.3129589472676</v>
      </c>
      <c r="G49" s="18"/>
      <c r="H49" s="18"/>
      <c r="I49" s="18"/>
      <c r="J49" s="18"/>
      <c r="K49" s="3"/>
      <c r="L49" s="3"/>
      <c r="M49" s="3"/>
      <c r="N49" s="9"/>
    </row>
    <row r="50" spans="1:14">
      <c r="A50" s="3"/>
      <c r="B50" s="18"/>
      <c r="D50" s="151" t="s">
        <v>797</v>
      </c>
      <c r="E50" s="380">
        <f>E47</f>
        <v>1357.2975002317198</v>
      </c>
      <c r="G50" s="18"/>
      <c r="H50" s="18"/>
      <c r="I50" s="18"/>
      <c r="J50" s="18"/>
      <c r="K50" s="3"/>
      <c r="L50" s="3"/>
      <c r="M50" s="3"/>
      <c r="N50" s="9"/>
    </row>
    <row r="51" spans="1:14">
      <c r="M51" s="9"/>
      <c r="N51" s="9"/>
    </row>
    <row r="52" spans="1:14">
      <c r="A52" s="17" t="s">
        <v>798</v>
      </c>
      <c r="B52" s="831" t="s">
        <v>799</v>
      </c>
      <c r="C52" s="831"/>
      <c r="D52" s="831"/>
      <c r="E52" s="831"/>
      <c r="F52" s="831"/>
      <c r="G52" s="831"/>
      <c r="H52" s="831"/>
      <c r="I52" s="831"/>
      <c r="J52" s="831"/>
      <c r="K52" s="831"/>
      <c r="L52" s="831"/>
    </row>
    <row r="53" spans="1:14">
      <c r="A53" s="17"/>
      <c r="B53" s="831"/>
      <c r="C53" s="831"/>
      <c r="D53" s="831"/>
      <c r="E53" s="831"/>
      <c r="F53" s="831"/>
      <c r="G53" s="831"/>
      <c r="H53" s="831"/>
      <c r="I53" s="831"/>
      <c r="J53" s="831"/>
      <c r="K53" s="831"/>
      <c r="L53" s="831"/>
    </row>
    <row r="54" spans="1:14">
      <c r="A54" s="14"/>
      <c r="B54" s="14"/>
      <c r="C54" s="14"/>
      <c r="D54" s="14"/>
      <c r="E54" s="14"/>
      <c r="F54" s="14"/>
      <c r="G54" s="1"/>
      <c r="H54" s="1"/>
      <c r="I54" s="1"/>
      <c r="J54" s="1"/>
      <c r="K54" s="1"/>
      <c r="L54" s="1"/>
    </row>
    <row r="55" spans="1:14">
      <c r="A55" s="3"/>
      <c r="B55" s="3"/>
      <c r="C55" s="3"/>
      <c r="D55" s="3"/>
      <c r="E55" s="3"/>
      <c r="F55" s="3"/>
      <c r="G55" s="3"/>
      <c r="H55" s="3"/>
      <c r="I55" s="3"/>
      <c r="J55" s="3"/>
      <c r="K55" s="3"/>
      <c r="L55" s="3"/>
    </row>
    <row r="56" spans="1:14">
      <c r="A56" s="3" t="s">
        <v>20</v>
      </c>
      <c r="B56" s="3"/>
      <c r="C56" s="3"/>
      <c r="D56" s="3"/>
      <c r="E56" s="3"/>
      <c r="F56" s="3"/>
      <c r="G56" s="3"/>
      <c r="H56" s="3"/>
      <c r="I56" s="3"/>
      <c r="J56" s="3"/>
      <c r="K56" s="3"/>
      <c r="L56" s="3"/>
    </row>
    <row r="57" spans="1:14" ht="31.2">
      <c r="A57" s="3"/>
      <c r="B57" s="93" t="s">
        <v>786</v>
      </c>
      <c r="C57" s="93" t="s">
        <v>213</v>
      </c>
      <c r="D57" s="93" t="s">
        <v>214</v>
      </c>
      <c r="E57" s="93" t="s">
        <v>800</v>
      </c>
      <c r="F57" s="3"/>
      <c r="G57" s="3"/>
      <c r="H57" s="3"/>
      <c r="I57" s="3"/>
      <c r="J57" s="3"/>
      <c r="K57" s="3"/>
      <c r="L57" s="3"/>
    </row>
    <row r="58" spans="1:14">
      <c r="A58" s="3"/>
      <c r="B58" s="94">
        <f t="shared" ref="B58:B63" si="6">B59-1</f>
        <v>2013</v>
      </c>
      <c r="C58" s="385">
        <f>1-(1/E18)</f>
        <v>4.0307101727447225E-2</v>
      </c>
      <c r="D58" s="106">
        <f t="shared" ref="D58:D65" si="7">C58*G36</f>
        <v>560621.80327069911</v>
      </c>
      <c r="E58" s="106">
        <f>D58+D18</f>
        <v>13534621.803270699</v>
      </c>
      <c r="F58" s="3"/>
      <c r="G58" s="3"/>
      <c r="H58" s="3"/>
      <c r="I58" s="3"/>
      <c r="J58" s="3"/>
      <c r="K58" s="3"/>
      <c r="L58" s="3"/>
    </row>
    <row r="59" spans="1:14">
      <c r="B59" s="94">
        <f t="shared" si="6"/>
        <v>2014</v>
      </c>
      <c r="C59" s="385">
        <f t="shared" ref="C59:C65" si="8">1-(1/E19)</f>
        <v>8.0036798528058894E-2</v>
      </c>
      <c r="D59" s="106">
        <f t="shared" si="7"/>
        <v>1200013.7024200626</v>
      </c>
      <c r="E59" s="106">
        <f t="shared" ref="E59:E65" si="9">D59+D19</f>
        <v>15046263.702420063</v>
      </c>
      <c r="M59" s="3"/>
    </row>
    <row r="60" spans="1:14">
      <c r="B60" s="94">
        <f t="shared" si="6"/>
        <v>2015</v>
      </c>
      <c r="C60" s="385">
        <f t="shared" si="8"/>
        <v>0.1296779808529156</v>
      </c>
      <c r="D60" s="106">
        <f t="shared" si="7"/>
        <v>2069583.1663287068</v>
      </c>
      <c r="E60" s="106">
        <f t="shared" si="9"/>
        <v>16143833.166328706</v>
      </c>
      <c r="M60" s="3"/>
    </row>
    <row r="61" spans="1:14">
      <c r="B61" s="94">
        <f t="shared" si="6"/>
        <v>2016</v>
      </c>
      <c r="C61" s="385">
        <f t="shared" si="8"/>
        <v>0.19028340080971662</v>
      </c>
      <c r="D61" s="106">
        <f t="shared" si="7"/>
        <v>3209834.7816163315</v>
      </c>
      <c r="E61" s="106">
        <f t="shared" si="9"/>
        <v>16542134.781616332</v>
      </c>
      <c r="M61" s="3"/>
    </row>
    <row r="62" spans="1:14">
      <c r="B62" s="94">
        <f t="shared" si="6"/>
        <v>2017</v>
      </c>
      <c r="C62" s="385">
        <f t="shared" si="8"/>
        <v>0.25980754996299038</v>
      </c>
      <c r="D62" s="106">
        <f t="shared" si="7"/>
        <v>4958147.4841035651</v>
      </c>
      <c r="E62" s="106">
        <f t="shared" si="9"/>
        <v>19015247.484103564</v>
      </c>
    </row>
    <row r="63" spans="1:14">
      <c r="B63" s="94">
        <f t="shared" si="6"/>
        <v>2018</v>
      </c>
      <c r="C63" s="385">
        <f t="shared" si="8"/>
        <v>0.33993399339933994</v>
      </c>
      <c r="D63" s="106">
        <f t="shared" si="7"/>
        <v>6936312.5480456594</v>
      </c>
      <c r="E63" s="106">
        <f t="shared" si="9"/>
        <v>20522712.548045658</v>
      </c>
    </row>
    <row r="64" spans="1:14">
      <c r="B64" s="94">
        <f>B65-1</f>
        <v>2019</v>
      </c>
      <c r="C64" s="385">
        <f t="shared" si="8"/>
        <v>0.4298745724059293</v>
      </c>
      <c r="D64" s="106">
        <f t="shared" si="7"/>
        <v>9216523.4902152307</v>
      </c>
      <c r="E64" s="106">
        <f t="shared" si="9"/>
        <v>21818123.490215231</v>
      </c>
    </row>
    <row r="65" spans="1:14">
      <c r="B65" s="107">
        <v>2020</v>
      </c>
      <c r="C65" s="140">
        <f t="shared" si="8"/>
        <v>0.53007518796992481</v>
      </c>
      <c r="D65" s="110">
        <f t="shared" si="7"/>
        <v>11848227.4735641</v>
      </c>
      <c r="E65" s="110">
        <f t="shared" si="9"/>
        <v>21967127.4735641</v>
      </c>
    </row>
    <row r="66" spans="1:14">
      <c r="B66" s="94" t="s">
        <v>132</v>
      </c>
      <c r="C66" s="106"/>
      <c r="D66" s="106">
        <f t="shared" ref="D66:E66" si="10">SUM(D58:D65)</f>
        <v>39999264.449564353</v>
      </c>
      <c r="E66" s="106">
        <f t="shared" si="10"/>
        <v>144590064.44956434</v>
      </c>
    </row>
    <row r="68" spans="1:14">
      <c r="A68" s="17" t="s">
        <v>801</v>
      </c>
      <c r="B68" s="1" t="s">
        <v>802</v>
      </c>
      <c r="C68" s="1"/>
      <c r="D68" s="1"/>
      <c r="E68" s="1"/>
      <c r="F68" s="1"/>
      <c r="G68" s="1"/>
      <c r="H68" s="1"/>
      <c r="I68" s="1"/>
      <c r="J68" s="1"/>
      <c r="K68" s="1"/>
      <c r="L68" s="1"/>
    </row>
    <row r="69" spans="1:14">
      <c r="A69" s="14"/>
      <c r="B69" s="14"/>
      <c r="C69" s="14"/>
      <c r="D69" s="14"/>
      <c r="E69" s="14"/>
      <c r="F69" s="14"/>
      <c r="G69" s="1"/>
      <c r="H69" s="1"/>
      <c r="I69" s="1"/>
      <c r="J69" s="1"/>
      <c r="K69" s="1"/>
      <c r="L69" s="1"/>
    </row>
    <row r="70" spans="1:14">
      <c r="A70" s="3"/>
      <c r="B70" s="3"/>
      <c r="C70" s="3"/>
      <c r="D70" s="3"/>
      <c r="E70" s="3"/>
      <c r="F70" s="3"/>
      <c r="G70" s="3"/>
      <c r="H70" s="3"/>
      <c r="I70" s="3"/>
      <c r="J70" s="3"/>
      <c r="K70" s="3"/>
      <c r="L70" s="3"/>
    </row>
    <row r="71" spans="1:14">
      <c r="A71" s="3" t="s">
        <v>20</v>
      </c>
      <c r="B71" s="3"/>
      <c r="C71" s="3"/>
      <c r="D71" s="3"/>
      <c r="E71" s="3"/>
      <c r="F71" s="3"/>
      <c r="G71" s="3"/>
      <c r="H71" s="3"/>
      <c r="I71" s="3"/>
      <c r="J71" s="3"/>
      <c r="K71" s="3"/>
      <c r="L71" s="3"/>
    </row>
    <row r="72" spans="1:14" ht="46.8">
      <c r="A72" s="3"/>
      <c r="B72" s="93" t="s">
        <v>786</v>
      </c>
      <c r="C72" s="93" t="s">
        <v>803</v>
      </c>
      <c r="D72" s="93" t="s">
        <v>804</v>
      </c>
      <c r="E72" s="93" t="s">
        <v>805</v>
      </c>
      <c r="F72" s="3"/>
      <c r="G72" s="3"/>
      <c r="H72" s="3"/>
      <c r="I72" s="3"/>
      <c r="J72" s="3"/>
      <c r="K72" s="3"/>
      <c r="L72" s="3"/>
    </row>
    <row r="73" spans="1:14">
      <c r="A73" s="3"/>
      <c r="B73" s="94">
        <f t="shared" ref="B73:B78" si="11">B74-1</f>
        <v>2013</v>
      </c>
      <c r="C73" s="106">
        <f>G36-D58</f>
        <v>13348138.17311188</v>
      </c>
      <c r="D73" s="106">
        <f>D18-C73</f>
        <v>-374138.1731118802</v>
      </c>
      <c r="E73" s="296">
        <f>D73/C73</f>
        <v>-2.8029240352451083E-2</v>
      </c>
      <c r="F73" s="3"/>
      <c r="G73" s="3"/>
      <c r="H73" s="3"/>
      <c r="I73" s="3"/>
      <c r="J73" s="3"/>
      <c r="K73" s="3"/>
      <c r="L73" s="3"/>
    </row>
    <row r="74" spans="1:14">
      <c r="B74" s="94">
        <f t="shared" si="11"/>
        <v>2014</v>
      </c>
      <c r="C74" s="106">
        <f t="shared" ref="C74:C80" si="12">G37-D59</f>
        <v>13793260.947357038</v>
      </c>
      <c r="D74" s="106">
        <f t="shared" ref="D74:D80" si="13">D19-C74</f>
        <v>52989.052642961964</v>
      </c>
      <c r="E74" s="296">
        <f t="shared" ref="E74:E81" si="14">D74/C74</f>
        <v>3.8416624498875539E-3</v>
      </c>
    </row>
    <row r="75" spans="1:14">
      <c r="B75" s="94">
        <f t="shared" si="11"/>
        <v>2015</v>
      </c>
      <c r="C75" s="106">
        <f t="shared" si="12"/>
        <v>13889819.908246353</v>
      </c>
      <c r="D75" s="106">
        <f t="shared" si="13"/>
        <v>184430.09175364673</v>
      </c>
      <c r="E75" s="296">
        <f t="shared" si="14"/>
        <v>1.3278076531730337E-2</v>
      </c>
    </row>
    <row r="76" spans="1:14">
      <c r="B76" s="94">
        <f t="shared" si="11"/>
        <v>2016</v>
      </c>
      <c r="C76" s="106">
        <f t="shared" si="12"/>
        <v>13658871.411133325</v>
      </c>
      <c r="D76" s="106">
        <f t="shared" si="13"/>
        <v>-326571.41113332473</v>
      </c>
      <c r="E76" s="296">
        <f t="shared" si="14"/>
        <v>-2.3909106492293126E-2</v>
      </c>
      <c r="M76" s="3"/>
      <c r="N76" s="3"/>
    </row>
    <row r="77" spans="1:14">
      <c r="B77" s="94">
        <f t="shared" si="11"/>
        <v>2017</v>
      </c>
      <c r="C77" s="106">
        <f t="shared" si="12"/>
        <v>14125776.307987366</v>
      </c>
      <c r="D77" s="106">
        <f t="shared" si="13"/>
        <v>-68676.307987365872</v>
      </c>
      <c r="E77" s="296">
        <f t="shared" si="14"/>
        <v>-4.8617723012173934E-3</v>
      </c>
      <c r="M77" s="3"/>
      <c r="N77" s="3"/>
    </row>
    <row r="78" spans="1:14">
      <c r="B78" s="94">
        <f t="shared" si="11"/>
        <v>2018</v>
      </c>
      <c r="C78" s="106">
        <f t="shared" si="12"/>
        <v>13468568.054457592</v>
      </c>
      <c r="D78" s="106">
        <f t="shared" si="13"/>
        <v>117831.94554240815</v>
      </c>
      <c r="E78" s="296">
        <f t="shared" si="14"/>
        <v>8.7486617037518099E-3</v>
      </c>
      <c r="M78" s="3"/>
      <c r="N78" s="3"/>
    </row>
    <row r="79" spans="1:14">
      <c r="B79" s="94">
        <f>B80-1</f>
        <v>2019</v>
      </c>
      <c r="C79" s="106">
        <f t="shared" si="12"/>
        <v>12223505.955192614</v>
      </c>
      <c r="D79" s="106">
        <f t="shared" si="13"/>
        <v>378094.04480738565</v>
      </c>
      <c r="E79" s="296">
        <f t="shared" si="14"/>
        <v>3.0931718460591839E-2</v>
      </c>
    </row>
    <row r="80" spans="1:14">
      <c r="B80" s="107">
        <v>2020</v>
      </c>
      <c r="C80" s="110">
        <f t="shared" si="12"/>
        <v>10503747.760251861</v>
      </c>
      <c r="D80" s="110">
        <f t="shared" si="13"/>
        <v>-384847.76025186107</v>
      </c>
      <c r="E80" s="298">
        <f t="shared" si="14"/>
        <v>-3.6639090069184324E-2</v>
      </c>
    </row>
    <row r="81" spans="2:5">
      <c r="B81" s="94" t="s">
        <v>132</v>
      </c>
      <c r="C81" s="106">
        <f>SUM(C73:C80)</f>
        <v>105011688.51773803</v>
      </c>
      <c r="D81" s="106">
        <f t="shared" ref="D81" si="15">SUM(D73:D80)</f>
        <v>-420888.51773802936</v>
      </c>
      <c r="E81" s="296">
        <f t="shared" si="14"/>
        <v>-4.0080159045050977E-3</v>
      </c>
    </row>
    <row r="83" spans="2:5">
      <c r="B83" s="2" t="s">
        <v>806</v>
      </c>
    </row>
  </sheetData>
  <mergeCells count="3">
    <mergeCell ref="D16:D17"/>
    <mergeCell ref="E16:E17"/>
    <mergeCell ref="B52:L53"/>
  </mergeCells>
  <hyperlinks>
    <hyperlink ref="O1" location="TOC!A1" display="Table of Contents" xr:uid="{10B910B0-DF1D-49F6-9447-90644DD2E8AA}"/>
  </hyperlinks>
  <pageMargins left="0.7" right="0.7" top="0.75" bottom="0.75" header="0.3" footer="0.3"/>
  <pageSetup scale="67"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520C-8EDF-42D2-8D8E-3EA94CC92432}">
  <dimension ref="A1:S78"/>
  <sheetViews>
    <sheetView zoomScaleNormal="100" workbookViewId="0"/>
  </sheetViews>
  <sheetFormatPr defaultColWidth="8.88671875" defaultRowHeight="15.6"/>
  <cols>
    <col min="1" max="2" width="12.6640625" style="2" customWidth="1"/>
    <col min="3" max="3" width="19.109375" style="2" customWidth="1"/>
    <col min="4" max="4" width="18.6640625" style="2" customWidth="1"/>
    <col min="5" max="5" width="12.77734375" style="2" customWidth="1"/>
    <col min="6" max="6" width="15.88671875" style="2" customWidth="1"/>
    <col min="7" max="7" width="16.21875" style="2" customWidth="1"/>
    <col min="8" max="8" width="11.5546875" style="2" customWidth="1"/>
    <col min="9" max="16384" width="8.88671875" style="2"/>
  </cols>
  <sheetData>
    <row r="1" spans="1:18" ht="17.399999999999999">
      <c r="A1" s="13" t="s">
        <v>1065</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807</v>
      </c>
      <c r="B3" s="1"/>
      <c r="C3" s="1"/>
      <c r="D3" s="1"/>
      <c r="E3" s="1"/>
      <c r="F3" s="1"/>
      <c r="G3" s="1"/>
      <c r="H3" s="1"/>
      <c r="I3" s="1"/>
      <c r="J3" s="1"/>
      <c r="K3" s="1"/>
      <c r="L3" s="14"/>
    </row>
    <row r="4" spans="1:18">
      <c r="A4" s="43"/>
      <c r="B4" s="1"/>
      <c r="C4" s="1"/>
      <c r="D4" s="1"/>
      <c r="E4" s="1"/>
      <c r="F4" s="1"/>
      <c r="G4" s="1"/>
      <c r="H4" s="1"/>
      <c r="I4" s="1"/>
      <c r="J4" s="1"/>
      <c r="K4" s="1"/>
      <c r="L4" s="1"/>
    </row>
    <row r="5" spans="1:18">
      <c r="A5" s="1" t="s">
        <v>808</v>
      </c>
      <c r="B5" s="1"/>
      <c r="C5" s="1"/>
      <c r="D5" s="1"/>
      <c r="E5" s="1"/>
      <c r="F5" s="1"/>
      <c r="G5" s="1"/>
      <c r="H5" s="231">
        <v>225000</v>
      </c>
      <c r="I5" s="1" t="s">
        <v>809</v>
      </c>
      <c r="J5" s="1"/>
      <c r="K5" s="1"/>
      <c r="L5" s="1"/>
    </row>
    <row r="6" spans="1:18">
      <c r="A6" s="1" t="s">
        <v>810</v>
      </c>
      <c r="B6" s="1"/>
      <c r="C6" s="1"/>
      <c r="D6" s="231">
        <v>15000</v>
      </c>
      <c r="E6" s="1"/>
      <c r="F6" s="1"/>
      <c r="G6" s="1"/>
      <c r="H6" s="1"/>
      <c r="I6" s="1"/>
      <c r="J6" s="1"/>
      <c r="K6" s="1"/>
      <c r="L6" s="1"/>
    </row>
    <row r="7" spans="1:18">
      <c r="A7" s="1" t="s">
        <v>811</v>
      </c>
      <c r="B7" s="1"/>
      <c r="C7" s="1"/>
      <c r="D7" s="398">
        <v>3.5000000000000003E-2</v>
      </c>
      <c r="E7" s="1"/>
      <c r="F7" s="1"/>
      <c r="G7" s="1"/>
      <c r="H7" s="1"/>
      <c r="I7" s="1"/>
      <c r="J7" s="1"/>
      <c r="K7" s="1"/>
      <c r="L7" s="1"/>
    </row>
    <row r="8" spans="1:18">
      <c r="A8" s="1" t="s">
        <v>812</v>
      </c>
      <c r="B8" s="1"/>
      <c r="C8" s="1"/>
      <c r="D8" s="377">
        <v>7.0000000000000007E-2</v>
      </c>
      <c r="E8" s="1"/>
      <c r="F8" s="1"/>
      <c r="G8" s="1"/>
      <c r="H8" s="1"/>
      <c r="I8" s="1"/>
      <c r="J8" s="1"/>
      <c r="K8" s="1"/>
      <c r="L8" s="1"/>
    </row>
    <row r="9" spans="1:18">
      <c r="A9" s="1" t="s">
        <v>813</v>
      </c>
      <c r="B9" s="1"/>
      <c r="C9" s="1"/>
      <c r="D9" s="1"/>
      <c r="E9" s="1"/>
      <c r="F9" s="1"/>
      <c r="G9" s="1"/>
      <c r="H9" s="1"/>
      <c r="I9" s="1"/>
      <c r="J9" s="1"/>
      <c r="K9" s="1"/>
      <c r="L9" s="1"/>
    </row>
    <row r="10" spans="1:18">
      <c r="A10" s="1"/>
      <c r="B10" s="1"/>
      <c r="C10" s="1"/>
      <c r="D10" s="1"/>
      <c r="E10" s="1"/>
      <c r="F10" s="1"/>
      <c r="G10" s="1"/>
      <c r="H10" s="1"/>
      <c r="I10" s="1"/>
      <c r="J10" s="1"/>
      <c r="K10" s="1"/>
      <c r="L10" s="1"/>
    </row>
    <row r="12" spans="1:18">
      <c r="A12" s="17" t="s">
        <v>91</v>
      </c>
      <c r="B12" s="1" t="s">
        <v>814</v>
      </c>
      <c r="C12" s="1"/>
      <c r="D12" s="1"/>
      <c r="E12" s="1"/>
      <c r="F12" s="1"/>
      <c r="G12" s="1"/>
      <c r="H12" s="1"/>
      <c r="I12" s="1"/>
      <c r="J12" s="1"/>
      <c r="K12" s="1"/>
      <c r="L12" s="1"/>
      <c r="M12" s="9"/>
      <c r="N12" s="9"/>
      <c r="O12" s="9"/>
      <c r="P12" s="9"/>
      <c r="Q12" s="9"/>
      <c r="R12" s="9"/>
    </row>
    <row r="13" spans="1:18">
      <c r="A13" s="14"/>
      <c r="B13" s="14"/>
      <c r="C13" s="14"/>
      <c r="D13" s="14"/>
      <c r="E13" s="14"/>
      <c r="F13" s="14"/>
      <c r="G13" s="1"/>
      <c r="H13" s="1"/>
      <c r="I13" s="1"/>
      <c r="J13" s="1"/>
      <c r="K13" s="1"/>
      <c r="L13" s="1"/>
    </row>
    <row r="14" spans="1:18">
      <c r="A14" s="3"/>
      <c r="B14" s="3"/>
      <c r="C14" s="3"/>
      <c r="D14" s="3"/>
      <c r="E14" s="3"/>
      <c r="F14" s="3"/>
      <c r="G14" s="3"/>
      <c r="H14" s="3"/>
      <c r="I14" s="3"/>
      <c r="J14" s="3"/>
      <c r="K14" s="3"/>
      <c r="L14" s="3"/>
      <c r="M14" s="3"/>
    </row>
    <row r="15" spans="1:18">
      <c r="A15" s="3" t="s">
        <v>20</v>
      </c>
      <c r="B15" s="3"/>
      <c r="C15" s="3"/>
      <c r="D15" s="3"/>
      <c r="E15" s="3"/>
      <c r="F15" s="3"/>
      <c r="G15" s="3"/>
      <c r="H15" s="3"/>
      <c r="I15" s="3"/>
      <c r="J15" s="3"/>
      <c r="K15" s="3"/>
      <c r="L15" s="3"/>
      <c r="M15" s="3"/>
      <c r="N15" s="9"/>
    </row>
    <row r="16" spans="1:18">
      <c r="A16" s="3"/>
      <c r="B16" s="2" t="s">
        <v>815</v>
      </c>
      <c r="C16" s="18"/>
      <c r="D16" s="18"/>
      <c r="E16" s="18"/>
      <c r="F16" s="386">
        <v>45108</v>
      </c>
      <c r="G16" s="18"/>
      <c r="I16" s="3"/>
      <c r="J16" s="3"/>
      <c r="K16" s="3"/>
      <c r="L16" s="3"/>
      <c r="M16" s="3"/>
      <c r="N16" s="9"/>
    </row>
    <row r="17" spans="1:19">
      <c r="A17" s="3"/>
      <c r="B17" s="2" t="s">
        <v>816</v>
      </c>
      <c r="C17" s="18"/>
      <c r="D17" s="18"/>
      <c r="E17" s="18"/>
      <c r="F17" s="98">
        <v>3</v>
      </c>
      <c r="G17" s="18"/>
      <c r="I17" s="3"/>
      <c r="J17" s="3"/>
      <c r="K17" s="3"/>
      <c r="L17" s="3"/>
      <c r="M17" s="3"/>
      <c r="N17" s="9"/>
    </row>
    <row r="18" spans="1:19">
      <c r="B18" s="2" t="s">
        <v>817</v>
      </c>
      <c r="C18" s="18"/>
      <c r="D18" s="18"/>
      <c r="E18" s="18"/>
      <c r="F18" s="387">
        <f>(1+$D$7)^(F17/12)</f>
        <v>1.0086374459977134</v>
      </c>
      <c r="G18" s="18"/>
      <c r="M18" s="9"/>
      <c r="N18" s="9"/>
    </row>
    <row r="19" spans="1:19">
      <c r="B19" s="2" t="s">
        <v>818</v>
      </c>
      <c r="C19" s="18"/>
      <c r="D19" s="18"/>
      <c r="E19" s="18"/>
      <c r="F19" s="98">
        <v>33</v>
      </c>
      <c r="G19" s="18"/>
      <c r="M19" s="9"/>
      <c r="N19" s="9"/>
    </row>
    <row r="20" spans="1:19">
      <c r="B20" s="2" t="s">
        <v>819</v>
      </c>
      <c r="C20" s="18"/>
      <c r="D20" s="18"/>
      <c r="E20" s="18"/>
      <c r="F20" s="387">
        <f>(1+$D$8)^(F19/12)</f>
        <v>1.2044960736136776</v>
      </c>
      <c r="G20" s="18"/>
      <c r="M20" s="9"/>
      <c r="N20" s="9"/>
    </row>
    <row r="21" spans="1:19">
      <c r="B21" s="2" t="s">
        <v>820</v>
      </c>
      <c r="C21" s="18"/>
      <c r="D21" s="18"/>
      <c r="E21" s="18"/>
      <c r="F21" s="388">
        <f>ROUND(H5*F18*F20,2)</f>
        <v>273352.46000000002</v>
      </c>
      <c r="G21" s="18"/>
      <c r="M21" s="9"/>
      <c r="N21" s="9"/>
    </row>
    <row r="22" spans="1:19">
      <c r="B22" s="2" t="s">
        <v>821</v>
      </c>
      <c r="C22" s="18"/>
      <c r="D22" s="18"/>
      <c r="E22" s="18"/>
      <c r="F22" s="388">
        <f>D6*(1+D7)^((F17+F19)/12)</f>
        <v>16630.768124999995</v>
      </c>
      <c r="G22" s="18"/>
      <c r="M22" s="9"/>
      <c r="N22" s="9"/>
    </row>
    <row r="23" spans="1:19">
      <c r="B23" s="2" t="s">
        <v>822</v>
      </c>
      <c r="C23" s="18"/>
      <c r="D23" s="18"/>
      <c r="E23" s="18"/>
      <c r="F23" s="389">
        <f>F21/F22</f>
        <v>16.436550491560659</v>
      </c>
      <c r="G23" s="18"/>
      <c r="M23" s="9"/>
      <c r="N23" s="9"/>
    </row>
    <row r="24" spans="1:19">
      <c r="M24" s="9"/>
      <c r="N24" s="9"/>
    </row>
    <row r="25" spans="1:19">
      <c r="A25" s="1" t="s">
        <v>823</v>
      </c>
      <c r="B25" s="1"/>
      <c r="C25" s="1"/>
      <c r="D25" s="1"/>
      <c r="E25" s="1"/>
      <c r="F25" s="1"/>
      <c r="G25" s="1"/>
      <c r="H25" s="1"/>
      <c r="I25" s="1"/>
      <c r="J25" s="1"/>
      <c r="K25" s="1"/>
      <c r="L25" s="14"/>
      <c r="M25" s="9"/>
      <c r="N25" s="9"/>
    </row>
    <row r="26" spans="1:19">
      <c r="A26" s="1"/>
      <c r="B26" s="1"/>
      <c r="C26" s="1"/>
      <c r="D26" s="1"/>
      <c r="E26" s="1"/>
      <c r="F26" s="1"/>
      <c r="G26" s="1"/>
      <c r="H26" s="1"/>
      <c r="I26" s="1"/>
      <c r="J26" s="1"/>
      <c r="K26" s="1"/>
      <c r="L26" s="14"/>
      <c r="M26" s="9"/>
      <c r="N26" s="9"/>
      <c r="O26" s="18"/>
      <c r="P26" s="18"/>
      <c r="Q26" s="18"/>
      <c r="R26" s="18"/>
      <c r="S26" s="18"/>
    </row>
    <row r="27" spans="1:19">
      <c r="A27" s="1"/>
      <c r="B27" s="439" t="s">
        <v>824</v>
      </c>
      <c r="C27" s="439"/>
      <c r="D27" s="228">
        <v>5</v>
      </c>
      <c r="E27" s="1"/>
      <c r="F27" s="1"/>
      <c r="G27" s="1"/>
      <c r="H27" s="1"/>
      <c r="I27" s="1"/>
      <c r="J27" s="1"/>
      <c r="K27" s="1"/>
      <c r="L27" s="14"/>
      <c r="M27" s="9"/>
      <c r="N27" s="9"/>
      <c r="O27" s="18"/>
      <c r="P27" s="18"/>
      <c r="Q27" s="18"/>
      <c r="R27" s="18"/>
      <c r="S27" s="18"/>
    </row>
    <row r="28" spans="1:19">
      <c r="A28" s="1"/>
      <c r="B28" s="439" t="s">
        <v>825</v>
      </c>
      <c r="C28" s="439"/>
      <c r="D28" s="377">
        <v>0.1</v>
      </c>
      <c r="E28" s="1"/>
      <c r="F28" s="1"/>
      <c r="G28" s="1"/>
      <c r="H28" s="1"/>
      <c r="I28" s="1"/>
      <c r="J28" s="1"/>
      <c r="K28" s="1"/>
      <c r="L28" s="14"/>
      <c r="M28" s="9"/>
      <c r="N28" s="9"/>
      <c r="O28" s="18"/>
      <c r="P28" s="18"/>
      <c r="Q28" s="18"/>
      <c r="R28" s="18"/>
      <c r="S28" s="18"/>
    </row>
    <row r="29" spans="1:19">
      <c r="A29" s="43"/>
      <c r="B29" s="439" t="s">
        <v>826</v>
      </c>
      <c r="C29" s="439"/>
      <c r="D29" s="377">
        <v>0.25</v>
      </c>
      <c r="E29" s="1"/>
      <c r="F29" s="1"/>
      <c r="G29" s="1"/>
      <c r="H29" s="1"/>
      <c r="I29" s="1"/>
      <c r="J29" s="1"/>
      <c r="K29" s="1"/>
      <c r="L29" s="1"/>
      <c r="M29" s="9"/>
      <c r="N29" s="9"/>
      <c r="O29" s="18"/>
      <c r="P29" s="18"/>
      <c r="Q29" s="18"/>
      <c r="R29" s="18"/>
      <c r="S29" s="18"/>
    </row>
    <row r="30" spans="1:19">
      <c r="O30" s="18"/>
      <c r="P30" s="18"/>
      <c r="Q30" s="18"/>
      <c r="R30" s="18"/>
      <c r="S30" s="18"/>
    </row>
    <row r="31" spans="1:19">
      <c r="A31" s="17" t="s">
        <v>133</v>
      </c>
      <c r="B31" s="1" t="s">
        <v>827</v>
      </c>
      <c r="C31" s="1"/>
      <c r="D31" s="1"/>
      <c r="E31" s="1"/>
      <c r="F31" s="1"/>
      <c r="G31" s="1"/>
      <c r="H31" s="1"/>
      <c r="I31" s="1"/>
      <c r="J31" s="1"/>
      <c r="K31" s="1"/>
      <c r="L31" s="1"/>
    </row>
    <row r="32" spans="1:19">
      <c r="A32" s="14"/>
      <c r="B32" s="14"/>
      <c r="C32" s="14"/>
      <c r="D32" s="14"/>
      <c r="E32" s="14"/>
      <c r="F32" s="14"/>
      <c r="G32" s="1"/>
      <c r="H32" s="1"/>
      <c r="I32" s="1"/>
      <c r="J32" s="1"/>
      <c r="K32" s="1"/>
      <c r="L32" s="1"/>
    </row>
    <row r="33" spans="1:12">
      <c r="A33" s="3"/>
      <c r="B33" s="3"/>
      <c r="C33" s="3"/>
      <c r="D33" s="3"/>
      <c r="E33" s="3"/>
      <c r="F33" s="3"/>
      <c r="G33" s="3"/>
      <c r="H33" s="3"/>
      <c r="I33" s="3"/>
      <c r="J33" s="3"/>
      <c r="K33" s="3"/>
      <c r="L33" s="3"/>
    </row>
    <row r="34" spans="1:12">
      <c r="A34" s="3" t="s">
        <v>20</v>
      </c>
      <c r="B34" s="3"/>
      <c r="C34" s="3"/>
      <c r="E34" s="3"/>
      <c r="F34" s="3"/>
      <c r="G34" s="3"/>
      <c r="H34" s="3"/>
      <c r="I34" s="3"/>
      <c r="J34" s="3"/>
      <c r="K34" s="3"/>
      <c r="L34" s="3"/>
    </row>
    <row r="35" spans="1:12">
      <c r="A35" s="3"/>
      <c r="B35" s="3" t="s">
        <v>828</v>
      </c>
      <c r="C35" s="3"/>
      <c r="D35" s="390">
        <f>(F23+D27)/(1-D28-D29)</f>
        <v>32.97930844855486</v>
      </c>
      <c r="E35" s="3"/>
      <c r="F35" s="3"/>
      <c r="G35" s="3"/>
      <c r="H35" s="3"/>
      <c r="I35" s="3"/>
      <c r="J35" s="3"/>
      <c r="K35" s="3"/>
      <c r="L35" s="3"/>
    </row>
    <row r="37" spans="1:12">
      <c r="A37" s="1" t="s">
        <v>829</v>
      </c>
      <c r="B37" s="1"/>
      <c r="C37" s="1"/>
      <c r="D37" s="1"/>
      <c r="E37" s="1"/>
      <c r="F37" s="1"/>
      <c r="G37" s="1"/>
      <c r="H37" s="1"/>
      <c r="I37" s="1"/>
      <c r="J37" s="1"/>
      <c r="K37" s="1"/>
      <c r="L37" s="14"/>
    </row>
    <row r="38" spans="1:12">
      <c r="A38" s="1"/>
      <c r="B38" s="1"/>
      <c r="C38" s="1"/>
      <c r="D38" s="1"/>
      <c r="E38" s="1"/>
      <c r="F38" s="1"/>
      <c r="G38" s="1"/>
      <c r="H38" s="1"/>
      <c r="I38" s="1"/>
      <c r="J38" s="1"/>
      <c r="K38" s="1"/>
      <c r="L38" s="14"/>
    </row>
    <row r="39" spans="1:12">
      <c r="A39" s="1"/>
      <c r="B39" s="889" t="s">
        <v>49</v>
      </c>
      <c r="C39" s="863" t="s">
        <v>830</v>
      </c>
      <c r="D39" s="890"/>
      <c r="E39" s="1"/>
      <c r="F39" s="1"/>
      <c r="G39" s="1"/>
      <c r="H39" s="1"/>
      <c r="I39" s="1"/>
      <c r="J39" s="1"/>
      <c r="K39" s="1"/>
      <c r="L39" s="14"/>
    </row>
    <row r="40" spans="1:12" ht="31.5" customHeight="1">
      <c r="A40" s="1"/>
      <c r="B40" s="889"/>
      <c r="C40" s="891" t="s">
        <v>831</v>
      </c>
      <c r="D40" s="892"/>
      <c r="E40" s="1"/>
      <c r="F40" s="1"/>
      <c r="G40" s="1"/>
      <c r="H40" s="1"/>
      <c r="I40" s="1"/>
      <c r="J40" s="1"/>
      <c r="K40" s="1"/>
      <c r="L40" s="14"/>
    </row>
    <row r="41" spans="1:12" ht="31.2">
      <c r="A41" s="1"/>
      <c r="B41" s="828"/>
      <c r="C41" s="187" t="s">
        <v>832</v>
      </c>
      <c r="D41" s="187" t="s">
        <v>131</v>
      </c>
      <c r="E41" s="1"/>
      <c r="F41" s="1"/>
      <c r="G41" s="1"/>
      <c r="H41" s="1"/>
      <c r="I41" s="1"/>
      <c r="J41" s="1"/>
      <c r="K41" s="1"/>
      <c r="L41" s="14"/>
    </row>
    <row r="42" spans="1:12">
      <c r="A42" s="1"/>
      <c r="B42" s="6">
        <v>2018</v>
      </c>
      <c r="C42" s="7">
        <v>15500000</v>
      </c>
      <c r="D42" s="7">
        <v>9000000</v>
      </c>
      <c r="E42" s="1"/>
      <c r="F42" s="1"/>
      <c r="G42" s="1"/>
      <c r="H42" s="1"/>
      <c r="I42" s="1"/>
      <c r="J42" s="1"/>
      <c r="K42" s="1"/>
      <c r="L42" s="14"/>
    </row>
    <row r="43" spans="1:12">
      <c r="A43" s="1"/>
      <c r="B43" s="6">
        <v>2019</v>
      </c>
      <c r="C43" s="7">
        <v>16250000</v>
      </c>
      <c r="D43" s="7">
        <v>8000000</v>
      </c>
      <c r="E43" s="1"/>
      <c r="F43" s="1"/>
      <c r="G43" s="1"/>
      <c r="H43" s="1"/>
      <c r="I43" s="1"/>
      <c r="J43" s="1"/>
      <c r="K43" s="1"/>
      <c r="L43" s="14"/>
    </row>
    <row r="44" spans="1:12">
      <c r="A44" s="1"/>
      <c r="B44" s="6">
        <v>2020</v>
      </c>
      <c r="C44" s="7">
        <v>17000000</v>
      </c>
      <c r="D44" s="7">
        <v>8200000</v>
      </c>
      <c r="E44" s="1"/>
      <c r="F44" s="1"/>
      <c r="G44" s="1"/>
      <c r="H44" s="1"/>
      <c r="I44" s="1"/>
      <c r="J44" s="1"/>
      <c r="K44" s="1"/>
      <c r="L44" s="14"/>
    </row>
    <row r="45" spans="1:12">
      <c r="A45" s="1"/>
      <c r="B45" s="1"/>
      <c r="C45" s="1"/>
      <c r="D45" s="1"/>
      <c r="E45" s="1"/>
      <c r="F45" s="1"/>
      <c r="G45" s="1"/>
      <c r="H45" s="1"/>
      <c r="I45" s="1"/>
      <c r="J45" s="1"/>
      <c r="K45" s="1"/>
      <c r="L45" s="14"/>
    </row>
    <row r="46" spans="1:12">
      <c r="A46" s="1"/>
      <c r="B46" s="242" t="s">
        <v>833</v>
      </c>
      <c r="C46" s="376"/>
      <c r="D46" s="231">
        <v>1050</v>
      </c>
      <c r="E46" s="1"/>
      <c r="F46" s="1"/>
      <c r="G46" s="1"/>
      <c r="H46" s="1"/>
      <c r="I46" s="1"/>
      <c r="J46" s="1"/>
      <c r="K46" s="1"/>
      <c r="L46" s="14"/>
    </row>
    <row r="47" spans="1:12">
      <c r="A47" s="1"/>
      <c r="B47" s="242" t="s">
        <v>834</v>
      </c>
      <c r="C47" s="376"/>
      <c r="D47" s="377">
        <v>0.02</v>
      </c>
      <c r="E47" s="1"/>
      <c r="F47" s="1"/>
      <c r="G47" s="1"/>
      <c r="H47" s="1"/>
      <c r="I47" s="1"/>
      <c r="J47" s="1"/>
      <c r="K47" s="1"/>
      <c r="L47" s="14"/>
    </row>
    <row r="48" spans="1:12">
      <c r="A48" s="1"/>
      <c r="B48" s="242" t="s">
        <v>835</v>
      </c>
      <c r="C48" s="376"/>
      <c r="D48" s="377">
        <v>0.56999999999999995</v>
      </c>
      <c r="E48" s="1"/>
      <c r="F48" s="1"/>
      <c r="G48" s="1"/>
      <c r="H48" s="1"/>
      <c r="I48" s="1"/>
      <c r="J48" s="1"/>
      <c r="K48" s="1"/>
      <c r="L48" s="14"/>
    </row>
    <row r="49" spans="1:14">
      <c r="A49" s="43"/>
      <c r="B49" s="1"/>
      <c r="C49" s="1"/>
      <c r="D49" s="1"/>
      <c r="E49" s="1"/>
      <c r="F49" s="1"/>
      <c r="G49" s="1"/>
      <c r="H49" s="1"/>
      <c r="I49" s="1"/>
      <c r="J49" s="1"/>
      <c r="K49" s="1"/>
      <c r="L49" s="1"/>
    </row>
    <row r="51" spans="1:14">
      <c r="A51" s="17" t="s">
        <v>18</v>
      </c>
      <c r="B51" s="1" t="s">
        <v>836</v>
      </c>
      <c r="C51" s="1"/>
      <c r="D51" s="1"/>
      <c r="E51" s="1"/>
      <c r="F51" s="1"/>
      <c r="G51" s="1"/>
      <c r="H51" s="1"/>
      <c r="I51" s="1"/>
      <c r="J51" s="1"/>
      <c r="K51" s="1"/>
      <c r="L51" s="1"/>
    </row>
    <row r="52" spans="1:14">
      <c r="A52" s="14"/>
      <c r="B52" s="14"/>
      <c r="C52" s="14"/>
      <c r="D52" s="14"/>
      <c r="E52" s="14"/>
      <c r="F52" s="14"/>
      <c r="G52" s="1"/>
      <c r="H52" s="1"/>
      <c r="I52" s="1"/>
      <c r="J52" s="1"/>
      <c r="K52" s="1"/>
      <c r="L52" s="1"/>
    </row>
    <row r="53" spans="1:14">
      <c r="A53" s="3"/>
      <c r="B53" s="3"/>
      <c r="C53" s="3"/>
      <c r="D53" s="3"/>
      <c r="E53" s="3"/>
      <c r="F53" s="3"/>
      <c r="G53" s="3"/>
      <c r="H53" s="3"/>
      <c r="I53" s="3"/>
      <c r="J53" s="3"/>
      <c r="K53" s="3"/>
      <c r="L53" s="3"/>
    </row>
    <row r="54" spans="1:14">
      <c r="A54" s="3" t="s">
        <v>20</v>
      </c>
      <c r="B54" s="3"/>
      <c r="C54" s="3"/>
      <c r="D54" s="3"/>
      <c r="E54" s="3"/>
      <c r="F54" s="3"/>
      <c r="G54" s="3"/>
      <c r="H54" s="3"/>
      <c r="I54" s="3"/>
      <c r="J54" s="3"/>
      <c r="K54" s="3"/>
      <c r="L54" s="3"/>
    </row>
    <row r="55" spans="1:14" ht="31.2">
      <c r="A55" s="3"/>
      <c r="B55" s="36" t="s">
        <v>49</v>
      </c>
      <c r="C55" s="93" t="s">
        <v>837</v>
      </c>
      <c r="D55" s="93" t="s">
        <v>131</v>
      </c>
      <c r="E55" s="36" t="s">
        <v>670</v>
      </c>
      <c r="F55" s="36" t="s">
        <v>838</v>
      </c>
      <c r="G55" s="36" t="s">
        <v>587</v>
      </c>
      <c r="H55" s="36" t="s">
        <v>839</v>
      </c>
      <c r="I55" s="3"/>
      <c r="J55" s="3"/>
      <c r="K55" s="3"/>
      <c r="L55" s="3"/>
    </row>
    <row r="56" spans="1:14">
      <c r="A56" s="3"/>
      <c r="B56" s="34">
        <v>2018</v>
      </c>
      <c r="C56" s="83">
        <v>15500000</v>
      </c>
      <c r="D56" s="83">
        <v>9000000</v>
      </c>
      <c r="E56" s="34">
        <f>E57+1</f>
        <v>5</v>
      </c>
      <c r="F56" s="83">
        <f>C56*(1+$D$47)^E56</f>
        <v>17113252.4496</v>
      </c>
      <c r="G56" s="83">
        <f>D56*(1+$D$8)^E56</f>
        <v>12622965.576300001</v>
      </c>
      <c r="H56" s="82">
        <f>G56/F56</f>
        <v>0.73761347315337744</v>
      </c>
      <c r="I56" s="3"/>
      <c r="J56" s="3"/>
      <c r="K56" s="3"/>
      <c r="L56" s="3"/>
    </row>
    <row r="57" spans="1:14">
      <c r="B57" s="34">
        <v>2019</v>
      </c>
      <c r="C57" s="83">
        <v>16250000</v>
      </c>
      <c r="D57" s="83">
        <v>8000000</v>
      </c>
      <c r="E57" s="34">
        <f>E58+1</f>
        <v>4</v>
      </c>
      <c r="F57" s="83">
        <f t="shared" ref="F57:F58" si="0">C57*(1+$D$47)^E57</f>
        <v>17589522.599999998</v>
      </c>
      <c r="G57" s="83">
        <f t="shared" ref="G57:G58" si="1">D57*(1+$D$8)^E57</f>
        <v>10486368.08</v>
      </c>
      <c r="H57" s="82">
        <f t="shared" ref="H57:H58" si="2">G57/F57</f>
        <v>0.59617127300544248</v>
      </c>
    </row>
    <row r="58" spans="1:14">
      <c r="B58" s="34">
        <v>2020</v>
      </c>
      <c r="C58" s="83">
        <v>17000000</v>
      </c>
      <c r="D58" s="83">
        <v>8200000</v>
      </c>
      <c r="E58" s="34">
        <f>(F17+F19)/12</f>
        <v>3</v>
      </c>
      <c r="F58" s="83">
        <f t="shared" si="0"/>
        <v>18040536</v>
      </c>
      <c r="G58" s="83">
        <f t="shared" si="1"/>
        <v>10045352.600000001</v>
      </c>
      <c r="H58" s="82">
        <f t="shared" si="2"/>
        <v>0.55682118314001317</v>
      </c>
    </row>
    <row r="59" spans="1:14">
      <c r="E59" s="893" t="s">
        <v>840</v>
      </c>
      <c r="F59" s="893"/>
      <c r="G59" s="893"/>
      <c r="H59" s="82">
        <f>AVERAGE(H57:H58)</f>
        <v>0.57649622807272782</v>
      </c>
    </row>
    <row r="60" spans="1:14">
      <c r="E60" s="2" t="s">
        <v>841</v>
      </c>
      <c r="H60" s="82">
        <f>H59/D48-1</f>
        <v>1.1396891355663019E-2</v>
      </c>
    </row>
    <row r="61" spans="1:14">
      <c r="E61" s="2" t="s">
        <v>842</v>
      </c>
      <c r="H61" s="237">
        <f>D46*(1+H60)</f>
        <v>1061.9667359234461</v>
      </c>
    </row>
    <row r="63" spans="1:14">
      <c r="B63" s="2" t="s">
        <v>843</v>
      </c>
      <c r="M63" s="3"/>
      <c r="N63" s="3"/>
    </row>
    <row r="65" spans="1:13">
      <c r="A65" s="831" t="s">
        <v>844</v>
      </c>
      <c r="B65" s="831"/>
      <c r="C65" s="831"/>
      <c r="D65" s="831"/>
      <c r="E65" s="831"/>
      <c r="F65" s="831"/>
      <c r="G65" s="831"/>
      <c r="H65" s="831"/>
      <c r="I65" s="831"/>
      <c r="J65" s="831"/>
      <c r="K65" s="831"/>
      <c r="L65" s="14"/>
    </row>
    <row r="66" spans="1:13">
      <c r="A66" s="831"/>
      <c r="B66" s="831"/>
      <c r="C66" s="831"/>
      <c r="D66" s="831"/>
      <c r="E66" s="831"/>
      <c r="F66" s="831"/>
      <c r="G66" s="831"/>
      <c r="H66" s="831"/>
      <c r="I66" s="831"/>
      <c r="J66" s="831"/>
      <c r="K66" s="831"/>
      <c r="L66" s="14"/>
    </row>
    <row r="67" spans="1:13">
      <c r="A67" s="1"/>
      <c r="B67" s="1"/>
      <c r="C67" s="1"/>
      <c r="D67" s="1"/>
      <c r="E67" s="1"/>
      <c r="F67" s="1"/>
      <c r="G67" s="1"/>
      <c r="H67" s="1"/>
      <c r="I67" s="1"/>
      <c r="J67" s="1"/>
      <c r="K67" s="1"/>
      <c r="L67" s="14"/>
    </row>
    <row r="69" spans="1:13">
      <c r="A69" s="17" t="s">
        <v>25</v>
      </c>
      <c r="B69" s="1" t="s">
        <v>845</v>
      </c>
      <c r="C69" s="1"/>
      <c r="D69" s="1"/>
      <c r="E69" s="1"/>
      <c r="F69" s="1"/>
      <c r="G69" s="1"/>
      <c r="H69" s="1"/>
      <c r="I69" s="1"/>
      <c r="J69" s="1"/>
      <c r="K69" s="1"/>
      <c r="L69" s="1"/>
    </row>
    <row r="70" spans="1:13">
      <c r="A70" s="14"/>
      <c r="B70" s="14"/>
      <c r="C70" s="14"/>
      <c r="D70" s="14"/>
      <c r="E70" s="14"/>
      <c r="F70" s="14"/>
      <c r="G70" s="1"/>
      <c r="H70" s="1"/>
      <c r="I70" s="1"/>
      <c r="J70" s="1"/>
      <c r="K70" s="1"/>
      <c r="L70" s="1"/>
    </row>
    <row r="71" spans="1:13">
      <c r="A71" s="3"/>
      <c r="B71" s="3"/>
      <c r="C71" s="3"/>
      <c r="D71" s="3"/>
      <c r="E71" s="3"/>
      <c r="F71" s="3"/>
      <c r="G71" s="3"/>
      <c r="H71" s="3"/>
      <c r="I71" s="3"/>
      <c r="J71" s="3"/>
      <c r="K71" s="3"/>
      <c r="L71" s="3"/>
    </row>
    <row r="72" spans="1:13">
      <c r="A72" s="3" t="s">
        <v>20</v>
      </c>
      <c r="B72" s="3"/>
      <c r="C72" s="3"/>
      <c r="D72" s="3"/>
      <c r="E72" s="3"/>
      <c r="F72" s="3"/>
      <c r="G72" s="3"/>
      <c r="H72" s="3"/>
      <c r="I72" s="3"/>
      <c r="J72" s="3"/>
      <c r="K72" s="3"/>
      <c r="L72" s="3"/>
    </row>
    <row r="73" spans="1:13">
      <c r="A73" s="3"/>
      <c r="B73" s="3" t="s">
        <v>846</v>
      </c>
      <c r="C73" s="3"/>
      <c r="D73" s="3"/>
      <c r="E73" s="3"/>
      <c r="F73" s="3"/>
      <c r="G73" s="3"/>
      <c r="H73" s="3"/>
      <c r="I73" s="3"/>
      <c r="J73" s="3"/>
      <c r="K73" s="3"/>
      <c r="L73" s="3"/>
    </row>
    <row r="74" spans="1:13">
      <c r="A74" s="3"/>
      <c r="B74" s="3" t="s">
        <v>847</v>
      </c>
      <c r="C74" s="3"/>
      <c r="D74" s="3"/>
      <c r="E74" s="3"/>
      <c r="F74" s="3"/>
      <c r="G74" s="3"/>
      <c r="H74" s="3"/>
      <c r="I74" s="3"/>
      <c r="J74" s="3"/>
      <c r="K74" s="3"/>
      <c r="L74" s="3"/>
    </row>
    <row r="77" spans="1:13">
      <c r="M77" s="3"/>
    </row>
    <row r="78" spans="1:13">
      <c r="M78" s="3"/>
    </row>
  </sheetData>
  <mergeCells count="5">
    <mergeCell ref="B39:B41"/>
    <mergeCell ref="C39:D39"/>
    <mergeCell ref="C40:D40"/>
    <mergeCell ref="E59:G59"/>
    <mergeCell ref="A65:K66"/>
  </mergeCells>
  <hyperlinks>
    <hyperlink ref="O1" location="TOC!A1" display="Table of Contents" xr:uid="{19B08251-A2C6-4D3C-A1C7-B7A6BE275DE4}"/>
  </hyperlinks>
  <pageMargins left="0.7" right="0.7" top="0.75" bottom="0.75" header="0.3" footer="0.3"/>
  <pageSetup scale="6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BC1B5-133B-4AAF-A5FC-FD35C343CFAF}">
  <dimension ref="A1:R61"/>
  <sheetViews>
    <sheetView zoomScaleNormal="100" workbookViewId="0"/>
  </sheetViews>
  <sheetFormatPr defaultColWidth="8.88671875" defaultRowHeight="15.6"/>
  <cols>
    <col min="1" max="1" width="8.88671875" style="2" customWidth="1"/>
    <col min="2" max="2" width="11.6640625" style="2" customWidth="1"/>
    <col min="3" max="4" width="16.6640625" style="2" customWidth="1"/>
    <col min="5" max="5" width="11.21875" style="2" customWidth="1"/>
    <col min="6" max="6" width="8.88671875" style="2" customWidth="1"/>
    <col min="7" max="7" width="11.88671875" style="2" customWidth="1"/>
    <col min="8" max="8" width="8.88671875" style="2" customWidth="1"/>
    <col min="9" max="16384" width="8.88671875" style="2"/>
  </cols>
  <sheetData>
    <row r="1" spans="1:15" ht="17.399999999999999">
      <c r="A1" s="13" t="s">
        <v>1066</v>
      </c>
      <c r="B1" s="1"/>
      <c r="C1" s="1"/>
      <c r="D1" s="1" t="s">
        <v>216</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831" t="s">
        <v>848</v>
      </c>
      <c r="B6" s="831"/>
      <c r="C6" s="831"/>
      <c r="D6" s="831"/>
      <c r="E6" s="831"/>
      <c r="F6" s="831"/>
      <c r="G6" s="831"/>
      <c r="H6" s="831"/>
      <c r="I6" s="831"/>
      <c r="J6" s="831"/>
      <c r="K6" s="831"/>
      <c r="L6" s="1"/>
    </row>
    <row r="7" spans="1:15">
      <c r="A7" s="831"/>
      <c r="B7" s="831"/>
      <c r="C7" s="831"/>
      <c r="D7" s="831"/>
      <c r="E7" s="831"/>
      <c r="F7" s="831"/>
      <c r="G7" s="831"/>
      <c r="H7" s="831"/>
      <c r="I7" s="831"/>
      <c r="J7" s="831"/>
      <c r="K7" s="831"/>
      <c r="L7" s="1"/>
    </row>
    <row r="8" spans="1:15">
      <c r="A8" s="1"/>
      <c r="B8" s="1"/>
      <c r="C8" s="1"/>
      <c r="D8" s="1"/>
      <c r="E8" s="1"/>
      <c r="F8" s="1"/>
      <c r="G8" s="1"/>
      <c r="H8" s="1"/>
      <c r="I8" s="1"/>
      <c r="J8" s="1"/>
      <c r="K8" s="1"/>
      <c r="L8" s="1"/>
    </row>
    <row r="9" spans="1:15" ht="31.2" customHeight="1">
      <c r="A9" s="1"/>
      <c r="B9" s="829" t="s">
        <v>3</v>
      </c>
      <c r="C9" s="829" t="s">
        <v>849</v>
      </c>
      <c r="D9" s="829"/>
      <c r="E9" s="1"/>
      <c r="F9" s="1"/>
      <c r="G9" s="1"/>
      <c r="H9" s="1"/>
      <c r="I9" s="1"/>
      <c r="J9" s="1"/>
      <c r="K9" s="1"/>
      <c r="L9" s="1"/>
    </row>
    <row r="10" spans="1:15">
      <c r="A10" s="1"/>
      <c r="B10" s="829"/>
      <c r="C10" s="5" t="s">
        <v>850</v>
      </c>
      <c r="D10" s="5" t="s">
        <v>851</v>
      </c>
      <c r="E10" s="1"/>
      <c r="F10" s="1"/>
      <c r="G10" s="1"/>
      <c r="H10" s="1"/>
      <c r="I10" s="1"/>
      <c r="J10" s="1"/>
      <c r="K10" s="1"/>
      <c r="L10" s="1"/>
    </row>
    <row r="11" spans="1:15">
      <c r="A11" s="1"/>
      <c r="B11" s="6">
        <v>2016</v>
      </c>
      <c r="C11" s="29">
        <v>5.1999999999999998E-2</v>
      </c>
      <c r="D11" s="29">
        <v>9.2999999999999999E-2</v>
      </c>
      <c r="E11" s="1"/>
      <c r="F11" s="1"/>
      <c r="G11" s="1"/>
      <c r="H11" s="1"/>
      <c r="I11" s="1"/>
      <c r="J11" s="1"/>
      <c r="K11" s="1"/>
      <c r="L11" s="1"/>
    </row>
    <row r="12" spans="1:15">
      <c r="A12" s="1"/>
      <c r="B12" s="6">
        <v>2017</v>
      </c>
      <c r="C12" s="29">
        <v>0.05</v>
      </c>
      <c r="D12" s="29">
        <v>0.1</v>
      </c>
      <c r="E12" s="1"/>
      <c r="F12" s="1"/>
      <c r="G12" s="1"/>
      <c r="H12" s="1"/>
      <c r="I12" s="1"/>
      <c r="J12" s="1"/>
      <c r="K12" s="1"/>
      <c r="L12" s="1"/>
    </row>
    <row r="13" spans="1:15">
      <c r="A13" s="1"/>
      <c r="B13" s="6">
        <v>2018</v>
      </c>
      <c r="C13" s="29">
        <v>4.4999999999999998E-2</v>
      </c>
      <c r="D13" s="29">
        <v>0.11</v>
      </c>
      <c r="E13" s="1"/>
      <c r="F13" s="1"/>
      <c r="G13" s="1"/>
      <c r="H13" s="1"/>
      <c r="I13" s="1"/>
      <c r="J13" s="1"/>
      <c r="K13" s="1"/>
      <c r="L13" s="1"/>
    </row>
    <row r="14" spans="1:15">
      <c r="A14" s="1"/>
      <c r="B14" s="6">
        <v>2019</v>
      </c>
      <c r="C14" s="29">
        <v>4.4999999999999998E-2</v>
      </c>
      <c r="D14" s="29">
        <v>0.12</v>
      </c>
      <c r="E14" s="1"/>
      <c r="F14" s="1"/>
      <c r="G14" s="1"/>
      <c r="H14" s="1"/>
      <c r="I14" s="1"/>
      <c r="J14" s="1"/>
      <c r="K14" s="1"/>
      <c r="L14" s="1"/>
    </row>
    <row r="15" spans="1:15">
      <c r="A15" s="1"/>
      <c r="B15" s="6">
        <v>2020</v>
      </c>
      <c r="C15" s="29">
        <v>6.5000000000000002E-2</v>
      </c>
      <c r="D15" s="29">
        <v>0.25</v>
      </c>
      <c r="E15" s="1"/>
      <c r="F15" s="1"/>
      <c r="G15" s="1"/>
      <c r="H15" s="1"/>
      <c r="I15" s="1"/>
      <c r="J15" s="1"/>
      <c r="K15" s="1"/>
      <c r="L15" s="1"/>
    </row>
    <row r="16" spans="1:15">
      <c r="A16" s="1"/>
      <c r="B16" s="1"/>
      <c r="C16" s="1"/>
      <c r="D16" s="1"/>
      <c r="E16" s="1"/>
      <c r="F16" s="1"/>
      <c r="G16" s="1"/>
      <c r="H16" s="1"/>
      <c r="I16" s="1"/>
      <c r="J16" s="1"/>
      <c r="K16" s="1"/>
      <c r="L16" s="1"/>
    </row>
    <row r="17" spans="1:18">
      <c r="A17" s="1" t="s">
        <v>852</v>
      </c>
      <c r="B17" s="1"/>
      <c r="C17" s="1"/>
      <c r="D17" s="1"/>
      <c r="E17" s="1"/>
      <c r="F17" s="1"/>
      <c r="G17" s="1"/>
      <c r="H17" s="1"/>
      <c r="I17" s="1"/>
      <c r="J17" s="1"/>
      <c r="K17" s="1"/>
      <c r="L17" s="1"/>
    </row>
    <row r="18" spans="1:18">
      <c r="A18" s="1" t="s">
        <v>853</v>
      </c>
      <c r="B18" s="1"/>
      <c r="C18" s="1"/>
      <c r="D18" s="1"/>
      <c r="E18" s="1"/>
      <c r="F18" s="1"/>
      <c r="G18" s="1"/>
      <c r="H18" s="1"/>
      <c r="I18" s="1"/>
      <c r="J18" s="1"/>
      <c r="K18" s="1"/>
      <c r="L18" s="1"/>
    </row>
    <row r="19" spans="1:18">
      <c r="A19" s="1" t="s">
        <v>854</v>
      </c>
      <c r="B19" s="1"/>
      <c r="C19" s="1"/>
      <c r="D19" s="1"/>
      <c r="E19" s="1"/>
      <c r="F19" s="1"/>
      <c r="G19" s="1"/>
      <c r="H19" s="1"/>
      <c r="I19" s="1"/>
      <c r="J19" s="1"/>
      <c r="K19" s="1"/>
      <c r="L19" s="1"/>
    </row>
    <row r="20" spans="1:18">
      <c r="A20" s="1" t="s">
        <v>855</v>
      </c>
      <c r="B20" s="1"/>
      <c r="C20" s="1"/>
      <c r="D20" s="1"/>
      <c r="E20" s="1"/>
      <c r="F20" s="1"/>
      <c r="G20" s="1"/>
      <c r="H20" s="1"/>
      <c r="I20" s="1"/>
      <c r="J20" s="1"/>
      <c r="K20" s="1"/>
      <c r="L20" s="1"/>
    </row>
    <row r="21" spans="1:18">
      <c r="A21" s="1"/>
      <c r="B21" s="1"/>
      <c r="C21" s="1"/>
      <c r="D21" s="1"/>
      <c r="E21" s="1"/>
      <c r="F21" s="1"/>
      <c r="G21" s="1"/>
      <c r="H21" s="1"/>
      <c r="I21" s="1"/>
      <c r="J21" s="1"/>
      <c r="K21" s="1"/>
      <c r="L21" s="1"/>
    </row>
    <row r="22" spans="1:18">
      <c r="A22" s="3"/>
      <c r="B22" s="3"/>
      <c r="C22" s="3"/>
      <c r="D22" s="3"/>
      <c r="E22" s="3"/>
      <c r="F22" s="3"/>
      <c r="G22" s="3"/>
      <c r="H22" s="3"/>
      <c r="I22" s="3"/>
      <c r="J22" s="3"/>
      <c r="K22" s="3"/>
      <c r="L22" s="3"/>
    </row>
    <row r="23" spans="1:18">
      <c r="A23" s="17" t="s">
        <v>133</v>
      </c>
      <c r="B23" s="1" t="s">
        <v>856</v>
      </c>
      <c r="C23" s="1"/>
      <c r="D23" s="1"/>
      <c r="E23" s="1"/>
      <c r="F23" s="1"/>
      <c r="G23" s="1"/>
      <c r="H23" s="1"/>
      <c r="I23" s="1"/>
      <c r="J23" s="1"/>
      <c r="K23" s="1"/>
      <c r="L23" s="1"/>
      <c r="M23" s="9"/>
      <c r="N23" s="9"/>
      <c r="O23" s="9"/>
      <c r="P23" s="9"/>
      <c r="Q23" s="9"/>
      <c r="R23" s="9"/>
    </row>
    <row r="24" spans="1:18">
      <c r="A24" s="14"/>
      <c r="B24" s="14"/>
      <c r="C24" s="14"/>
      <c r="D24" s="14"/>
      <c r="E24" s="14"/>
      <c r="F24" s="14"/>
      <c r="G24" s="1"/>
      <c r="H24" s="1"/>
      <c r="I24" s="1"/>
      <c r="J24" s="1"/>
      <c r="K24" s="1"/>
      <c r="L24" s="1"/>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ht="31.2">
      <c r="A27" s="3"/>
      <c r="B27" s="93" t="s">
        <v>3</v>
      </c>
      <c r="C27" s="93" t="s">
        <v>857</v>
      </c>
      <c r="D27" s="93" t="s">
        <v>858</v>
      </c>
      <c r="E27" s="93" t="s">
        <v>859</v>
      </c>
      <c r="F27" s="93" t="s">
        <v>860</v>
      </c>
      <c r="G27" s="3"/>
      <c r="H27" s="3"/>
      <c r="I27" s="3"/>
      <c r="J27" s="3"/>
      <c r="K27" s="3"/>
      <c r="L27" s="3"/>
      <c r="M27" s="3"/>
      <c r="N27" s="9"/>
    </row>
    <row r="28" spans="1:18">
      <c r="A28" s="3"/>
      <c r="B28" s="94">
        <v>2016</v>
      </c>
      <c r="C28" s="299">
        <v>5.1999999999999998E-2</v>
      </c>
      <c r="D28" s="299">
        <v>9.2999999999999999E-2</v>
      </c>
      <c r="E28" s="177">
        <f>1-0.05*C28-0.1*D28</f>
        <v>0.98809999999999998</v>
      </c>
      <c r="F28" s="34"/>
      <c r="G28" s="3"/>
      <c r="H28" s="3"/>
      <c r="I28" s="3"/>
      <c r="J28" s="3"/>
      <c r="K28" s="3"/>
      <c r="L28" s="3"/>
      <c r="M28" s="3"/>
      <c r="N28" s="9"/>
    </row>
    <row r="29" spans="1:18">
      <c r="A29" s="3"/>
      <c r="B29" s="94">
        <f>B28+1</f>
        <v>2017</v>
      </c>
      <c r="C29" s="296">
        <v>0.05</v>
      </c>
      <c r="D29" s="296">
        <v>0.1</v>
      </c>
      <c r="E29" s="177">
        <f>1-0.05*C29-0.1*D29</f>
        <v>0.98750000000000004</v>
      </c>
      <c r="F29" s="177">
        <f>+E29/E28-1</f>
        <v>-6.0722598927231974E-4</v>
      </c>
      <c r="G29" s="3"/>
      <c r="H29" s="3"/>
      <c r="I29" s="3"/>
      <c r="J29" s="3"/>
      <c r="K29" s="3"/>
      <c r="L29" s="3"/>
      <c r="M29" s="3"/>
      <c r="N29" s="9"/>
    </row>
    <row r="30" spans="1:18">
      <c r="A30" s="3"/>
      <c r="B30" s="94">
        <f t="shared" ref="B30:B32" si="0">B29+1</f>
        <v>2018</v>
      </c>
      <c r="C30" s="296">
        <v>4.4999999999999998E-2</v>
      </c>
      <c r="D30" s="296">
        <v>0.11</v>
      </c>
      <c r="E30" s="177">
        <f t="shared" ref="E30:E32" si="1">1-0.05*C30-0.1*D30</f>
        <v>0.98675000000000002</v>
      </c>
      <c r="F30" s="177">
        <f>+E30/E29-1</f>
        <v>-7.5949367088612441E-4</v>
      </c>
      <c r="G30" s="3"/>
      <c r="H30" s="3"/>
      <c r="I30" s="3"/>
      <c r="J30" s="3"/>
      <c r="K30" s="3"/>
      <c r="L30" s="3"/>
      <c r="M30" s="3"/>
      <c r="N30" s="9"/>
    </row>
    <row r="31" spans="1:18">
      <c r="A31" s="3"/>
      <c r="B31" s="94">
        <f t="shared" si="0"/>
        <v>2019</v>
      </c>
      <c r="C31" s="296">
        <v>4.4999999999999998E-2</v>
      </c>
      <c r="D31" s="296">
        <v>0.12</v>
      </c>
      <c r="E31" s="177">
        <f t="shared" si="1"/>
        <v>0.98575000000000002</v>
      </c>
      <c r="F31" s="177">
        <f t="shared" ref="F31:F32" si="2">+E31/E30-1</f>
        <v>-1.0134279199391916E-3</v>
      </c>
      <c r="G31" s="3"/>
      <c r="H31" s="3"/>
      <c r="I31" s="3"/>
      <c r="J31" s="3"/>
      <c r="K31" s="3"/>
      <c r="L31" s="3"/>
      <c r="M31" s="3"/>
      <c r="N31" s="9"/>
    </row>
    <row r="32" spans="1:18">
      <c r="A32" s="3"/>
      <c r="B32" s="107">
        <f t="shared" si="0"/>
        <v>2020</v>
      </c>
      <c r="C32" s="298">
        <v>6.5000000000000002E-2</v>
      </c>
      <c r="D32" s="298">
        <v>0.25</v>
      </c>
      <c r="E32" s="179">
        <f t="shared" si="1"/>
        <v>0.97175</v>
      </c>
      <c r="F32" s="179">
        <f t="shared" si="2"/>
        <v>-1.4202383971595234E-2</v>
      </c>
      <c r="G32" s="3"/>
      <c r="H32" s="3"/>
      <c r="I32" s="3"/>
      <c r="J32" s="3"/>
      <c r="K32" s="3"/>
      <c r="L32" s="3"/>
      <c r="M32" s="3"/>
      <c r="N32" s="9"/>
    </row>
    <row r="33" spans="1:14">
      <c r="B33" s="94"/>
      <c r="C33" s="98" t="s">
        <v>861</v>
      </c>
      <c r="D33" s="34"/>
      <c r="E33" s="34"/>
      <c r="F33" s="96">
        <f>AVERAGE(F29:F31)</f>
        <v>-7.9338252669921194E-4</v>
      </c>
      <c r="M33" s="9"/>
      <c r="N33" s="9"/>
    </row>
    <row r="34" spans="1:14">
      <c r="B34" s="3"/>
      <c r="M34" s="9"/>
      <c r="N34" s="9"/>
    </row>
    <row r="35" spans="1:14">
      <c r="B35" s="3" t="s">
        <v>862</v>
      </c>
      <c r="F35" s="112">
        <v>-7.9338252669924891E-4</v>
      </c>
      <c r="M35" s="9"/>
      <c r="N35" s="9"/>
    </row>
    <row r="36" spans="1:14">
      <c r="M36" s="9"/>
      <c r="N36" s="9"/>
    </row>
    <row r="37" spans="1:14">
      <c r="B37" s="2" t="s">
        <v>863</v>
      </c>
      <c r="M37" s="9"/>
      <c r="N37" s="9"/>
    </row>
    <row r="38" spans="1:14">
      <c r="M38" s="9"/>
      <c r="N38" s="9"/>
    </row>
    <row r="39" spans="1:14">
      <c r="M39" s="9"/>
      <c r="N39" s="9"/>
    </row>
    <row r="40" spans="1:14">
      <c r="A40" s="831" t="s">
        <v>864</v>
      </c>
      <c r="B40" s="831"/>
      <c r="C40" s="831"/>
      <c r="D40" s="831"/>
      <c r="E40" s="831"/>
      <c r="F40" s="831"/>
      <c r="G40" s="831"/>
      <c r="H40" s="831"/>
      <c r="I40" s="831"/>
      <c r="J40" s="831"/>
      <c r="K40" s="831"/>
      <c r="L40" s="1"/>
      <c r="M40" s="9"/>
      <c r="N40" s="9"/>
    </row>
    <row r="41" spans="1:14">
      <c r="A41" s="831"/>
      <c r="B41" s="831"/>
      <c r="C41" s="831"/>
      <c r="D41" s="831"/>
      <c r="E41" s="831"/>
      <c r="F41" s="831"/>
      <c r="G41" s="831"/>
      <c r="H41" s="831"/>
      <c r="I41" s="831"/>
      <c r="J41" s="831"/>
      <c r="K41" s="831"/>
      <c r="L41" s="1"/>
      <c r="M41" s="9"/>
      <c r="N41" s="9"/>
    </row>
    <row r="42" spans="1:14">
      <c r="A42" s="1" t="s">
        <v>865</v>
      </c>
      <c r="B42" s="1"/>
      <c r="C42" s="1"/>
      <c r="D42" s="1"/>
      <c r="E42" s="1"/>
      <c r="F42" s="1"/>
      <c r="G42" s="391">
        <v>-2E-3</v>
      </c>
      <c r="H42" s="1" t="s">
        <v>866</v>
      </c>
      <c r="I42" s="1"/>
      <c r="J42" s="1"/>
      <c r="K42" s="1"/>
      <c r="L42" s="1"/>
      <c r="M42" s="9"/>
      <c r="N42" s="9"/>
    </row>
    <row r="43" spans="1:14">
      <c r="A43" s="1" t="s">
        <v>867</v>
      </c>
      <c r="B43" s="1"/>
      <c r="C43" s="1"/>
      <c r="D43" s="1"/>
      <c r="E43" s="391">
        <v>7.4999999999999997E-3</v>
      </c>
      <c r="F43" s="1"/>
      <c r="G43" s="1"/>
      <c r="H43" s="392"/>
      <c r="I43" s="1"/>
      <c r="J43" s="1"/>
      <c r="K43" s="1"/>
      <c r="L43" s="1"/>
      <c r="M43" s="9"/>
      <c r="N43" s="9"/>
    </row>
    <row r="44" spans="1:14">
      <c r="A44" s="1"/>
      <c r="B44" s="1"/>
      <c r="C44" s="1"/>
      <c r="D44" s="1"/>
      <c r="E44" s="1"/>
      <c r="F44" s="1"/>
      <c r="G44" s="1"/>
      <c r="H44" s="1"/>
      <c r="I44" s="1"/>
      <c r="J44" s="1"/>
      <c r="K44" s="1"/>
      <c r="L44" s="1"/>
      <c r="M44" s="9"/>
      <c r="N44" s="9"/>
    </row>
    <row r="46" spans="1:14">
      <c r="A46" s="17" t="s">
        <v>18</v>
      </c>
      <c r="B46" s="831" t="s">
        <v>868</v>
      </c>
      <c r="C46" s="831"/>
      <c r="D46" s="831"/>
      <c r="E46" s="831"/>
      <c r="F46" s="831"/>
      <c r="G46" s="831"/>
      <c r="H46" s="831"/>
      <c r="I46" s="831"/>
      <c r="J46" s="831"/>
      <c r="K46" s="831"/>
      <c r="L46" s="1"/>
    </row>
    <row r="47" spans="1:14">
      <c r="A47" s="17"/>
      <c r="B47" s="831"/>
      <c r="C47" s="831"/>
      <c r="D47" s="831"/>
      <c r="E47" s="831"/>
      <c r="F47" s="831"/>
      <c r="G47" s="831"/>
      <c r="H47" s="831"/>
      <c r="I47" s="831"/>
      <c r="J47" s="831"/>
      <c r="K47" s="831"/>
      <c r="L47" s="1"/>
    </row>
    <row r="48" spans="1:14">
      <c r="A48" s="14"/>
      <c r="B48" s="14"/>
      <c r="C48" s="14"/>
      <c r="D48" s="14"/>
      <c r="E48" s="14"/>
      <c r="F48" s="14"/>
      <c r="G48" s="1"/>
      <c r="H48" s="1"/>
      <c r="I48" s="1"/>
      <c r="J48" s="1"/>
      <c r="K48" s="1"/>
      <c r="L48" s="1"/>
    </row>
    <row r="49" spans="1:13">
      <c r="A49" s="3"/>
      <c r="B49" s="3"/>
      <c r="C49" s="3"/>
      <c r="D49" s="3"/>
      <c r="E49" s="3"/>
      <c r="F49" s="3"/>
      <c r="G49" s="3"/>
      <c r="H49" s="3"/>
      <c r="I49" s="3"/>
      <c r="J49" s="3"/>
      <c r="K49" s="3"/>
      <c r="L49" s="3"/>
    </row>
    <row r="50" spans="1:13">
      <c r="A50" s="3" t="s">
        <v>20</v>
      </c>
      <c r="B50" s="3"/>
      <c r="C50" s="3"/>
      <c r="D50" s="3"/>
      <c r="E50" s="3"/>
      <c r="F50" s="3"/>
      <c r="G50" s="3"/>
      <c r="H50" s="3"/>
      <c r="I50" s="3"/>
      <c r="J50" s="3"/>
      <c r="K50" s="3"/>
      <c r="L50" s="3"/>
    </row>
    <row r="51" spans="1:13">
      <c r="A51" s="3"/>
      <c r="B51" s="283" t="s">
        <v>869</v>
      </c>
      <c r="C51" s="170"/>
      <c r="D51" s="170"/>
      <c r="E51" s="170"/>
      <c r="F51" s="170"/>
      <c r="G51" s="393">
        <v>43282</v>
      </c>
      <c r="H51" s="394"/>
      <c r="I51" s="3"/>
      <c r="J51" s="3"/>
      <c r="K51" s="3"/>
      <c r="L51" s="3"/>
    </row>
    <row r="52" spans="1:13">
      <c r="A52" s="3"/>
      <c r="B52" s="283" t="s">
        <v>870</v>
      </c>
      <c r="C52" s="170"/>
      <c r="D52" s="170"/>
      <c r="E52" s="170"/>
      <c r="F52" s="170"/>
      <c r="G52" s="393">
        <v>44013</v>
      </c>
      <c r="H52" s="170"/>
      <c r="I52" s="3"/>
      <c r="J52" s="3"/>
      <c r="K52" s="3"/>
      <c r="L52" s="3"/>
    </row>
    <row r="53" spans="1:13">
      <c r="B53" s="283" t="s">
        <v>871</v>
      </c>
      <c r="C53" s="170"/>
      <c r="D53" s="170"/>
      <c r="E53" s="170"/>
      <c r="F53" s="170"/>
      <c r="G53" s="170">
        <f>(12*YEAR(G52)+MONTH(G52))-(12*YEAR(G51)+MONTH(G51))</f>
        <v>24</v>
      </c>
      <c r="H53" s="170" t="s">
        <v>872</v>
      </c>
      <c r="M53" s="3"/>
    </row>
    <row r="54" spans="1:13">
      <c r="B54" s="283" t="s">
        <v>873</v>
      </c>
      <c r="C54" s="170"/>
      <c r="D54" s="170"/>
      <c r="E54" s="170"/>
      <c r="F54" s="170"/>
      <c r="G54" s="393">
        <v>44593</v>
      </c>
      <c r="H54" s="170"/>
      <c r="M54" s="3"/>
    </row>
    <row r="55" spans="1:13">
      <c r="B55" s="283" t="s">
        <v>874</v>
      </c>
      <c r="C55" s="170"/>
      <c r="D55" s="170"/>
      <c r="E55" s="170"/>
      <c r="F55" s="170"/>
      <c r="G55" s="393">
        <f>DATE(YEAR(G54)+1,MONTH(G54),1)</f>
        <v>44958</v>
      </c>
      <c r="H55" s="394"/>
      <c r="M55" s="3"/>
    </row>
    <row r="56" spans="1:13">
      <c r="B56" s="283" t="s">
        <v>875</v>
      </c>
      <c r="C56" s="170"/>
      <c r="D56" s="170"/>
      <c r="E56" s="170"/>
      <c r="F56" s="170"/>
      <c r="G56" s="170">
        <f>(12*YEAR(G55)+MONTH(G55))-(12*YEAR(G52)+MONTH(G52))</f>
        <v>31</v>
      </c>
      <c r="H56" s="170" t="s">
        <v>872</v>
      </c>
    </row>
    <row r="57" spans="1:13">
      <c r="B57" s="283"/>
      <c r="C57" s="170"/>
      <c r="D57" s="170"/>
      <c r="E57" s="170"/>
      <c r="F57" s="170"/>
      <c r="G57" s="170"/>
      <c r="H57" s="170"/>
    </row>
    <row r="58" spans="1:13">
      <c r="B58" s="283" t="s">
        <v>876</v>
      </c>
      <c r="C58" s="170"/>
      <c r="D58" s="170"/>
      <c r="E58" s="170"/>
      <c r="F58" s="170"/>
      <c r="G58" s="170"/>
      <c r="H58" s="170"/>
    </row>
    <row r="59" spans="1:13">
      <c r="B59" s="283" t="s">
        <v>877</v>
      </c>
      <c r="C59" s="172"/>
      <c r="D59" s="170"/>
      <c r="E59" s="170"/>
      <c r="F59" s="170"/>
      <c r="G59" s="395">
        <f>((1+F35)*(1+E43))^(G53/12)</f>
        <v>1.0134462331483445</v>
      </c>
    </row>
    <row r="60" spans="1:13">
      <c r="B60" s="283" t="s">
        <v>878</v>
      </c>
      <c r="C60" s="172"/>
      <c r="D60" s="170"/>
      <c r="E60" s="170"/>
      <c r="F60" s="170"/>
      <c r="G60" s="395">
        <f>((1+G42)*(1+E43))^(G56/12)</f>
        <v>1.0142311773813422</v>
      </c>
    </row>
    <row r="61" spans="1:13">
      <c r="B61" s="283" t="s">
        <v>879</v>
      </c>
      <c r="C61" s="396"/>
      <c r="D61" s="170"/>
      <c r="E61" s="170"/>
      <c r="F61" s="170"/>
      <c r="G61" s="395">
        <f>G59*G60</f>
        <v>1.0278687662587316</v>
      </c>
    </row>
  </sheetData>
  <mergeCells count="5">
    <mergeCell ref="A6:K7"/>
    <mergeCell ref="B9:B10"/>
    <mergeCell ref="C9:D9"/>
    <mergeCell ref="A40:K41"/>
    <mergeCell ref="B46:K47"/>
  </mergeCells>
  <hyperlinks>
    <hyperlink ref="O1" location="TOC!A1" display="Table of Contents" xr:uid="{ADBA85EE-3B62-4B11-9364-C2800036643A}"/>
  </hyperlinks>
  <pageMargins left="0.7" right="0.7" top="0.75" bottom="0.75" header="0.3" footer="0.3"/>
  <pageSetup scale="73"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4C0BF-7FE8-4CAF-BD66-AD57F381EB49}">
  <dimension ref="A1:R80"/>
  <sheetViews>
    <sheetView zoomScaleNormal="100" workbookViewId="0"/>
  </sheetViews>
  <sheetFormatPr defaultColWidth="8.88671875" defaultRowHeight="15.6"/>
  <cols>
    <col min="1" max="1" width="8.88671875" style="2" customWidth="1"/>
    <col min="2" max="3" width="12.6640625" style="2" customWidth="1"/>
    <col min="4" max="5" width="16.6640625" style="2" customWidth="1"/>
    <col min="6" max="8" width="10.6640625" style="2" customWidth="1"/>
    <col min="9" max="16384" width="8.88671875" style="2"/>
  </cols>
  <sheetData>
    <row r="1" spans="1:15" ht="17.399999999999999">
      <c r="A1" s="13" t="s">
        <v>85</v>
      </c>
      <c r="B1" s="1"/>
      <c r="C1" s="1"/>
      <c r="D1" s="1" t="s">
        <v>0</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 t="s">
        <v>46</v>
      </c>
      <c r="B8" s="1"/>
      <c r="C8" s="1"/>
      <c r="D8" s="1"/>
      <c r="E8" s="1"/>
      <c r="F8" s="1"/>
      <c r="G8" s="1"/>
      <c r="H8" s="1"/>
      <c r="I8" s="1"/>
      <c r="J8" s="1"/>
      <c r="K8" s="1"/>
      <c r="L8" s="14"/>
    </row>
    <row r="9" spans="1:15">
      <c r="A9" s="1"/>
      <c r="B9" s="1"/>
      <c r="C9" s="1"/>
      <c r="D9" s="1"/>
      <c r="E9" s="1"/>
      <c r="F9" s="1"/>
      <c r="G9" s="1"/>
      <c r="H9" s="1"/>
      <c r="I9" s="1"/>
      <c r="J9" s="1"/>
      <c r="K9" s="1"/>
      <c r="L9" s="14"/>
    </row>
    <row r="10" spans="1:15" ht="33.6" customHeight="1">
      <c r="A10" s="1"/>
      <c r="B10" s="23"/>
      <c r="C10" s="894" t="s">
        <v>47</v>
      </c>
      <c r="D10" s="829" t="s">
        <v>48</v>
      </c>
      <c r="E10" s="829"/>
      <c r="F10" s="1"/>
      <c r="G10" s="1"/>
      <c r="H10" s="1"/>
      <c r="I10" s="1"/>
      <c r="J10" s="1"/>
      <c r="K10" s="1"/>
      <c r="L10" s="14"/>
    </row>
    <row r="11" spans="1:15" ht="31.2">
      <c r="A11" s="1"/>
      <c r="B11" s="24" t="s">
        <v>49</v>
      </c>
      <c r="C11" s="894"/>
      <c r="D11" s="4" t="s">
        <v>50</v>
      </c>
      <c r="E11" s="4" t="s">
        <v>51</v>
      </c>
      <c r="F11" s="1"/>
      <c r="G11" s="1"/>
      <c r="H11" s="1"/>
      <c r="I11" s="1"/>
      <c r="J11" s="1"/>
      <c r="K11" s="1"/>
      <c r="L11" s="14"/>
    </row>
    <row r="12" spans="1:15">
      <c r="A12" s="1"/>
      <c r="B12" s="25">
        <v>2015</v>
      </c>
      <c r="C12" s="7">
        <v>7770781</v>
      </c>
      <c r="D12" s="7">
        <v>5053162</v>
      </c>
      <c r="E12" s="7">
        <v>5053487</v>
      </c>
      <c r="F12" s="1"/>
      <c r="G12" s="1"/>
      <c r="H12" s="1"/>
      <c r="I12" s="1"/>
      <c r="J12" s="1"/>
      <c r="K12" s="1"/>
      <c r="L12" s="14"/>
    </row>
    <row r="13" spans="1:15">
      <c r="A13" s="1"/>
      <c r="B13" s="6">
        <v>2016</v>
      </c>
      <c r="C13" s="7">
        <v>8054874</v>
      </c>
      <c r="D13" s="7">
        <v>5508456</v>
      </c>
      <c r="E13" s="7">
        <v>5506686</v>
      </c>
      <c r="F13" s="1"/>
      <c r="G13" s="1"/>
      <c r="H13" s="1"/>
      <c r="I13" s="1"/>
      <c r="J13" s="1"/>
      <c r="K13" s="1"/>
      <c r="L13" s="14"/>
    </row>
    <row r="14" spans="1:15">
      <c r="A14" s="1"/>
      <c r="B14" s="6">
        <v>2017</v>
      </c>
      <c r="C14" s="7">
        <v>8669122</v>
      </c>
      <c r="D14" s="7">
        <v>5901592</v>
      </c>
      <c r="E14" s="7">
        <v>5867259</v>
      </c>
      <c r="F14" s="1"/>
      <c r="G14" s="1"/>
      <c r="H14" s="1"/>
      <c r="I14" s="1"/>
      <c r="J14" s="1"/>
      <c r="K14" s="1"/>
      <c r="L14" s="14"/>
    </row>
    <row r="15" spans="1:15">
      <c r="A15" s="1"/>
      <c r="B15" s="6">
        <v>2018</v>
      </c>
      <c r="C15" s="7">
        <v>9068601</v>
      </c>
      <c r="D15" s="7">
        <v>6242941</v>
      </c>
      <c r="E15" s="7">
        <v>6305001</v>
      </c>
      <c r="F15" s="1"/>
      <c r="G15" s="1"/>
      <c r="H15" s="1"/>
      <c r="I15" s="1"/>
      <c r="J15" s="1"/>
      <c r="K15" s="1"/>
      <c r="L15" s="14"/>
    </row>
    <row r="16" spans="1:15">
      <c r="A16" s="1"/>
      <c r="B16" s="6">
        <v>2019</v>
      </c>
      <c r="C16" s="7">
        <v>9896451</v>
      </c>
      <c r="D16" s="7">
        <v>6826075</v>
      </c>
      <c r="E16" s="7">
        <v>7055995</v>
      </c>
      <c r="F16" s="1"/>
      <c r="G16" s="1"/>
      <c r="H16" s="1"/>
      <c r="I16" s="1"/>
      <c r="J16" s="1"/>
      <c r="K16" s="1"/>
      <c r="L16" s="14"/>
    </row>
    <row r="17" spans="1:18">
      <c r="A17" s="1"/>
      <c r="B17" s="6">
        <v>2020</v>
      </c>
      <c r="C17" s="7">
        <v>10833340</v>
      </c>
      <c r="D17" s="7">
        <v>7153796</v>
      </c>
      <c r="E17" s="7">
        <v>7378065</v>
      </c>
      <c r="F17" s="1"/>
      <c r="G17" s="1"/>
      <c r="H17" s="1"/>
      <c r="I17" s="1"/>
      <c r="J17" s="1"/>
      <c r="K17" s="1"/>
      <c r="L17" s="14"/>
    </row>
    <row r="18" spans="1:18">
      <c r="A18" s="1"/>
      <c r="B18" s="1"/>
      <c r="C18" s="1"/>
      <c r="D18" s="1"/>
      <c r="E18" s="1"/>
      <c r="F18" s="1"/>
      <c r="G18" s="1"/>
      <c r="H18" s="1"/>
      <c r="I18" s="1"/>
      <c r="J18" s="1"/>
      <c r="K18" s="1"/>
      <c r="L18" s="14"/>
    </row>
    <row r="19" spans="1:18">
      <c r="A19" s="1" t="s">
        <v>52</v>
      </c>
      <c r="B19" s="1"/>
      <c r="C19" s="1"/>
      <c r="D19" s="1"/>
      <c r="E19" s="1"/>
      <c r="F19" s="1"/>
      <c r="G19" s="1"/>
      <c r="H19" s="1"/>
      <c r="I19" s="1"/>
      <c r="J19" s="1"/>
      <c r="K19" s="1"/>
      <c r="L19" s="14"/>
    </row>
    <row r="20" spans="1:18">
      <c r="A20" s="1"/>
      <c r="B20" s="1"/>
      <c r="C20" s="1"/>
      <c r="D20" s="1"/>
      <c r="E20" s="1"/>
      <c r="F20" s="1"/>
      <c r="G20" s="1"/>
      <c r="H20" s="1"/>
      <c r="I20" s="1"/>
      <c r="J20" s="1"/>
      <c r="K20" s="1"/>
      <c r="L20" s="14"/>
    </row>
    <row r="21" spans="1:18">
      <c r="A21" s="1"/>
      <c r="B21" s="5" t="s">
        <v>53</v>
      </c>
      <c r="C21" s="829" t="s">
        <v>54</v>
      </c>
      <c r="D21" s="829"/>
      <c r="E21" s="829"/>
      <c r="F21" s="829"/>
      <c r="G21" s="829"/>
      <c r="H21" s="829"/>
      <c r="I21" s="26"/>
      <c r="J21" s="1"/>
      <c r="K21" s="1"/>
      <c r="L21" s="14"/>
    </row>
    <row r="22" spans="1:18">
      <c r="A22" s="1"/>
      <c r="B22" s="5" t="s">
        <v>55</v>
      </c>
      <c r="C22" s="5">
        <v>12</v>
      </c>
      <c r="D22" s="5">
        <v>24</v>
      </c>
      <c r="E22" s="5">
        <v>36</v>
      </c>
      <c r="F22" s="5">
        <v>48</v>
      </c>
      <c r="G22" s="5">
        <v>60</v>
      </c>
      <c r="H22" s="27">
        <v>72</v>
      </c>
      <c r="I22" s="28"/>
      <c r="J22" s="1"/>
      <c r="K22" s="1"/>
      <c r="L22" s="14"/>
    </row>
    <row r="23" spans="1:18">
      <c r="A23" s="1"/>
      <c r="B23" s="6">
        <v>2015</v>
      </c>
      <c r="C23" s="29">
        <v>0.52700000000000002</v>
      </c>
      <c r="D23" s="29">
        <v>0.58099999999999996</v>
      </c>
      <c r="E23" s="29">
        <v>0.61299999999999999</v>
      </c>
      <c r="F23" s="29">
        <v>0.63300000000000001</v>
      </c>
      <c r="G23" s="29">
        <v>0.64400000000000002</v>
      </c>
      <c r="H23" s="30">
        <v>0.65</v>
      </c>
      <c r="I23" s="31"/>
      <c r="J23" s="1"/>
      <c r="K23" s="1"/>
      <c r="L23" s="14"/>
    </row>
    <row r="24" spans="1:18">
      <c r="A24" s="1"/>
      <c r="B24" s="6">
        <v>2016</v>
      </c>
      <c r="C24" s="29">
        <v>0.54700000000000004</v>
      </c>
      <c r="D24" s="29">
        <v>0.60899999999999999</v>
      </c>
      <c r="E24" s="29">
        <v>0.65300000000000002</v>
      </c>
      <c r="F24" s="29">
        <v>0.66400000000000003</v>
      </c>
      <c r="G24" s="29">
        <v>0.67700000000000005</v>
      </c>
      <c r="H24" s="32"/>
      <c r="I24" s="33"/>
      <c r="J24" s="1"/>
      <c r="K24" s="1"/>
      <c r="L24" s="14"/>
    </row>
    <row r="25" spans="1:18">
      <c r="A25" s="1"/>
      <c r="B25" s="6">
        <v>2017</v>
      </c>
      <c r="C25" s="29">
        <v>0.54900000000000004</v>
      </c>
      <c r="D25" s="29">
        <v>0.61299999999999999</v>
      </c>
      <c r="E25" s="29">
        <v>0.65700000000000003</v>
      </c>
      <c r="F25" s="29">
        <v>0.66500000000000004</v>
      </c>
      <c r="G25" s="6"/>
      <c r="H25" s="32"/>
      <c r="I25" s="33"/>
      <c r="J25" s="1"/>
      <c r="K25" s="1"/>
      <c r="L25" s="14"/>
    </row>
    <row r="26" spans="1:18">
      <c r="A26" s="1"/>
      <c r="B26" s="6">
        <v>2018</v>
      </c>
      <c r="C26" s="29">
        <v>0.56799999999999995</v>
      </c>
      <c r="D26" s="29">
        <v>0.63900000000000001</v>
      </c>
      <c r="E26" s="29">
        <v>0.65800000000000003</v>
      </c>
      <c r="F26" s="6"/>
      <c r="G26" s="6"/>
      <c r="H26" s="32"/>
      <c r="I26" s="33"/>
      <c r="J26" s="1"/>
      <c r="K26" s="1"/>
      <c r="L26" s="14"/>
    </row>
    <row r="27" spans="1:18">
      <c r="A27" s="1"/>
      <c r="B27" s="6">
        <v>2019</v>
      </c>
      <c r="C27" s="29">
        <v>0.56100000000000005</v>
      </c>
      <c r="D27" s="29">
        <v>0.63600000000000001</v>
      </c>
      <c r="E27" s="6"/>
      <c r="F27" s="6"/>
      <c r="G27" s="6"/>
      <c r="H27" s="32"/>
      <c r="I27" s="33"/>
      <c r="J27" s="1"/>
      <c r="K27" s="1"/>
      <c r="L27" s="14"/>
    </row>
    <row r="28" spans="1:18">
      <c r="A28" s="1"/>
      <c r="B28" s="6">
        <v>2020</v>
      </c>
      <c r="C28" s="29">
        <v>0.55200000000000005</v>
      </c>
      <c r="D28" s="6"/>
      <c r="E28" s="6"/>
      <c r="F28" s="6"/>
      <c r="G28" s="6"/>
      <c r="H28" s="32"/>
      <c r="I28" s="33"/>
      <c r="J28" s="1"/>
      <c r="K28" s="1"/>
      <c r="L28" s="14"/>
    </row>
    <row r="29" spans="1:18">
      <c r="A29" s="1"/>
      <c r="B29" s="1"/>
      <c r="C29" s="1"/>
      <c r="D29" s="1"/>
      <c r="E29" s="1"/>
      <c r="F29" s="1"/>
      <c r="G29" s="1"/>
      <c r="H29" s="1"/>
      <c r="I29" s="1"/>
      <c r="J29" s="1"/>
      <c r="K29" s="1"/>
      <c r="L29" s="14"/>
    </row>
    <row r="30" spans="1:18">
      <c r="A30" s="3"/>
      <c r="B30" s="3"/>
      <c r="C30" s="3"/>
      <c r="D30" s="3"/>
      <c r="E30" s="3"/>
      <c r="F30" s="3"/>
      <c r="G30" s="3"/>
      <c r="H30" s="3"/>
      <c r="I30" s="3"/>
      <c r="J30" s="3"/>
      <c r="K30" s="3"/>
      <c r="L30" s="3"/>
    </row>
    <row r="31" spans="1:18">
      <c r="A31" s="17" t="s">
        <v>18</v>
      </c>
      <c r="B31" s="1" t="s">
        <v>56</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c r="A35" s="3"/>
      <c r="D35" s="816" t="s">
        <v>57</v>
      </c>
      <c r="E35" s="816"/>
      <c r="F35" s="3"/>
      <c r="G35" s="3"/>
      <c r="H35" s="3"/>
      <c r="I35" s="3"/>
      <c r="J35" s="3"/>
      <c r="K35" s="3"/>
      <c r="L35" s="3"/>
      <c r="M35" s="3"/>
      <c r="N35" s="9"/>
    </row>
    <row r="36" spans="1:14" ht="31.2">
      <c r="A36" s="3"/>
      <c r="B36" s="35" t="s">
        <v>58</v>
      </c>
      <c r="C36" s="36" t="s">
        <v>59</v>
      </c>
      <c r="D36" s="36" t="s">
        <v>50</v>
      </c>
      <c r="E36" s="35" t="s">
        <v>51</v>
      </c>
      <c r="F36" s="3"/>
      <c r="G36" s="3"/>
      <c r="H36" s="3"/>
      <c r="I36" s="3"/>
      <c r="J36" s="3"/>
      <c r="K36" s="3"/>
      <c r="L36" s="3"/>
      <c r="M36" s="3"/>
      <c r="N36" s="9"/>
    </row>
    <row r="37" spans="1:14">
      <c r="A37" s="3"/>
      <c r="B37" s="34">
        <v>2015</v>
      </c>
      <c r="C37" s="37">
        <f>C12*H23</f>
        <v>5051007.6500000004</v>
      </c>
      <c r="D37" s="37">
        <f>D12-$C37</f>
        <v>2154.3499999996275</v>
      </c>
      <c r="E37" s="37">
        <f>E12-$C37</f>
        <v>2479.3499999996275</v>
      </c>
      <c r="F37" s="3"/>
      <c r="G37" s="3"/>
      <c r="H37" s="3"/>
      <c r="I37" s="3"/>
      <c r="J37" s="3"/>
      <c r="K37" s="3"/>
      <c r="L37" s="3"/>
      <c r="M37" s="3"/>
      <c r="N37" s="9"/>
    </row>
    <row r="38" spans="1:14">
      <c r="A38" s="3"/>
      <c r="B38" s="34">
        <v>2016</v>
      </c>
      <c r="C38" s="37">
        <f>C13*G24</f>
        <v>5453149.6980000008</v>
      </c>
      <c r="D38" s="37">
        <f t="shared" ref="D38:E42" si="0">D13-$C38</f>
        <v>55306.30199999921</v>
      </c>
      <c r="E38" s="37">
        <f t="shared" si="0"/>
        <v>53536.30199999921</v>
      </c>
      <c r="F38" s="3"/>
      <c r="G38" s="3"/>
      <c r="H38" s="3"/>
      <c r="I38" s="3"/>
      <c r="J38" s="3"/>
      <c r="K38" s="3"/>
      <c r="L38" s="3"/>
      <c r="M38" s="3"/>
      <c r="N38" s="9"/>
    </row>
    <row r="39" spans="1:14">
      <c r="A39" s="3"/>
      <c r="B39" s="34">
        <v>2017</v>
      </c>
      <c r="C39" s="37">
        <f>C14*F25</f>
        <v>5764966.1299999999</v>
      </c>
      <c r="D39" s="37">
        <f t="shared" si="0"/>
        <v>136625.87000000011</v>
      </c>
      <c r="E39" s="37">
        <f t="shared" si="0"/>
        <v>102292.87000000011</v>
      </c>
      <c r="F39" s="3"/>
      <c r="G39" s="3"/>
      <c r="H39" s="3"/>
      <c r="I39" s="3"/>
      <c r="J39" s="3"/>
      <c r="K39" s="3"/>
      <c r="L39" s="3"/>
      <c r="M39" s="3"/>
      <c r="N39" s="9"/>
    </row>
    <row r="40" spans="1:14">
      <c r="A40" s="3"/>
      <c r="B40" s="34">
        <v>2018</v>
      </c>
      <c r="C40" s="37">
        <f>C15*E26</f>
        <v>5967139.4580000006</v>
      </c>
      <c r="D40" s="37">
        <f t="shared" si="0"/>
        <v>275801.54199999943</v>
      </c>
      <c r="E40" s="37">
        <f t="shared" si="0"/>
        <v>337861.54199999943</v>
      </c>
      <c r="F40" s="3"/>
      <c r="G40" s="3"/>
      <c r="H40" s="3"/>
      <c r="I40" s="3"/>
      <c r="J40" s="3"/>
      <c r="K40" s="3"/>
      <c r="L40" s="3"/>
      <c r="M40" s="3"/>
      <c r="N40" s="9"/>
    </row>
    <row r="41" spans="1:14">
      <c r="A41" s="3"/>
      <c r="B41" s="34">
        <v>2019</v>
      </c>
      <c r="C41" s="37">
        <f>C16*D27</f>
        <v>6294142.8360000001</v>
      </c>
      <c r="D41" s="37">
        <f t="shared" si="0"/>
        <v>531932.16399999987</v>
      </c>
      <c r="E41" s="37">
        <f t="shared" si="0"/>
        <v>761852.16399999987</v>
      </c>
      <c r="F41" s="3"/>
      <c r="G41" s="3"/>
      <c r="H41" s="3"/>
      <c r="I41" s="3"/>
      <c r="J41" s="3"/>
      <c r="K41" s="3"/>
      <c r="L41" s="3"/>
      <c r="M41" s="3"/>
      <c r="N41" s="9"/>
    </row>
    <row r="42" spans="1:14">
      <c r="A42" s="3"/>
      <c r="B42" s="35">
        <v>2020</v>
      </c>
      <c r="C42" s="38">
        <f>C17*C28</f>
        <v>5980003.6800000006</v>
      </c>
      <c r="D42" s="38">
        <f t="shared" si="0"/>
        <v>1173792.3199999994</v>
      </c>
      <c r="E42" s="38">
        <f t="shared" si="0"/>
        <v>1398061.3199999994</v>
      </c>
      <c r="F42" s="3"/>
      <c r="G42" s="3"/>
      <c r="H42" s="3"/>
      <c r="I42" s="3"/>
      <c r="J42" s="3"/>
      <c r="K42" s="3"/>
      <c r="L42" s="3"/>
      <c r="M42" s="3"/>
      <c r="N42" s="9"/>
    </row>
    <row r="43" spans="1:14">
      <c r="A43" s="3"/>
      <c r="C43" s="37">
        <f>SUM(C37:C42)</f>
        <v>34510409.452</v>
      </c>
      <c r="D43" s="37">
        <f t="shared" ref="D43:E43" si="1">SUM(D37:D42)</f>
        <v>2175612.5479999976</v>
      </c>
      <c r="E43" s="37">
        <f t="shared" si="1"/>
        <v>2656083.5479999976</v>
      </c>
      <c r="F43" s="3"/>
      <c r="G43" s="3"/>
      <c r="H43" s="3"/>
      <c r="I43" s="3"/>
      <c r="J43" s="3"/>
      <c r="K43" s="3"/>
      <c r="L43" s="3"/>
      <c r="M43" s="3"/>
      <c r="N43" s="9"/>
    </row>
    <row r="44" spans="1:14">
      <c r="M44" s="9"/>
      <c r="N44" s="9"/>
    </row>
    <row r="45" spans="1:14">
      <c r="A45" s="1" t="s">
        <v>60</v>
      </c>
      <c r="B45" s="1"/>
      <c r="C45" s="1"/>
      <c r="D45" s="1"/>
      <c r="E45" s="1"/>
      <c r="F45" s="1"/>
      <c r="G45" s="1"/>
      <c r="H45" s="1"/>
      <c r="I45" s="1"/>
      <c r="J45" s="1"/>
      <c r="K45" s="1"/>
      <c r="L45" s="14"/>
      <c r="M45" s="9"/>
      <c r="N45" s="9"/>
    </row>
    <row r="46" spans="1:14">
      <c r="A46" s="1"/>
      <c r="B46" s="1"/>
      <c r="C46" s="1"/>
      <c r="D46" s="1"/>
      <c r="E46" s="1"/>
      <c r="F46" s="1"/>
      <c r="G46" s="1"/>
      <c r="H46" s="1"/>
      <c r="I46" s="1"/>
      <c r="J46" s="1"/>
      <c r="K46" s="1"/>
      <c r="L46" s="14"/>
      <c r="M46" s="9"/>
      <c r="N46" s="9"/>
    </row>
    <row r="47" spans="1:14">
      <c r="A47" s="1"/>
      <c r="B47" s="23"/>
      <c r="C47" s="813" t="s">
        <v>61</v>
      </c>
      <c r="D47" s="829"/>
      <c r="E47" s="829"/>
      <c r="F47" s="829"/>
      <c r="G47" s="1"/>
      <c r="H47" s="1"/>
      <c r="I47" s="1"/>
      <c r="J47" s="1"/>
      <c r="K47" s="1"/>
      <c r="L47" s="14"/>
      <c r="M47" s="9"/>
      <c r="N47" s="9"/>
    </row>
    <row r="48" spans="1:14">
      <c r="A48" s="1"/>
      <c r="B48" s="40" t="s">
        <v>53</v>
      </c>
      <c r="C48" s="813" t="s">
        <v>62</v>
      </c>
      <c r="D48" s="829"/>
      <c r="E48" s="829" t="s">
        <v>63</v>
      </c>
      <c r="F48" s="829"/>
      <c r="G48" s="1"/>
      <c r="H48" s="1"/>
      <c r="I48" s="1"/>
      <c r="J48" s="1"/>
      <c r="K48" s="1"/>
      <c r="L48" s="14"/>
      <c r="M48" s="9"/>
      <c r="N48" s="9"/>
    </row>
    <row r="49" spans="1:14">
      <c r="A49" s="1"/>
      <c r="B49" s="24" t="s">
        <v>55</v>
      </c>
      <c r="C49" s="39" t="s">
        <v>64</v>
      </c>
      <c r="D49" s="5" t="s">
        <v>65</v>
      </c>
      <c r="E49" s="5" t="s">
        <v>66</v>
      </c>
      <c r="F49" s="5" t="s">
        <v>65</v>
      </c>
      <c r="G49" s="1"/>
      <c r="H49" s="1"/>
      <c r="I49" s="1"/>
      <c r="J49" s="1"/>
      <c r="K49" s="1"/>
      <c r="L49" s="14"/>
      <c r="M49" s="9"/>
      <c r="N49" s="9"/>
    </row>
    <row r="50" spans="1:14">
      <c r="A50" s="1"/>
      <c r="B50" s="25">
        <v>2016</v>
      </c>
      <c r="C50" s="7">
        <v>2852</v>
      </c>
      <c r="D50" s="7">
        <v>2628</v>
      </c>
      <c r="E50" s="7">
        <v>2825</v>
      </c>
      <c r="F50" s="7">
        <v>2650</v>
      </c>
      <c r="G50" s="1"/>
      <c r="H50" s="1"/>
      <c r="I50" s="1"/>
      <c r="J50" s="1"/>
      <c r="K50" s="1"/>
      <c r="L50" s="14"/>
      <c r="M50" s="9"/>
      <c r="N50" s="9"/>
    </row>
    <row r="51" spans="1:14">
      <c r="A51" s="1"/>
      <c r="B51" s="6">
        <v>2017</v>
      </c>
      <c r="C51" s="7">
        <v>4103</v>
      </c>
      <c r="D51" s="7">
        <v>4218</v>
      </c>
      <c r="E51" s="7">
        <v>4185</v>
      </c>
      <c r="F51" s="7">
        <v>4235</v>
      </c>
      <c r="G51" s="1"/>
      <c r="H51" s="1"/>
      <c r="I51" s="1"/>
      <c r="J51" s="1"/>
      <c r="K51" s="1"/>
      <c r="L51" s="14"/>
      <c r="M51" s="9"/>
      <c r="N51" s="9"/>
    </row>
    <row r="52" spans="1:14">
      <c r="A52" s="1"/>
      <c r="B52" s="41">
        <v>2018</v>
      </c>
      <c r="C52" s="42">
        <v>4352</v>
      </c>
      <c r="D52" s="42">
        <v>6318</v>
      </c>
      <c r="E52" s="42">
        <v>4161</v>
      </c>
      <c r="F52" s="42">
        <v>5511</v>
      </c>
      <c r="G52" s="1"/>
      <c r="H52" s="1"/>
      <c r="I52" s="1"/>
      <c r="J52" s="1"/>
      <c r="K52" s="1"/>
      <c r="L52" s="14"/>
      <c r="M52" s="9"/>
      <c r="N52" s="9"/>
    </row>
    <row r="53" spans="1:14">
      <c r="A53" s="1"/>
      <c r="B53" s="6">
        <v>2019</v>
      </c>
      <c r="C53" s="7">
        <v>8072</v>
      </c>
      <c r="D53" s="7">
        <v>7317</v>
      </c>
      <c r="E53" s="7">
        <v>7767</v>
      </c>
      <c r="F53" s="7">
        <v>7467</v>
      </c>
      <c r="G53" s="1"/>
      <c r="H53" s="1"/>
      <c r="I53" s="1"/>
      <c r="J53" s="1"/>
      <c r="K53" s="1"/>
      <c r="L53" s="14"/>
      <c r="M53" s="9"/>
      <c r="N53" s="9"/>
    </row>
    <row r="54" spans="1:14">
      <c r="A54" s="1"/>
      <c r="B54" s="6">
        <v>2020</v>
      </c>
      <c r="C54" s="7">
        <v>11835</v>
      </c>
      <c r="D54" s="7">
        <v>10664</v>
      </c>
      <c r="E54" s="7">
        <v>11409</v>
      </c>
      <c r="F54" s="7">
        <v>11109</v>
      </c>
      <c r="G54" s="1"/>
      <c r="H54" s="1"/>
      <c r="I54" s="1"/>
      <c r="J54" s="1"/>
      <c r="K54" s="1"/>
      <c r="L54" s="14"/>
      <c r="M54" s="9"/>
      <c r="N54" s="9"/>
    </row>
    <row r="55" spans="1:14">
      <c r="A55" s="1"/>
      <c r="B55" s="1"/>
      <c r="C55" s="1"/>
      <c r="D55" s="1"/>
      <c r="E55" s="1"/>
      <c r="F55" s="1"/>
      <c r="G55" s="1"/>
      <c r="H55" s="1"/>
      <c r="I55" s="1"/>
      <c r="J55" s="1"/>
      <c r="K55" s="1"/>
      <c r="L55" s="14"/>
      <c r="M55" s="9"/>
      <c r="N55" s="9"/>
    </row>
    <row r="56" spans="1:14">
      <c r="A56" s="1" t="s">
        <v>67</v>
      </c>
      <c r="B56" s="1"/>
      <c r="C56" s="1"/>
      <c r="D56" s="1"/>
      <c r="E56" s="1"/>
      <c r="F56" s="1"/>
      <c r="G56" s="1"/>
      <c r="H56" s="1"/>
      <c r="I56" s="1"/>
      <c r="J56" s="1"/>
      <c r="K56" s="1"/>
      <c r="L56" s="14"/>
      <c r="M56" s="9"/>
      <c r="N56" s="9"/>
    </row>
    <row r="57" spans="1:14">
      <c r="A57" s="1" t="s">
        <v>68</v>
      </c>
      <c r="B57" s="1"/>
      <c r="C57" s="1"/>
      <c r="D57" s="1"/>
      <c r="E57" s="1"/>
      <c r="F57" s="1"/>
      <c r="G57" s="1"/>
      <c r="H57" s="1"/>
      <c r="I57" s="1"/>
      <c r="J57" s="1"/>
      <c r="K57" s="1"/>
      <c r="L57" s="14"/>
      <c r="M57" s="9"/>
      <c r="N57" s="9"/>
    </row>
    <row r="58" spans="1:14">
      <c r="A58" s="1" t="s">
        <v>69</v>
      </c>
      <c r="B58" s="1"/>
      <c r="C58" s="1"/>
      <c r="D58" s="1"/>
      <c r="E58" s="1"/>
      <c r="F58" s="1"/>
      <c r="G58" s="1"/>
      <c r="H58" s="1"/>
      <c r="I58" s="1"/>
      <c r="J58" s="1"/>
      <c r="K58" s="1"/>
      <c r="L58" s="14"/>
      <c r="M58" s="9"/>
      <c r="N58" s="9"/>
    </row>
    <row r="59" spans="1:14">
      <c r="A59" s="1" t="s">
        <v>70</v>
      </c>
      <c r="B59" s="1"/>
      <c r="C59" s="1"/>
      <c r="D59" s="1"/>
      <c r="E59" s="1"/>
      <c r="F59" s="1"/>
      <c r="G59" s="1"/>
      <c r="H59" s="1"/>
      <c r="I59" s="1"/>
      <c r="J59" s="1"/>
      <c r="K59" s="1"/>
      <c r="L59" s="14"/>
      <c r="M59" s="9"/>
      <c r="N59" s="9"/>
    </row>
    <row r="60" spans="1:14">
      <c r="A60" s="1"/>
      <c r="B60" s="1"/>
      <c r="C60" s="1"/>
      <c r="D60" s="1"/>
      <c r="E60" s="1"/>
      <c r="F60" s="1"/>
      <c r="G60" s="1"/>
      <c r="H60" s="1"/>
      <c r="I60" s="1"/>
      <c r="J60" s="1"/>
      <c r="K60" s="1"/>
      <c r="L60" s="14"/>
      <c r="M60" s="9"/>
      <c r="N60" s="9"/>
    </row>
    <row r="61" spans="1:14">
      <c r="A61" s="1" t="s">
        <v>71</v>
      </c>
      <c r="B61" s="1"/>
      <c r="C61" s="1"/>
      <c r="D61" s="1"/>
      <c r="E61" s="1"/>
      <c r="F61" s="1"/>
      <c r="G61" s="1"/>
      <c r="H61" s="1"/>
      <c r="I61" s="1"/>
      <c r="J61" s="1"/>
      <c r="K61" s="1"/>
      <c r="L61" s="14"/>
      <c r="M61" s="9"/>
      <c r="N61" s="9"/>
    </row>
    <row r="62" spans="1:14">
      <c r="A62" s="1"/>
      <c r="B62" s="1"/>
      <c r="C62" s="1"/>
      <c r="D62" s="1"/>
      <c r="E62" s="1"/>
      <c r="F62" s="1"/>
      <c r="G62" s="1"/>
      <c r="H62" s="1"/>
      <c r="I62" s="1"/>
      <c r="J62" s="1"/>
      <c r="K62" s="1"/>
      <c r="L62" s="14"/>
      <c r="M62" s="9"/>
      <c r="N62" s="9"/>
    </row>
    <row r="64" spans="1:14">
      <c r="A64" s="17" t="s">
        <v>25</v>
      </c>
      <c r="B64" s="1" t="s">
        <v>72</v>
      </c>
      <c r="C64" s="1"/>
      <c r="D64" s="1"/>
      <c r="E64" s="1"/>
      <c r="F64" s="1"/>
      <c r="G64" s="1"/>
      <c r="H64" s="1"/>
      <c r="I64" s="1"/>
      <c r="J64" s="1"/>
      <c r="K64" s="1"/>
      <c r="L64" s="1"/>
    </row>
    <row r="65" spans="1:13">
      <c r="A65" s="17"/>
      <c r="B65" s="1"/>
      <c r="C65" s="1"/>
      <c r="D65" s="1"/>
      <c r="E65" s="1"/>
      <c r="F65" s="1"/>
      <c r="G65" s="1"/>
      <c r="H65" s="1"/>
      <c r="I65" s="1"/>
      <c r="J65" s="1"/>
      <c r="K65" s="1"/>
      <c r="L65" s="1"/>
    </row>
    <row r="66" spans="1:13">
      <c r="A66" s="17"/>
      <c r="B66" s="43" t="s">
        <v>73</v>
      </c>
      <c r="C66" s="1" t="s">
        <v>74</v>
      </c>
      <c r="D66" s="1"/>
      <c r="E66" s="1"/>
      <c r="F66" s="1"/>
      <c r="G66" s="1"/>
      <c r="H66" s="1"/>
      <c r="I66" s="1"/>
      <c r="J66" s="1"/>
      <c r="K66" s="1"/>
      <c r="L66" s="1"/>
    </row>
    <row r="67" spans="1:13">
      <c r="A67" s="17"/>
      <c r="B67" s="43" t="s">
        <v>75</v>
      </c>
      <c r="C67" s="1" t="s">
        <v>76</v>
      </c>
      <c r="D67" s="1"/>
      <c r="E67" s="1"/>
      <c r="F67" s="1"/>
      <c r="G67" s="1"/>
      <c r="H67" s="1"/>
      <c r="I67" s="1"/>
      <c r="J67" s="1"/>
      <c r="K67" s="1"/>
      <c r="L67" s="1"/>
    </row>
    <row r="68" spans="1:13">
      <c r="A68" s="17"/>
      <c r="B68" s="43" t="s">
        <v>77</v>
      </c>
      <c r="C68" s="1" t="s">
        <v>78</v>
      </c>
      <c r="D68" s="1"/>
      <c r="E68" s="1"/>
      <c r="F68" s="1"/>
      <c r="G68" s="1"/>
      <c r="H68" s="1"/>
      <c r="I68" s="1"/>
      <c r="J68" s="1"/>
      <c r="K68" s="1"/>
      <c r="L68" s="1"/>
    </row>
    <row r="69" spans="1:13">
      <c r="A69" s="17"/>
      <c r="B69" s="43" t="s">
        <v>79</v>
      </c>
      <c r="C69" s="1" t="s">
        <v>80</v>
      </c>
      <c r="D69" s="1"/>
      <c r="E69" s="1"/>
      <c r="F69" s="1"/>
      <c r="G69" s="1"/>
      <c r="H69" s="1"/>
      <c r="I69" s="1"/>
      <c r="J69" s="1"/>
      <c r="K69" s="1"/>
      <c r="L69" s="1"/>
    </row>
    <row r="70" spans="1:13">
      <c r="A70" s="14"/>
      <c r="B70" s="14"/>
      <c r="C70" s="14"/>
      <c r="D70" s="14"/>
      <c r="E70" s="14"/>
      <c r="F70" s="14"/>
      <c r="G70" s="1"/>
      <c r="H70" s="1"/>
      <c r="I70" s="1"/>
      <c r="J70" s="1"/>
      <c r="K70" s="1"/>
      <c r="L70" s="1"/>
    </row>
    <row r="71" spans="1:13">
      <c r="A71" s="3"/>
      <c r="B71" s="3"/>
      <c r="C71" s="3"/>
      <c r="D71" s="3"/>
      <c r="E71" s="3"/>
      <c r="F71" s="3"/>
      <c r="G71" s="3"/>
      <c r="H71" s="3"/>
      <c r="I71" s="3"/>
      <c r="J71" s="3"/>
      <c r="K71" s="3"/>
      <c r="L71" s="3"/>
    </row>
    <row r="72" spans="1:13">
      <c r="A72" s="3" t="s">
        <v>20</v>
      </c>
      <c r="B72" s="3"/>
      <c r="C72" s="3"/>
      <c r="D72" s="3"/>
      <c r="E72" s="3"/>
      <c r="F72" s="3"/>
      <c r="G72" s="3"/>
      <c r="H72" s="3"/>
      <c r="I72" s="3"/>
      <c r="J72" s="3"/>
      <c r="K72" s="3"/>
      <c r="L72" s="3"/>
    </row>
    <row r="73" spans="1:13">
      <c r="A73" s="3"/>
      <c r="B73" s="3"/>
      <c r="C73" s="3"/>
      <c r="D73" s="3"/>
      <c r="E73" s="3"/>
      <c r="F73" s="3"/>
      <c r="G73" s="3"/>
      <c r="H73" s="3"/>
      <c r="I73" s="3"/>
      <c r="J73" s="3"/>
      <c r="K73" s="3"/>
      <c r="L73" s="3"/>
    </row>
    <row r="74" spans="1:13">
      <c r="A74" s="3"/>
      <c r="B74" s="3" t="s">
        <v>73</v>
      </c>
      <c r="C74" s="3" t="s">
        <v>81</v>
      </c>
      <c r="D74" s="3"/>
      <c r="E74" s="3"/>
      <c r="F74" s="3"/>
      <c r="G74" s="3"/>
      <c r="H74" s="3"/>
      <c r="I74" s="3"/>
      <c r="J74" s="3"/>
      <c r="K74" s="3"/>
      <c r="L74" s="3"/>
    </row>
    <row r="75" spans="1:13">
      <c r="A75" s="3"/>
      <c r="B75" s="3"/>
      <c r="C75" s="3"/>
      <c r="D75" s="3"/>
      <c r="E75" s="3"/>
      <c r="F75" s="3"/>
      <c r="G75" s="3"/>
      <c r="H75" s="3"/>
      <c r="I75" s="3"/>
      <c r="J75" s="3"/>
      <c r="K75" s="3"/>
      <c r="L75" s="3"/>
    </row>
    <row r="76" spans="1:13">
      <c r="B76" s="2" t="s">
        <v>75</v>
      </c>
      <c r="C76" s="2" t="s">
        <v>82</v>
      </c>
      <c r="M76" s="3"/>
    </row>
    <row r="77" spans="1:13">
      <c r="M77" s="3"/>
    </row>
    <row r="78" spans="1:13">
      <c r="B78" s="2" t="s">
        <v>77</v>
      </c>
      <c r="C78" s="2" t="s">
        <v>83</v>
      </c>
    </row>
    <row r="80" spans="1:13">
      <c r="B80" s="2" t="s">
        <v>79</v>
      </c>
      <c r="C80" s="2" t="s">
        <v>84</v>
      </c>
    </row>
  </sheetData>
  <mergeCells count="7">
    <mergeCell ref="C48:D48"/>
    <mergeCell ref="E48:F48"/>
    <mergeCell ref="C10:C11"/>
    <mergeCell ref="D10:E10"/>
    <mergeCell ref="C21:H21"/>
    <mergeCell ref="D35:E35"/>
    <mergeCell ref="C47:F47"/>
  </mergeCells>
  <hyperlinks>
    <hyperlink ref="O1" location="TOC!A1" display="Table of Contents" xr:uid="{2C7F81BE-1B55-4872-A9E4-EF91FA86C7C9}"/>
  </hyperlinks>
  <pageMargins left="0.7" right="0.7" top="0.75" bottom="0.75" header="0.3" footer="0.3"/>
  <pageSetup scale="66"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D308-E3B6-4F15-B15D-F379CBB18182}">
  <dimension ref="A1:R64"/>
  <sheetViews>
    <sheetView zoomScaleNormal="100" workbookViewId="0"/>
  </sheetViews>
  <sheetFormatPr defaultColWidth="8.88671875" defaultRowHeight="15.6"/>
  <cols>
    <col min="1" max="1" width="8.88671875" style="2" customWidth="1"/>
    <col min="2" max="2" width="12.6640625" style="2" customWidth="1"/>
    <col min="3" max="5" width="15.33203125" style="2" customWidth="1"/>
    <col min="6" max="6" width="12.6640625" style="2" customWidth="1"/>
    <col min="7" max="7" width="11.21875" style="2" customWidth="1"/>
    <col min="8" max="8" width="11.109375" style="2" customWidth="1"/>
    <col min="9" max="16384" width="8.88671875" style="2"/>
  </cols>
  <sheetData>
    <row r="1" spans="1:15" ht="17.399999999999999">
      <c r="A1" s="13" t="s">
        <v>1067</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575</v>
      </c>
      <c r="B3" s="1"/>
      <c r="C3" s="1"/>
      <c r="D3" s="1"/>
      <c r="E3" s="1"/>
      <c r="F3" s="1"/>
      <c r="G3" s="1"/>
      <c r="H3" s="1"/>
      <c r="I3" s="1"/>
      <c r="J3" s="1"/>
      <c r="K3" s="1"/>
      <c r="L3" s="14"/>
    </row>
    <row r="4" spans="1:15">
      <c r="A4" s="43"/>
      <c r="B4" s="1"/>
      <c r="C4" s="1"/>
      <c r="D4" s="1"/>
      <c r="E4" s="1"/>
      <c r="F4" s="1"/>
      <c r="G4" s="1"/>
      <c r="H4" s="1"/>
      <c r="I4" s="1"/>
      <c r="J4" s="1"/>
      <c r="K4" s="1"/>
      <c r="L4" s="1"/>
    </row>
    <row r="5" spans="1:15">
      <c r="A5" s="43"/>
      <c r="B5" s="23"/>
      <c r="C5" s="894" t="s">
        <v>4</v>
      </c>
      <c r="D5" s="811" t="s">
        <v>880</v>
      </c>
      <c r="E5" s="845" t="s">
        <v>881</v>
      </c>
      <c r="F5" s="879"/>
      <c r="G5" s="1"/>
      <c r="H5" s="1"/>
      <c r="I5" s="1"/>
      <c r="J5" s="1"/>
      <c r="K5" s="1"/>
      <c r="L5" s="1"/>
    </row>
    <row r="6" spans="1:15">
      <c r="A6" s="43"/>
      <c r="B6" s="40" t="s">
        <v>53</v>
      </c>
      <c r="C6" s="894"/>
      <c r="D6" s="811"/>
      <c r="E6" s="880" t="s">
        <v>882</v>
      </c>
      <c r="F6" s="882"/>
      <c r="G6" s="1"/>
      <c r="H6" s="1"/>
      <c r="I6" s="1"/>
      <c r="J6" s="1"/>
      <c r="K6" s="1"/>
      <c r="L6" s="1"/>
    </row>
    <row r="7" spans="1:15">
      <c r="A7" s="43"/>
      <c r="B7" s="24" t="s">
        <v>55</v>
      </c>
      <c r="C7" s="894"/>
      <c r="D7" s="829"/>
      <c r="E7" s="24" t="s">
        <v>124</v>
      </c>
      <c r="F7" s="24" t="s">
        <v>304</v>
      </c>
      <c r="G7" s="1"/>
      <c r="H7" s="1"/>
      <c r="I7" s="1"/>
      <c r="J7" s="1"/>
      <c r="K7" s="1"/>
      <c r="L7" s="1"/>
    </row>
    <row r="8" spans="1:15">
      <c r="A8" s="43"/>
      <c r="B8" s="25">
        <v>2014</v>
      </c>
      <c r="C8" s="7">
        <v>8184</v>
      </c>
      <c r="D8" s="7">
        <v>10004008</v>
      </c>
      <c r="E8" s="7">
        <v>10004008</v>
      </c>
      <c r="F8" s="6">
        <v>347</v>
      </c>
      <c r="G8" s="1"/>
      <c r="H8" s="1"/>
      <c r="I8" s="1"/>
      <c r="J8" s="1"/>
      <c r="K8" s="1"/>
      <c r="L8" s="1"/>
    </row>
    <row r="9" spans="1:15">
      <c r="A9" s="1"/>
      <c r="B9" s="6">
        <v>2015</v>
      </c>
      <c r="C9" s="7">
        <v>8526</v>
      </c>
      <c r="D9" s="7">
        <v>10840679</v>
      </c>
      <c r="E9" s="7">
        <v>10924953</v>
      </c>
      <c r="F9" s="6">
        <v>364</v>
      </c>
      <c r="G9" s="1"/>
      <c r="H9" s="1"/>
      <c r="I9" s="1"/>
      <c r="J9" s="1"/>
      <c r="K9" s="1"/>
      <c r="L9" s="1"/>
    </row>
    <row r="10" spans="1:15">
      <c r="A10" s="1"/>
      <c r="B10" s="6">
        <v>2016</v>
      </c>
      <c r="C10" s="7">
        <v>8548</v>
      </c>
      <c r="D10" s="7">
        <v>11298364</v>
      </c>
      <c r="E10" s="7">
        <v>11580235</v>
      </c>
      <c r="F10" s="6">
        <v>367</v>
      </c>
      <c r="G10" s="1"/>
      <c r="H10" s="1"/>
      <c r="I10" s="1"/>
      <c r="J10" s="1"/>
      <c r="K10" s="1"/>
      <c r="L10" s="1"/>
    </row>
    <row r="11" spans="1:15">
      <c r="A11" s="43"/>
      <c r="B11" s="6">
        <v>2017</v>
      </c>
      <c r="C11" s="7">
        <v>8903</v>
      </c>
      <c r="D11" s="7">
        <v>12069806</v>
      </c>
      <c r="E11" s="7">
        <v>12667017</v>
      </c>
      <c r="F11" s="6">
        <v>384</v>
      </c>
      <c r="G11" s="1"/>
      <c r="H11" s="1"/>
      <c r="I11" s="1"/>
      <c r="J11" s="1"/>
      <c r="K11" s="1"/>
      <c r="L11" s="1"/>
    </row>
    <row r="12" spans="1:15">
      <c r="A12" s="1"/>
      <c r="B12" s="6">
        <v>2018</v>
      </c>
      <c r="C12" s="7">
        <v>9147</v>
      </c>
      <c r="D12" s="7">
        <v>12334362</v>
      </c>
      <c r="E12" s="7">
        <v>13668559</v>
      </c>
      <c r="F12" s="6">
        <v>399</v>
      </c>
      <c r="G12" s="1"/>
      <c r="H12" s="1"/>
      <c r="I12" s="1"/>
      <c r="J12" s="1"/>
      <c r="K12" s="1"/>
      <c r="L12" s="1"/>
    </row>
    <row r="13" spans="1:15">
      <c r="A13" s="1"/>
      <c r="B13" s="6">
        <v>2019</v>
      </c>
      <c r="C13" s="7">
        <v>9365</v>
      </c>
      <c r="D13" s="7">
        <v>11346431</v>
      </c>
      <c r="E13" s="7">
        <v>14692016</v>
      </c>
      <c r="F13" s="6">
        <v>407</v>
      </c>
      <c r="G13" s="1"/>
      <c r="H13" s="1"/>
      <c r="I13" s="1"/>
      <c r="J13" s="1"/>
      <c r="K13" s="1"/>
      <c r="L13" s="1"/>
    </row>
    <row r="14" spans="1:15">
      <c r="A14" s="1"/>
      <c r="B14" s="6">
        <v>2020</v>
      </c>
      <c r="C14" s="7">
        <v>9542</v>
      </c>
      <c r="D14" s="7">
        <v>5778161</v>
      </c>
      <c r="E14" s="7">
        <v>16270027</v>
      </c>
      <c r="F14" s="6">
        <v>436</v>
      </c>
      <c r="G14" s="1"/>
      <c r="H14" s="1"/>
      <c r="I14" s="1"/>
      <c r="J14" s="1"/>
      <c r="K14" s="1"/>
      <c r="L14" s="1"/>
    </row>
    <row r="15" spans="1:15">
      <c r="A15" s="1"/>
      <c r="B15" s="1"/>
      <c r="C15" s="1"/>
      <c r="D15" s="1"/>
      <c r="E15" s="1"/>
      <c r="F15" s="1"/>
      <c r="G15" s="1"/>
      <c r="H15" s="1"/>
      <c r="I15" s="1"/>
      <c r="J15" s="1"/>
      <c r="K15" s="1"/>
      <c r="L15" s="1"/>
    </row>
    <row r="16" spans="1:15">
      <c r="A16" s="397" t="s">
        <v>883</v>
      </c>
      <c r="B16" s="1" t="s">
        <v>884</v>
      </c>
      <c r="C16" s="1"/>
      <c r="D16" s="1"/>
      <c r="E16" s="1"/>
      <c r="F16" s="1"/>
      <c r="G16" s="1"/>
      <c r="H16" s="1"/>
      <c r="I16" s="1"/>
      <c r="J16" s="1"/>
      <c r="K16" s="1"/>
      <c r="L16" s="1"/>
    </row>
    <row r="17" spans="1:18">
      <c r="A17" s="1"/>
      <c r="B17" s="1" t="s">
        <v>885</v>
      </c>
      <c r="C17" s="1"/>
      <c r="D17" s="398">
        <v>4.7E-2</v>
      </c>
      <c r="E17" s="1"/>
      <c r="F17" s="1"/>
      <c r="G17" s="1"/>
      <c r="H17" s="1"/>
      <c r="I17" s="1"/>
      <c r="J17" s="1"/>
      <c r="K17" s="1"/>
      <c r="L17" s="1"/>
    </row>
    <row r="18" spans="1:18">
      <c r="A18" s="1"/>
      <c r="B18" s="1" t="s">
        <v>886</v>
      </c>
      <c r="C18" s="1"/>
      <c r="D18" s="398">
        <v>5.0000000000000001E-3</v>
      </c>
      <c r="E18" s="1"/>
      <c r="F18" s="1"/>
      <c r="G18" s="1"/>
      <c r="H18" s="1"/>
      <c r="I18" s="1"/>
      <c r="J18" s="1"/>
      <c r="K18" s="1"/>
      <c r="L18" s="1"/>
    </row>
    <row r="19" spans="1:18">
      <c r="A19" s="397" t="s">
        <v>883</v>
      </c>
      <c r="B19" s="831" t="s">
        <v>887</v>
      </c>
      <c r="C19" s="831"/>
      <c r="D19" s="831"/>
      <c r="E19" s="831"/>
      <c r="F19" s="831"/>
      <c r="G19" s="831"/>
      <c r="H19" s="831"/>
      <c r="I19" s="831"/>
      <c r="J19" s="831"/>
      <c r="K19" s="831"/>
      <c r="L19" s="1"/>
    </row>
    <row r="20" spans="1:18">
      <c r="A20" s="1"/>
      <c r="B20" s="831"/>
      <c r="C20" s="831"/>
      <c r="D20" s="831"/>
      <c r="E20" s="831"/>
      <c r="F20" s="831"/>
      <c r="G20" s="831"/>
      <c r="H20" s="831"/>
      <c r="I20" s="831"/>
      <c r="J20" s="831"/>
      <c r="K20" s="831"/>
      <c r="L20" s="1"/>
    </row>
    <row r="21" spans="1:18">
      <c r="A21" s="1"/>
      <c r="B21" s="1"/>
      <c r="C21" s="1"/>
      <c r="D21" s="1"/>
      <c r="E21" s="1"/>
      <c r="F21" s="1"/>
      <c r="G21" s="1"/>
      <c r="H21" s="1"/>
      <c r="I21" s="1"/>
      <c r="J21" s="1"/>
      <c r="K21" s="1"/>
      <c r="L21" s="1"/>
    </row>
    <row r="23" spans="1:18">
      <c r="A23" s="17" t="s">
        <v>91</v>
      </c>
      <c r="B23" s="831" t="s">
        <v>888</v>
      </c>
      <c r="C23" s="831"/>
      <c r="D23" s="831"/>
      <c r="E23" s="831"/>
      <c r="F23" s="831"/>
      <c r="G23" s="831"/>
      <c r="H23" s="831"/>
      <c r="I23" s="831"/>
      <c r="J23" s="831"/>
      <c r="K23" s="831"/>
      <c r="L23" s="1"/>
      <c r="M23" s="9"/>
      <c r="N23" s="9"/>
      <c r="O23" s="9"/>
      <c r="P23" s="9"/>
      <c r="Q23" s="9"/>
      <c r="R23" s="9"/>
    </row>
    <row r="24" spans="1:18">
      <c r="A24" s="17"/>
      <c r="B24" s="831"/>
      <c r="C24" s="831"/>
      <c r="D24" s="831"/>
      <c r="E24" s="831"/>
      <c r="F24" s="831"/>
      <c r="G24" s="831"/>
      <c r="H24" s="831"/>
      <c r="I24" s="831"/>
      <c r="J24" s="831"/>
      <c r="K24" s="831"/>
      <c r="L24" s="1"/>
      <c r="M24" s="9"/>
      <c r="N24" s="9"/>
      <c r="O24" s="9"/>
      <c r="P24" s="9"/>
      <c r="Q24" s="9"/>
      <c r="R24" s="9"/>
    </row>
    <row r="25" spans="1:18">
      <c r="A25" s="14"/>
      <c r="B25" s="14"/>
      <c r="C25" s="14"/>
      <c r="D25" s="14"/>
      <c r="E25" s="14"/>
      <c r="F25" s="14"/>
      <c r="G25" s="1"/>
      <c r="H25" s="1"/>
      <c r="I25" s="1"/>
      <c r="J25" s="1"/>
      <c r="K25" s="1"/>
      <c r="L25" s="1"/>
    </row>
    <row r="26" spans="1:18">
      <c r="A26" s="3"/>
      <c r="B26" s="3"/>
      <c r="C26" s="3"/>
      <c r="D26" s="3"/>
      <c r="E26" s="3"/>
      <c r="F26" s="3"/>
      <c r="G26" s="3"/>
      <c r="H26" s="3"/>
      <c r="I26" s="3"/>
      <c r="J26" s="3"/>
      <c r="K26" s="3"/>
      <c r="L26" s="3"/>
      <c r="M26" s="3"/>
    </row>
    <row r="27" spans="1:18">
      <c r="A27" s="3" t="s">
        <v>20</v>
      </c>
      <c r="B27" s="3"/>
      <c r="C27" s="3"/>
      <c r="D27" s="3"/>
      <c r="E27" s="3"/>
      <c r="F27" s="3"/>
      <c r="G27" s="3"/>
      <c r="H27" s="3"/>
      <c r="I27" s="3"/>
      <c r="J27" s="3"/>
      <c r="K27" s="3"/>
      <c r="L27" s="3"/>
      <c r="M27" s="3"/>
      <c r="N27" s="9"/>
    </row>
    <row r="28" spans="1:18" ht="46.8">
      <c r="A28" s="3"/>
      <c r="B28" s="36" t="s">
        <v>642</v>
      </c>
      <c r="C28" s="35" t="s">
        <v>889</v>
      </c>
      <c r="D28" s="35" t="s">
        <v>512</v>
      </c>
      <c r="E28" s="36" t="s">
        <v>890</v>
      </c>
      <c r="F28" s="36" t="s">
        <v>891</v>
      </c>
      <c r="G28" s="36" t="s">
        <v>892</v>
      </c>
      <c r="H28" s="36" t="s">
        <v>518</v>
      </c>
      <c r="I28" s="36" t="s">
        <v>526</v>
      </c>
      <c r="N28" s="9"/>
    </row>
    <row r="29" spans="1:18">
      <c r="A29" s="3"/>
      <c r="B29" s="34">
        <v>2014</v>
      </c>
      <c r="C29" s="399">
        <f t="shared" ref="C29:C35" si="0">F8/C8</f>
        <v>4.2399804496578687E-2</v>
      </c>
      <c r="D29" s="37">
        <f t="shared" ref="D29:D35" si="1">E8/F8</f>
        <v>28829.994236311239</v>
      </c>
      <c r="E29" s="399">
        <f t="shared" ref="E29:E33" si="2">E30*(1+$D$18)</f>
        <v>1.0303775093937648</v>
      </c>
      <c r="F29" s="399">
        <f t="shared" ref="F29:F33" si="3">F30*(1+$D$17)</f>
        <v>1.3172860420642567</v>
      </c>
      <c r="G29" s="264">
        <v>1.06</v>
      </c>
      <c r="H29" s="399">
        <f>C29*E29*G29</f>
        <v>4.6309073253325332E-2</v>
      </c>
      <c r="I29" s="37">
        <f t="shared" ref="I29:I35" si="4">D29*F29</f>
        <v>37977.349000285765</v>
      </c>
      <c r="N29" s="9"/>
      <c r="O29" s="399"/>
      <c r="P29" s="37"/>
    </row>
    <row r="30" spans="1:18">
      <c r="A30" s="3"/>
      <c r="B30" s="34">
        <v>2015</v>
      </c>
      <c r="C30" s="399">
        <f t="shared" si="0"/>
        <v>4.2692939244663386E-2</v>
      </c>
      <c r="D30" s="37">
        <f t="shared" si="1"/>
        <v>30013.607142857141</v>
      </c>
      <c r="E30" s="399">
        <f t="shared" si="2"/>
        <v>1.0252512531281244</v>
      </c>
      <c r="F30" s="399">
        <f t="shared" si="3"/>
        <v>1.2581528577500065</v>
      </c>
      <c r="G30" s="264">
        <f>G29</f>
        <v>1.06</v>
      </c>
      <c r="H30" s="399">
        <f t="shared" ref="H30:H35" si="5">C30*E30*G30</f>
        <v>4.6397248827932863E-2</v>
      </c>
      <c r="I30" s="37">
        <f t="shared" si="4"/>
        <v>37761.70559817172</v>
      </c>
      <c r="N30" s="9"/>
      <c r="O30" s="399"/>
      <c r="P30" s="37"/>
    </row>
    <row r="31" spans="1:18">
      <c r="A31" s="3"/>
      <c r="B31" s="34">
        <v>2016</v>
      </c>
      <c r="C31" s="399">
        <f t="shared" si="0"/>
        <v>4.2934019653720165E-2</v>
      </c>
      <c r="D31" s="37">
        <f t="shared" si="1"/>
        <v>31553.773841961854</v>
      </c>
      <c r="E31" s="399">
        <f t="shared" si="2"/>
        <v>1.0201505006249996</v>
      </c>
      <c r="F31" s="399">
        <f t="shared" si="3"/>
        <v>1.2016741716809995</v>
      </c>
      <c r="G31" s="264">
        <f t="shared" ref="G31:G34" si="6">G30</f>
        <v>1.06</v>
      </c>
      <c r="H31" s="399">
        <f t="shared" si="5"/>
        <v>4.6427111342201371E-2</v>
      </c>
      <c r="I31" s="37">
        <f t="shared" si="4"/>
        <v>37917.355044949101</v>
      </c>
      <c r="N31" s="9"/>
      <c r="O31" s="399"/>
      <c r="P31" s="37"/>
    </row>
    <row r="32" spans="1:18">
      <c r="A32" s="3"/>
      <c r="B32" s="34">
        <v>2017</v>
      </c>
      <c r="C32" s="399">
        <f t="shared" si="0"/>
        <v>4.3131528698191618E-2</v>
      </c>
      <c r="D32" s="37">
        <f t="shared" si="1"/>
        <v>32987.0234375</v>
      </c>
      <c r="E32" s="399">
        <f t="shared" si="2"/>
        <v>1.0150751249999996</v>
      </c>
      <c r="F32" s="399">
        <f t="shared" si="3"/>
        <v>1.1477308229999996</v>
      </c>
      <c r="G32" s="264">
        <f t="shared" si="6"/>
        <v>1.06</v>
      </c>
      <c r="H32" s="399">
        <f t="shared" si="5"/>
        <v>4.6408646397843402E-2</v>
      </c>
      <c r="I32" s="37">
        <f t="shared" si="4"/>
        <v>37860.223558242149</v>
      </c>
      <c r="N32" s="9"/>
      <c r="O32" s="399"/>
      <c r="P32" s="37"/>
    </row>
    <row r="33" spans="1:16">
      <c r="A33" s="3"/>
      <c r="B33" s="34">
        <v>2018</v>
      </c>
      <c r="C33" s="399">
        <f t="shared" si="0"/>
        <v>4.3620859298130532E-2</v>
      </c>
      <c r="D33" s="37">
        <f t="shared" si="1"/>
        <v>34257.040100250626</v>
      </c>
      <c r="E33" s="399">
        <f t="shared" si="2"/>
        <v>1.0100249999999997</v>
      </c>
      <c r="F33" s="399">
        <f t="shared" si="3"/>
        <v>1.0962089999999998</v>
      </c>
      <c r="G33" s="264">
        <f t="shared" si="6"/>
        <v>1.06</v>
      </c>
      <c r="H33" s="399">
        <f t="shared" si="5"/>
        <v>4.6701647917349938E-2</v>
      </c>
      <c r="I33" s="37">
        <f t="shared" si="4"/>
        <v>37552.875671255628</v>
      </c>
      <c r="N33" s="9"/>
      <c r="O33" s="399"/>
      <c r="P33" s="37"/>
    </row>
    <row r="34" spans="1:16">
      <c r="A34" s="3"/>
      <c r="B34" s="34">
        <v>2019</v>
      </c>
      <c r="C34" s="399">
        <f t="shared" si="0"/>
        <v>4.3459690336358783E-2</v>
      </c>
      <c r="D34" s="37">
        <f t="shared" si="1"/>
        <v>36098.319410319411</v>
      </c>
      <c r="E34" s="399">
        <f>E35*(1+$D$18)</f>
        <v>1.0049999999999999</v>
      </c>
      <c r="F34" s="399">
        <f>F35*(1+$D$17)</f>
        <v>1.0469999999999999</v>
      </c>
      <c r="G34" s="264">
        <f t="shared" si="6"/>
        <v>1.06</v>
      </c>
      <c r="H34" s="399">
        <f t="shared" si="5"/>
        <v>4.6297608115323005E-2</v>
      </c>
      <c r="I34" s="37">
        <f t="shared" si="4"/>
        <v>37794.940422604421</v>
      </c>
      <c r="N34" s="9"/>
      <c r="O34" s="399"/>
      <c r="P34" s="37"/>
    </row>
    <row r="35" spans="1:16">
      <c r="B35" s="35">
        <v>2020</v>
      </c>
      <c r="C35" s="400">
        <f t="shared" si="0"/>
        <v>4.5692726891636976E-2</v>
      </c>
      <c r="D35" s="38">
        <f t="shared" si="1"/>
        <v>37316.575688073397</v>
      </c>
      <c r="E35" s="400">
        <v>1</v>
      </c>
      <c r="F35" s="400">
        <v>1</v>
      </c>
      <c r="G35" s="401">
        <v>1</v>
      </c>
      <c r="H35" s="400">
        <f t="shared" si="5"/>
        <v>4.5692726891636976E-2</v>
      </c>
      <c r="I35" s="38">
        <f t="shared" si="4"/>
        <v>37316.575688073397</v>
      </c>
      <c r="N35" s="9"/>
      <c r="O35" s="399"/>
      <c r="P35" s="37"/>
    </row>
    <row r="36" spans="1:16">
      <c r="F36" s="893" t="s">
        <v>893</v>
      </c>
      <c r="G36" s="893"/>
      <c r="H36" s="399">
        <f>AVERAGE(H29:H35)</f>
        <v>4.6319151820801832E-2</v>
      </c>
      <c r="I36" s="37">
        <f>AVERAGE(I29:I35)</f>
        <v>37740.146426226027</v>
      </c>
      <c r="N36" s="9"/>
      <c r="O36" s="399"/>
      <c r="P36" s="37"/>
    </row>
    <row r="37" spans="1:16">
      <c r="F37" s="893" t="s">
        <v>894</v>
      </c>
      <c r="G37" s="893"/>
      <c r="H37" s="399">
        <f>AVERAGE(H29:H34)</f>
        <v>4.6423555975662646E-2</v>
      </c>
      <c r="I37" s="37">
        <f>AVERAGE(I29:I34)</f>
        <v>37810.741549251463</v>
      </c>
      <c r="N37" s="9"/>
      <c r="O37" s="399"/>
      <c r="P37" s="37"/>
    </row>
    <row r="38" spans="1:16">
      <c r="B38" s="2" t="s">
        <v>895</v>
      </c>
      <c r="D38" s="89">
        <f>H36</f>
        <v>4.6319151820801832E-2</v>
      </c>
      <c r="E38" s="2" t="s">
        <v>896</v>
      </c>
      <c r="I38" s="9"/>
      <c r="N38" s="9"/>
    </row>
    <row r="39" spans="1:16">
      <c r="B39" s="2" t="s">
        <v>897</v>
      </c>
      <c r="D39" s="83">
        <f>I36</f>
        <v>37740.146426226027</v>
      </c>
      <c r="E39" s="2" t="s">
        <v>898</v>
      </c>
      <c r="M39" s="9"/>
      <c r="N39" s="9"/>
    </row>
    <row r="40" spans="1:16">
      <c r="M40" s="9"/>
      <c r="N40" s="9"/>
    </row>
    <row r="41" spans="1:16">
      <c r="B41" s="2" t="s">
        <v>899</v>
      </c>
      <c r="D41" s="83">
        <f>D39*D38*C14</f>
        <v>16680289.78055506</v>
      </c>
      <c r="M41" s="9"/>
      <c r="N41" s="9"/>
    </row>
    <row r="42" spans="1:16">
      <c r="M42" s="9"/>
      <c r="N42" s="9"/>
    </row>
    <row r="44" spans="1:16">
      <c r="A44" s="17" t="s">
        <v>133</v>
      </c>
      <c r="B44" s="831" t="s">
        <v>900</v>
      </c>
      <c r="C44" s="831"/>
      <c r="D44" s="831"/>
      <c r="E44" s="831"/>
      <c r="F44" s="831"/>
      <c r="G44" s="831"/>
      <c r="H44" s="831"/>
      <c r="I44" s="831"/>
      <c r="J44" s="831"/>
      <c r="K44" s="831"/>
      <c r="L44" s="1"/>
    </row>
    <row r="45" spans="1:16">
      <c r="A45" s="17"/>
      <c r="B45" s="831"/>
      <c r="C45" s="831"/>
      <c r="D45" s="831"/>
      <c r="E45" s="831"/>
      <c r="F45" s="831"/>
      <c r="G45" s="831"/>
      <c r="H45" s="831"/>
      <c r="I45" s="831"/>
      <c r="J45" s="831"/>
      <c r="K45" s="831"/>
      <c r="L45" s="1"/>
    </row>
    <row r="46" spans="1:16">
      <c r="A46" s="14"/>
      <c r="B46" s="14"/>
      <c r="C46" s="14"/>
      <c r="D46" s="14"/>
      <c r="E46" s="14"/>
      <c r="F46" s="14"/>
      <c r="G46" s="1"/>
      <c r="H46" s="1"/>
      <c r="I46" s="1"/>
      <c r="J46" s="1"/>
      <c r="K46" s="1"/>
      <c r="L46" s="1"/>
    </row>
    <row r="47" spans="1:16">
      <c r="A47" s="3"/>
      <c r="B47" s="3"/>
      <c r="C47" s="3"/>
      <c r="D47" s="3"/>
      <c r="E47" s="3"/>
      <c r="F47" s="3"/>
      <c r="G47" s="3"/>
      <c r="H47" s="3"/>
      <c r="I47" s="3"/>
      <c r="J47" s="3"/>
      <c r="K47" s="3"/>
      <c r="L47" s="3"/>
    </row>
    <row r="48" spans="1:16">
      <c r="A48" s="3" t="s">
        <v>20</v>
      </c>
      <c r="B48" s="3"/>
      <c r="C48" s="3"/>
      <c r="D48" s="3"/>
      <c r="E48" s="3"/>
      <c r="F48" s="3"/>
      <c r="G48" s="3"/>
      <c r="H48" s="3"/>
      <c r="I48" s="3"/>
      <c r="J48" s="3"/>
      <c r="K48" s="3"/>
      <c r="L48" s="3"/>
    </row>
    <row r="49" spans="1:14">
      <c r="A49" s="3"/>
      <c r="B49" s="3" t="s">
        <v>901</v>
      </c>
      <c r="C49" s="3"/>
      <c r="D49" s="12">
        <f>E14-D14</f>
        <v>10491866</v>
      </c>
      <c r="E49" s="3"/>
      <c r="F49" s="3"/>
      <c r="G49" s="3"/>
      <c r="H49" s="3"/>
      <c r="I49" s="3"/>
      <c r="J49" s="3"/>
      <c r="K49" s="3"/>
      <c r="L49" s="3"/>
    </row>
    <row r="50" spans="1:14">
      <c r="A50" s="3"/>
      <c r="B50" s="3" t="s">
        <v>902</v>
      </c>
      <c r="C50" s="3"/>
      <c r="D50" s="12">
        <f>D41-D14</f>
        <v>10902128.78055506</v>
      </c>
      <c r="E50" s="3"/>
      <c r="F50" s="3"/>
      <c r="G50" s="3"/>
      <c r="H50" s="3"/>
      <c r="I50" s="3"/>
      <c r="J50" s="3"/>
      <c r="K50" s="3"/>
      <c r="L50" s="3"/>
    </row>
    <row r="51" spans="1:14">
      <c r="B51" s="2" t="s">
        <v>903</v>
      </c>
      <c r="D51" s="402">
        <f>D50/D49-1</f>
        <v>3.9102937509405855E-2</v>
      </c>
      <c r="M51" s="3"/>
    </row>
    <row r="53" spans="1:14">
      <c r="A53" s="17" t="s">
        <v>18</v>
      </c>
      <c r="B53" s="831" t="s">
        <v>904</v>
      </c>
      <c r="C53" s="831"/>
      <c r="D53" s="831"/>
      <c r="E53" s="831"/>
      <c r="F53" s="831"/>
      <c r="G53" s="831"/>
      <c r="H53" s="831"/>
      <c r="I53" s="831"/>
      <c r="J53" s="831"/>
      <c r="K53" s="831"/>
      <c r="L53" s="1"/>
    </row>
    <row r="54" spans="1:14">
      <c r="A54" s="17"/>
      <c r="B54" s="831"/>
      <c r="C54" s="831"/>
      <c r="D54" s="831"/>
      <c r="E54" s="831"/>
      <c r="F54" s="831"/>
      <c r="G54" s="831"/>
      <c r="H54" s="831"/>
      <c r="I54" s="831"/>
      <c r="J54" s="831"/>
      <c r="K54" s="831"/>
      <c r="L54" s="1"/>
    </row>
    <row r="55" spans="1:14">
      <c r="A55" s="14"/>
      <c r="B55" s="14"/>
      <c r="C55" s="14"/>
      <c r="D55" s="14"/>
      <c r="E55" s="14"/>
      <c r="F55" s="14"/>
      <c r="G55" s="1"/>
      <c r="H55" s="1"/>
      <c r="I55" s="1"/>
      <c r="J55" s="1"/>
      <c r="K55" s="1"/>
      <c r="L55" s="1"/>
    </row>
    <row r="56" spans="1:14">
      <c r="A56" s="3"/>
      <c r="B56" s="3"/>
      <c r="C56" s="3"/>
      <c r="D56" s="3"/>
      <c r="E56" s="3"/>
      <c r="F56" s="3"/>
      <c r="G56" s="3"/>
      <c r="H56" s="3"/>
      <c r="I56" s="3"/>
      <c r="J56" s="3"/>
      <c r="K56" s="3"/>
      <c r="L56" s="3"/>
    </row>
    <row r="57" spans="1:14">
      <c r="A57" s="3" t="s">
        <v>20</v>
      </c>
      <c r="B57" s="3"/>
      <c r="C57" s="3"/>
      <c r="D57" s="3"/>
      <c r="E57" s="3"/>
      <c r="F57" s="3"/>
      <c r="G57" s="3"/>
      <c r="H57" s="3"/>
      <c r="I57" s="3"/>
      <c r="J57" s="3"/>
      <c r="K57" s="3"/>
      <c r="L57" s="3"/>
    </row>
    <row r="58" spans="1:14">
      <c r="A58" s="3"/>
      <c r="B58" s="3" t="s">
        <v>775</v>
      </c>
      <c r="C58" s="3"/>
      <c r="D58" s="3"/>
      <c r="E58" s="3"/>
      <c r="F58" s="3"/>
      <c r="G58" s="3"/>
      <c r="H58" s="3"/>
      <c r="I58" s="3"/>
      <c r="J58" s="3"/>
      <c r="K58" s="3"/>
      <c r="L58" s="3"/>
    </row>
    <row r="59" spans="1:14">
      <c r="A59" s="3"/>
      <c r="B59" s="3" t="s">
        <v>905</v>
      </c>
      <c r="D59" s="3"/>
      <c r="E59" s="3"/>
      <c r="F59" s="3"/>
      <c r="G59" s="3"/>
      <c r="H59" s="3"/>
      <c r="I59" s="3"/>
      <c r="J59" s="3"/>
      <c r="K59" s="3"/>
      <c r="L59" s="3"/>
    </row>
    <row r="60" spans="1:14">
      <c r="B60" s="3" t="s">
        <v>906</v>
      </c>
    </row>
    <row r="61" spans="1:14">
      <c r="B61" s="2" t="s">
        <v>907</v>
      </c>
    </row>
    <row r="62" spans="1:14">
      <c r="C62" s="403">
        <f>D41/E14-1</f>
        <v>2.5215863535755556E-2</v>
      </c>
      <c r="D62" s="2" t="s">
        <v>908</v>
      </c>
      <c r="M62" s="3"/>
      <c r="N62" s="3"/>
    </row>
    <row r="63" spans="1:14">
      <c r="M63" s="3"/>
      <c r="N63" s="3"/>
    </row>
    <row r="64" spans="1:14">
      <c r="M64" s="3"/>
      <c r="N64" s="3"/>
    </row>
  </sheetData>
  <mergeCells count="10">
    <mergeCell ref="F36:G36"/>
    <mergeCell ref="F37:G37"/>
    <mergeCell ref="B44:K45"/>
    <mergeCell ref="B53:K54"/>
    <mergeCell ref="C5:C7"/>
    <mergeCell ref="D5:D7"/>
    <mergeCell ref="E5:F5"/>
    <mergeCell ref="E6:F6"/>
    <mergeCell ref="B19:K20"/>
    <mergeCell ref="B23:K24"/>
  </mergeCells>
  <hyperlinks>
    <hyperlink ref="O1" location="TOC!A1" display="Table of Contents" xr:uid="{70F39C17-7585-4925-A53A-6009992E8F68}"/>
  </hyperlinks>
  <pageMargins left="0.7" right="0.7" top="0.75" bottom="0.75" header="0.3" footer="0.3"/>
  <pageSetup scale="68"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573F1-9205-4FA4-89D2-75794FBAA429}">
  <dimension ref="A1:R51"/>
  <sheetViews>
    <sheetView zoomScaleNormal="100" workbookViewId="0"/>
  </sheetViews>
  <sheetFormatPr defaultColWidth="8.88671875" defaultRowHeight="15.6"/>
  <cols>
    <col min="1" max="1" width="8.88671875" style="2" customWidth="1"/>
    <col min="2" max="2" width="9.33203125" style="2" customWidth="1"/>
    <col min="3" max="7" width="11.44140625" style="2" customWidth="1"/>
    <col min="8" max="8" width="15.88671875" style="2" customWidth="1"/>
    <col min="9" max="16384" width="8.88671875" style="2"/>
  </cols>
  <sheetData>
    <row r="1" spans="1:15" ht="17.399999999999999">
      <c r="A1" s="13" t="s">
        <v>1068</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831" t="s">
        <v>910</v>
      </c>
      <c r="B3" s="831"/>
      <c r="C3" s="831"/>
      <c r="D3" s="831"/>
      <c r="E3" s="831"/>
      <c r="F3" s="831"/>
      <c r="G3" s="831"/>
      <c r="H3" s="831"/>
      <c r="I3" s="831"/>
      <c r="J3" s="831"/>
      <c r="K3" s="831"/>
      <c r="L3" s="14"/>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c r="A6" s="43"/>
      <c r="B6" s="895" t="s">
        <v>911</v>
      </c>
      <c r="C6" s="895"/>
      <c r="D6" s="895"/>
      <c r="E6" s="895"/>
      <c r="F6" s="895"/>
      <c r="G6" s="895"/>
      <c r="H6" s="7">
        <v>8100000</v>
      </c>
      <c r="I6" s="1"/>
      <c r="J6" s="1"/>
      <c r="K6" s="1"/>
      <c r="L6" s="1"/>
    </row>
    <row r="7" spans="1:15">
      <c r="A7" s="43"/>
      <c r="B7" s="895" t="s">
        <v>912</v>
      </c>
      <c r="C7" s="895"/>
      <c r="D7" s="895"/>
      <c r="E7" s="895"/>
      <c r="F7" s="895"/>
      <c r="G7" s="895"/>
      <c r="H7" s="7">
        <v>11000</v>
      </c>
      <c r="I7" s="1"/>
      <c r="J7" s="1"/>
      <c r="K7" s="1"/>
      <c r="L7" s="1"/>
    </row>
    <row r="8" spans="1:15">
      <c r="A8" s="43"/>
      <c r="B8" s="895" t="s">
        <v>913</v>
      </c>
      <c r="C8" s="895"/>
      <c r="D8" s="895"/>
      <c r="E8" s="895"/>
      <c r="F8" s="895"/>
      <c r="G8" s="895"/>
      <c r="H8" s="6">
        <v>1.03</v>
      </c>
      <c r="I8" s="1"/>
      <c r="J8" s="1"/>
      <c r="K8" s="1"/>
      <c r="L8" s="1"/>
    </row>
    <row r="9" spans="1:15">
      <c r="A9" s="43"/>
      <c r="B9" s="895" t="s">
        <v>914</v>
      </c>
      <c r="C9" s="895"/>
      <c r="D9" s="895"/>
      <c r="E9" s="895"/>
      <c r="F9" s="895"/>
      <c r="G9" s="895"/>
      <c r="H9" s="6">
        <v>1.0069999999999999</v>
      </c>
      <c r="I9" s="1"/>
      <c r="J9" s="1"/>
      <c r="K9" s="1"/>
      <c r="L9" s="1"/>
    </row>
    <row r="10" spans="1:15">
      <c r="A10" s="1"/>
      <c r="B10" s="895" t="s">
        <v>915</v>
      </c>
      <c r="C10" s="895"/>
      <c r="D10" s="895"/>
      <c r="E10" s="895"/>
      <c r="F10" s="895"/>
      <c r="G10" s="895"/>
      <c r="H10" s="156">
        <v>0.78</v>
      </c>
      <c r="I10" s="1"/>
      <c r="J10" s="1"/>
      <c r="K10" s="1"/>
      <c r="L10" s="1"/>
    </row>
    <row r="11" spans="1:15">
      <c r="A11" s="1"/>
      <c r="B11" s="895" t="s">
        <v>916</v>
      </c>
      <c r="C11" s="895"/>
      <c r="D11" s="895"/>
      <c r="E11" s="895"/>
      <c r="F11" s="895"/>
      <c r="G11" s="895"/>
      <c r="H11" s="156">
        <v>0.09</v>
      </c>
      <c r="I11" s="1"/>
      <c r="J11" s="1"/>
      <c r="K11" s="1"/>
      <c r="L11" s="1"/>
    </row>
    <row r="12" spans="1:15" ht="15.6" customHeight="1">
      <c r="A12" s="43"/>
      <c r="B12" s="895" t="s">
        <v>917</v>
      </c>
      <c r="C12" s="895"/>
      <c r="D12" s="895"/>
      <c r="E12" s="895"/>
      <c r="F12" s="895"/>
      <c r="G12" s="895"/>
      <c r="H12" s="156">
        <v>0.05</v>
      </c>
      <c r="I12" s="1"/>
      <c r="J12" s="1"/>
      <c r="K12" s="1"/>
      <c r="L12" s="1"/>
    </row>
    <row r="13" spans="1:15">
      <c r="A13" s="1"/>
      <c r="B13" s="895" t="s">
        <v>918</v>
      </c>
      <c r="C13" s="895"/>
      <c r="D13" s="895"/>
      <c r="E13" s="895"/>
      <c r="F13" s="895"/>
      <c r="G13" s="895"/>
      <c r="H13" s="156">
        <v>0</v>
      </c>
      <c r="I13" s="1"/>
      <c r="J13" s="1"/>
      <c r="K13" s="1"/>
      <c r="L13" s="1"/>
    </row>
    <row r="14" spans="1:15">
      <c r="A14" s="1"/>
      <c r="B14" s="895" t="s">
        <v>919</v>
      </c>
      <c r="C14" s="895"/>
      <c r="D14" s="895"/>
      <c r="E14" s="895"/>
      <c r="F14" s="895"/>
      <c r="G14" s="895"/>
      <c r="H14" s="156">
        <v>0.1</v>
      </c>
      <c r="I14" s="1"/>
      <c r="J14" s="1"/>
      <c r="K14" s="1"/>
      <c r="L14" s="1"/>
    </row>
    <row r="15" spans="1:15">
      <c r="A15" s="1"/>
      <c r="B15" s="895" t="s">
        <v>920</v>
      </c>
      <c r="C15" s="895"/>
      <c r="D15" s="895"/>
      <c r="E15" s="895"/>
      <c r="F15" s="895"/>
      <c r="G15" s="895"/>
      <c r="H15" s="156">
        <v>0.05</v>
      </c>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91</v>
      </c>
      <c r="B18" s="1" t="s">
        <v>921</v>
      </c>
      <c r="C18" s="1"/>
      <c r="D18" s="1"/>
      <c r="E18" s="1"/>
      <c r="F18" s="1"/>
      <c r="G18" s="1"/>
      <c r="H18" s="1"/>
      <c r="I18" s="1"/>
      <c r="J18" s="1"/>
      <c r="K18" s="1"/>
      <c r="L18" s="1"/>
      <c r="M18" s="9"/>
      <c r="N18" s="9"/>
      <c r="O18" s="9"/>
      <c r="P18" s="9"/>
      <c r="Q18" s="9"/>
      <c r="R18" s="9"/>
    </row>
    <row r="19" spans="1:18">
      <c r="A19" s="14"/>
      <c r="B19" s="14"/>
      <c r="C19" s="14"/>
      <c r="D19" s="14"/>
      <c r="E19" s="14"/>
      <c r="F19" s="14"/>
      <c r="G19" s="1"/>
      <c r="H19" s="1"/>
      <c r="I19" s="1"/>
      <c r="J19" s="1"/>
      <c r="K19" s="1"/>
      <c r="L19" s="1"/>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2" spans="1:18">
      <c r="A22" s="3"/>
      <c r="B22" s="2" t="s">
        <v>922</v>
      </c>
      <c r="H22" s="405">
        <f>H6*H9*H8/H7</f>
        <v>763.76372727272724</v>
      </c>
      <c r="K22" s="3"/>
      <c r="L22" s="3"/>
      <c r="M22" s="3"/>
      <c r="N22" s="9"/>
    </row>
    <row r="23" spans="1:18">
      <c r="A23" s="3"/>
      <c r="B23" s="2" t="s">
        <v>923</v>
      </c>
      <c r="H23" s="11">
        <f>H7*H10*H22</f>
        <v>6553092.7799999993</v>
      </c>
      <c r="K23" s="3"/>
      <c r="L23" s="3"/>
      <c r="M23" s="3"/>
      <c r="N23" s="9"/>
    </row>
    <row r="24" spans="1:18">
      <c r="B24" s="2" t="s">
        <v>924</v>
      </c>
      <c r="H24" s="405">
        <f>H23/H7</f>
        <v>595.73570727272727</v>
      </c>
      <c r="M24" s="9"/>
      <c r="N24" s="9"/>
    </row>
    <row r="25" spans="1:18">
      <c r="B25" s="2" t="s">
        <v>925</v>
      </c>
      <c r="H25" s="405">
        <f>H12*H22</f>
        <v>38.188186363636362</v>
      </c>
      <c r="M25" s="9"/>
      <c r="N25" s="9"/>
    </row>
    <row r="26" spans="1:18">
      <c r="B26" s="2" t="s">
        <v>926</v>
      </c>
      <c r="H26" s="405">
        <f>(H24*(1+H11)+H25)/(1-H14-H15)</f>
        <v>808.87071445989318</v>
      </c>
      <c r="M26" s="9"/>
      <c r="N26" s="9"/>
    </row>
    <row r="27" spans="1:18">
      <c r="B27" s="2" t="s">
        <v>927</v>
      </c>
      <c r="H27" s="406">
        <f>H26/H22-1</f>
        <v>5.9058823529412052E-2</v>
      </c>
      <c r="M27" s="9"/>
      <c r="N27" s="9"/>
    </row>
    <row r="28" spans="1:18">
      <c r="M28" s="9"/>
      <c r="N28" s="9"/>
    </row>
    <row r="29" spans="1:18">
      <c r="A29" s="43" t="s">
        <v>12</v>
      </c>
      <c r="B29" s="1"/>
      <c r="C29" s="1"/>
      <c r="D29" s="1"/>
      <c r="E29" s="1"/>
      <c r="F29" s="1"/>
      <c r="G29" s="1"/>
      <c r="H29" s="1"/>
      <c r="I29" s="1"/>
      <c r="J29" s="1"/>
      <c r="K29" s="1"/>
      <c r="L29" s="1"/>
      <c r="M29" s="9"/>
      <c r="N29" s="9"/>
    </row>
    <row r="30" spans="1:18">
      <c r="A30" s="43"/>
      <c r="B30" s="1"/>
      <c r="C30" s="1"/>
      <c r="D30" s="1"/>
      <c r="E30" s="1"/>
      <c r="F30" s="1"/>
      <c r="G30" s="1"/>
      <c r="H30" s="1"/>
      <c r="I30" s="1"/>
      <c r="J30" s="1"/>
      <c r="K30" s="1"/>
      <c r="L30" s="1"/>
      <c r="M30" s="9"/>
      <c r="N30" s="9"/>
    </row>
    <row r="31" spans="1:18">
      <c r="A31" s="43" t="s">
        <v>928</v>
      </c>
      <c r="B31" s="1"/>
      <c r="C31" s="1"/>
      <c r="D31" s="377">
        <v>0.04</v>
      </c>
      <c r="E31" s="1" t="s">
        <v>929</v>
      </c>
      <c r="F31" s="1"/>
      <c r="G31" s="1"/>
      <c r="H31" s="1"/>
      <c r="I31" s="1"/>
      <c r="J31" s="1"/>
      <c r="K31" s="1"/>
      <c r="L31" s="1"/>
      <c r="M31" s="9"/>
      <c r="N31" s="9"/>
    </row>
    <row r="32" spans="1:18">
      <c r="A32" s="43" t="s">
        <v>930</v>
      </c>
      <c r="B32" s="1"/>
      <c r="C32" s="1"/>
      <c r="D32" s="1"/>
      <c r="E32" s="1"/>
      <c r="F32" s="1"/>
      <c r="G32" s="1"/>
      <c r="H32" s="1"/>
      <c r="I32" s="1"/>
      <c r="J32" s="1"/>
      <c r="K32" s="1"/>
      <c r="L32" s="1"/>
      <c r="M32" s="9"/>
      <c r="N32" s="9"/>
    </row>
    <row r="33" spans="1:14">
      <c r="A33" s="43" t="s">
        <v>812</v>
      </c>
      <c r="B33" s="1"/>
      <c r="C33" s="1"/>
      <c r="D33" s="1"/>
      <c r="E33" s="438">
        <v>1.4999999999999999E-2</v>
      </c>
      <c r="F33" s="1"/>
      <c r="G33" s="1"/>
      <c r="H33" s="1"/>
      <c r="I33" s="1"/>
      <c r="J33" s="1"/>
      <c r="K33" s="1"/>
      <c r="L33" s="1"/>
      <c r="M33" s="9"/>
      <c r="N33" s="9"/>
    </row>
    <row r="34" spans="1:14">
      <c r="A34" s="43" t="s">
        <v>931</v>
      </c>
      <c r="B34" s="1"/>
      <c r="C34" s="1"/>
      <c r="D34" s="1"/>
      <c r="E34" s="438">
        <v>5.0000000000000001E-3</v>
      </c>
      <c r="F34" s="1"/>
      <c r="G34" s="1"/>
      <c r="H34" s="1"/>
      <c r="I34" s="1"/>
      <c r="J34" s="1"/>
      <c r="K34" s="1"/>
      <c r="L34" s="1"/>
      <c r="M34" s="9"/>
      <c r="N34" s="9"/>
    </row>
    <row r="35" spans="1:14">
      <c r="A35" s="43" t="s">
        <v>932</v>
      </c>
      <c r="B35" s="1"/>
      <c r="C35" s="1"/>
      <c r="D35" s="1"/>
      <c r="E35" s="438">
        <v>4.0000000000000001E-3</v>
      </c>
      <c r="F35" s="1"/>
      <c r="G35" s="1"/>
      <c r="H35" s="1"/>
      <c r="I35" s="1"/>
      <c r="J35" s="1"/>
      <c r="K35" s="1"/>
      <c r="L35" s="1"/>
      <c r="M35" s="9"/>
      <c r="N35" s="9"/>
    </row>
    <row r="36" spans="1:14">
      <c r="A36" s="43"/>
      <c r="B36" s="1"/>
      <c r="C36" s="1"/>
      <c r="D36" s="1"/>
      <c r="E36" s="1"/>
      <c r="F36" s="1"/>
      <c r="G36" s="1"/>
      <c r="H36" s="1"/>
      <c r="I36" s="1"/>
      <c r="J36" s="1"/>
      <c r="K36" s="1"/>
      <c r="L36" s="1"/>
      <c r="M36" s="9"/>
      <c r="N36" s="9"/>
    </row>
    <row r="38" spans="1:14">
      <c r="A38" s="17" t="s">
        <v>133</v>
      </c>
      <c r="B38" s="1" t="s">
        <v>933</v>
      </c>
      <c r="C38" s="1"/>
      <c r="D38" s="1"/>
      <c r="E38" s="1"/>
      <c r="F38" s="1"/>
      <c r="G38" s="1"/>
      <c r="H38" s="1"/>
      <c r="I38" s="1"/>
      <c r="J38" s="1"/>
      <c r="K38" s="1"/>
      <c r="L38" s="1"/>
    </row>
    <row r="39" spans="1:14">
      <c r="A39" s="14"/>
      <c r="B39" s="14"/>
      <c r="C39" s="14"/>
      <c r="D39" s="14"/>
      <c r="E39" s="14"/>
      <c r="F39" s="14"/>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ht="31.2">
      <c r="A42" s="3"/>
      <c r="B42" s="35" t="s">
        <v>934</v>
      </c>
      <c r="C42" s="36" t="s">
        <v>935</v>
      </c>
      <c r="D42" s="36" t="s">
        <v>153</v>
      </c>
      <c r="E42" s="36" t="s">
        <v>936</v>
      </c>
      <c r="F42" s="36" t="s">
        <v>937</v>
      </c>
      <c r="G42" s="36" t="s">
        <v>938</v>
      </c>
      <c r="H42" s="36" t="s">
        <v>939</v>
      </c>
      <c r="I42" s="3"/>
      <c r="J42" s="3"/>
      <c r="K42" s="3"/>
      <c r="L42" s="3"/>
    </row>
    <row r="43" spans="1:14">
      <c r="A43" s="3"/>
      <c r="B43" s="34">
        <v>2022</v>
      </c>
      <c r="C43" s="240">
        <f>H26</f>
        <v>808.87071445989318</v>
      </c>
      <c r="D43" s="237">
        <f>C43*$H$12</f>
        <v>40.44353572299466</v>
      </c>
      <c r="E43" s="237">
        <f>C43*$H$14</f>
        <v>80.887071445989321</v>
      </c>
      <c r="F43" s="237">
        <f>H24*(1+H11)</f>
        <v>649.35192092727277</v>
      </c>
      <c r="G43" s="237">
        <f>H22*(1+D31)</f>
        <v>794.3142763636364</v>
      </c>
      <c r="H43" s="237">
        <f>G43-SUM(D43:F43)</f>
        <v>23.631748267379635</v>
      </c>
      <c r="I43" s="3"/>
      <c r="J43" s="3"/>
      <c r="K43" s="3"/>
      <c r="L43" s="3"/>
    </row>
    <row r="44" spans="1:14">
      <c r="B44" s="34">
        <f>B43+1</f>
        <v>2023</v>
      </c>
      <c r="C44" s="237">
        <f>C43*(1+$E$35)</f>
        <v>812.10619731773272</v>
      </c>
      <c r="D44" s="237">
        <f t="shared" ref="D44:D46" si="0">C44*$H$12</f>
        <v>40.605309865886639</v>
      </c>
      <c r="E44" s="237">
        <f t="shared" ref="E44:E46" si="1">C44*$H$14</f>
        <v>81.210619731773278</v>
      </c>
      <c r="F44" s="237">
        <f>F43*(1+$E$33)*(1+$E$34)</f>
        <v>662.38766073988768</v>
      </c>
      <c r="G44" s="237">
        <f>G43</f>
        <v>794.3142763636364</v>
      </c>
      <c r="H44" s="237">
        <f t="shared" ref="H44:H46" si="2">G44-SUM(D44:F44)</f>
        <v>10.110686026088842</v>
      </c>
      <c r="M44" s="3"/>
    </row>
    <row r="45" spans="1:14">
      <c r="B45" s="34">
        <f t="shared" ref="B45:B46" si="3">B44+1</f>
        <v>2024</v>
      </c>
      <c r="C45" s="237">
        <f t="shared" ref="C45:C46" si="4">C44*(1+$E$35)</f>
        <v>815.35462210700371</v>
      </c>
      <c r="D45" s="237">
        <f t="shared" si="0"/>
        <v>40.767731105350187</v>
      </c>
      <c r="E45" s="237">
        <f t="shared" si="1"/>
        <v>81.535462210700373</v>
      </c>
      <c r="F45" s="237">
        <f t="shared" ref="F45:F46" si="5">F44*(1+$E$33)*(1+$E$34)</f>
        <v>675.68509302924087</v>
      </c>
      <c r="G45" s="237">
        <f t="shared" ref="G45:G46" si="6">G44</f>
        <v>794.3142763636364</v>
      </c>
      <c r="H45" s="237">
        <f t="shared" si="2"/>
        <v>-3.6740099816551037</v>
      </c>
      <c r="M45" s="3"/>
    </row>
    <row r="46" spans="1:14">
      <c r="B46" s="34">
        <f t="shared" si="3"/>
        <v>2025</v>
      </c>
      <c r="C46" s="237">
        <f t="shared" si="4"/>
        <v>818.61604059543174</v>
      </c>
      <c r="D46" s="237">
        <f t="shared" si="0"/>
        <v>40.930802029771591</v>
      </c>
      <c r="E46" s="237">
        <f t="shared" si="1"/>
        <v>81.861604059543183</v>
      </c>
      <c r="F46" s="237">
        <f t="shared" si="5"/>
        <v>689.24947127180269</v>
      </c>
      <c r="G46" s="237">
        <f t="shared" si="6"/>
        <v>794.3142763636364</v>
      </c>
      <c r="H46" s="237">
        <f t="shared" si="2"/>
        <v>-17.72760099748109</v>
      </c>
      <c r="M46" s="3"/>
    </row>
    <row r="48" spans="1:14">
      <c r="C48" s="18"/>
      <c r="D48" s="18"/>
      <c r="E48" s="18"/>
      <c r="F48" s="18"/>
      <c r="G48" s="18"/>
      <c r="H48" s="18"/>
    </row>
    <row r="49" spans="3:8">
      <c r="C49" s="18"/>
      <c r="D49" s="18"/>
      <c r="E49" s="18"/>
      <c r="F49" s="18"/>
      <c r="G49" s="18"/>
      <c r="H49" s="18"/>
    </row>
    <row r="50" spans="3:8">
      <c r="C50" s="18"/>
      <c r="D50" s="18"/>
      <c r="E50" s="18"/>
      <c r="F50" s="18"/>
      <c r="G50" s="18"/>
      <c r="H50" s="18"/>
    </row>
    <row r="51" spans="3:8">
      <c r="C51" s="18"/>
      <c r="D51" s="18"/>
      <c r="E51" s="18"/>
      <c r="F51" s="18"/>
      <c r="G51" s="18"/>
      <c r="H51" s="18"/>
    </row>
  </sheetData>
  <mergeCells count="11">
    <mergeCell ref="B10:G10"/>
    <mergeCell ref="A3:K4"/>
    <mergeCell ref="B6:G6"/>
    <mergeCell ref="B7:G7"/>
    <mergeCell ref="B8:G8"/>
    <mergeCell ref="B9:G9"/>
    <mergeCell ref="B11:G11"/>
    <mergeCell ref="B12:G12"/>
    <mergeCell ref="B13:G13"/>
    <mergeCell ref="B14:G14"/>
    <mergeCell ref="B15:G15"/>
  </mergeCells>
  <hyperlinks>
    <hyperlink ref="O1" location="TOC!A1" display="Table of Contents" xr:uid="{292979FF-7D19-4C8C-9F8B-49E00D0ED2F4}"/>
  </hyperlinks>
  <pageMargins left="0.7" right="0.7" top="0.75" bottom="0.75" header="0.3" footer="0.3"/>
  <pageSetup scale="81"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AB81-64BD-4EA8-9FB2-1CF3416D581B}">
  <dimension ref="A1:Y142"/>
  <sheetViews>
    <sheetView zoomScaleNormal="100" workbookViewId="0"/>
  </sheetViews>
  <sheetFormatPr defaultColWidth="8.88671875" defaultRowHeight="15.6"/>
  <cols>
    <col min="1" max="1" width="8.88671875" style="2" customWidth="1"/>
    <col min="2" max="8" width="10.6640625" style="2" customWidth="1"/>
    <col min="9" max="16384" width="8.88671875" style="2"/>
  </cols>
  <sheetData>
    <row r="1" spans="1:15" ht="17.399999999999999">
      <c r="A1" s="13" t="s">
        <v>1069</v>
      </c>
      <c r="B1" s="1"/>
      <c r="C1" s="1"/>
      <c r="D1" s="1" t="s">
        <v>240</v>
      </c>
      <c r="E1" s="1"/>
      <c r="F1" s="1"/>
      <c r="G1" s="1"/>
      <c r="H1" s="1"/>
      <c r="I1" s="1"/>
      <c r="J1" s="1"/>
      <c r="K1" s="1"/>
      <c r="L1" s="14"/>
      <c r="O1" s="21" t="s">
        <v>2927</v>
      </c>
    </row>
    <row r="2" spans="1:15">
      <c r="A2" s="1"/>
      <c r="B2" s="1"/>
      <c r="C2" s="1"/>
      <c r="D2" s="1"/>
      <c r="E2" s="1"/>
      <c r="F2" s="1"/>
      <c r="G2" s="1"/>
      <c r="H2" s="1"/>
      <c r="I2" s="1"/>
      <c r="J2" s="1"/>
      <c r="K2" s="1"/>
      <c r="L2" s="14"/>
      <c r="O2" s="21"/>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 t="s">
        <v>940</v>
      </c>
      <c r="B6" s="1"/>
      <c r="C6" s="1"/>
      <c r="D6" s="1"/>
      <c r="E6" s="1"/>
      <c r="F6" s="1"/>
      <c r="G6" s="1"/>
      <c r="H6" s="1"/>
      <c r="I6" s="1"/>
      <c r="J6" s="1"/>
      <c r="K6" s="1"/>
      <c r="L6" s="1"/>
    </row>
    <row r="7" spans="1:15">
      <c r="A7" s="1"/>
      <c r="B7" s="1"/>
      <c r="C7" s="1"/>
      <c r="D7" s="1"/>
      <c r="E7" s="1"/>
      <c r="F7" s="1"/>
      <c r="G7" s="1"/>
      <c r="H7" s="1"/>
      <c r="I7" s="1"/>
      <c r="J7" s="1"/>
      <c r="K7" s="1"/>
      <c r="L7" s="1"/>
    </row>
    <row r="8" spans="1:15">
      <c r="A8" s="1"/>
      <c r="B8" s="899" t="s">
        <v>941</v>
      </c>
      <c r="C8" s="841" t="s">
        <v>942</v>
      </c>
      <c r="D8" s="841"/>
      <c r="E8" s="841"/>
      <c r="F8" s="841"/>
      <c r="G8" s="841"/>
      <c r="H8" s="841"/>
      <c r="I8" s="1"/>
      <c r="J8" s="1"/>
      <c r="K8" s="1"/>
      <c r="L8" s="1"/>
    </row>
    <row r="9" spans="1:15">
      <c r="A9" s="1"/>
      <c r="B9" s="899"/>
      <c r="C9" s="27" t="s">
        <v>943</v>
      </c>
      <c r="D9" s="27" t="s">
        <v>944</v>
      </c>
      <c r="E9" s="27" t="s">
        <v>945</v>
      </c>
      <c r="F9" s="27" t="s">
        <v>946</v>
      </c>
      <c r="G9" s="27" t="s">
        <v>947</v>
      </c>
      <c r="H9" s="27" t="s">
        <v>948</v>
      </c>
      <c r="I9" s="1"/>
      <c r="J9" s="1"/>
      <c r="K9" s="1"/>
      <c r="L9" s="1"/>
    </row>
    <row r="10" spans="1:15">
      <c r="A10" s="1"/>
      <c r="B10" s="898" t="s">
        <v>949</v>
      </c>
      <c r="C10" s="898"/>
      <c r="D10" s="898"/>
      <c r="E10" s="898"/>
      <c r="F10" s="898"/>
      <c r="G10" s="898"/>
      <c r="H10" s="898"/>
      <c r="I10" s="1"/>
      <c r="J10" s="1"/>
      <c r="K10" s="1"/>
      <c r="L10" s="1"/>
    </row>
    <row r="11" spans="1:15">
      <c r="A11" s="1"/>
      <c r="B11" s="32">
        <v>1</v>
      </c>
      <c r="C11" s="32">
        <v>0</v>
      </c>
      <c r="D11" s="32">
        <v>100</v>
      </c>
      <c r="E11" s="32">
        <v>250</v>
      </c>
      <c r="F11" s="32">
        <v>0</v>
      </c>
      <c r="G11" s="32">
        <v>0</v>
      </c>
      <c r="H11" s="32">
        <v>75</v>
      </c>
      <c r="I11" s="1"/>
      <c r="J11" s="1"/>
      <c r="K11" s="1"/>
      <c r="L11" s="1"/>
    </row>
    <row r="12" spans="1:15">
      <c r="A12" s="1"/>
      <c r="B12" s="32">
        <v>2</v>
      </c>
      <c r="C12" s="32">
        <v>50</v>
      </c>
      <c r="D12" s="32"/>
      <c r="E12" s="32"/>
      <c r="F12" s="32"/>
      <c r="G12" s="32"/>
      <c r="H12" s="32"/>
      <c r="I12" s="1"/>
      <c r="J12" s="1"/>
      <c r="K12" s="1"/>
      <c r="L12" s="1"/>
    </row>
    <row r="13" spans="1:15">
      <c r="A13" s="1"/>
      <c r="B13" s="32">
        <v>3</v>
      </c>
      <c r="C13" s="32"/>
      <c r="D13" s="32"/>
      <c r="E13" s="32"/>
      <c r="F13" s="32">
        <v>0</v>
      </c>
      <c r="G13" s="32">
        <v>55</v>
      </c>
      <c r="H13" s="32">
        <v>0</v>
      </c>
      <c r="I13" s="1"/>
      <c r="J13" s="1"/>
      <c r="K13" s="1"/>
      <c r="L13" s="1"/>
    </row>
    <row r="14" spans="1:15">
      <c r="A14" s="1"/>
      <c r="B14" s="32">
        <v>4</v>
      </c>
      <c r="C14" s="32"/>
      <c r="D14" s="32"/>
      <c r="E14" s="32"/>
      <c r="F14" s="32"/>
      <c r="G14" s="32"/>
      <c r="H14" s="32"/>
      <c r="I14" s="1"/>
      <c r="J14" s="1"/>
      <c r="K14" s="1"/>
      <c r="L14" s="1"/>
    </row>
    <row r="15" spans="1:15">
      <c r="A15" s="1"/>
      <c r="B15" s="898" t="s">
        <v>950</v>
      </c>
      <c r="C15" s="898"/>
      <c r="D15" s="898"/>
      <c r="E15" s="898"/>
      <c r="F15" s="898"/>
      <c r="G15" s="898"/>
      <c r="H15" s="898"/>
      <c r="I15" s="1"/>
      <c r="J15" s="1"/>
      <c r="K15" s="1"/>
      <c r="L15" s="1"/>
    </row>
    <row r="16" spans="1:15">
      <c r="A16" s="1"/>
      <c r="B16" s="32">
        <v>5</v>
      </c>
      <c r="C16" s="32"/>
      <c r="D16" s="32"/>
      <c r="E16" s="32">
        <v>190</v>
      </c>
      <c r="F16" s="32">
        <v>0</v>
      </c>
      <c r="G16" s="32">
        <v>30</v>
      </c>
      <c r="H16" s="32"/>
      <c r="I16" s="1"/>
      <c r="J16" s="1"/>
      <c r="K16" s="1"/>
      <c r="L16" s="1"/>
    </row>
    <row r="17" spans="1:12">
      <c r="A17" s="1"/>
      <c r="B17" s="32">
        <v>6</v>
      </c>
      <c r="C17" s="32"/>
      <c r="D17" s="32"/>
      <c r="E17" s="32"/>
      <c r="F17" s="32">
        <v>0</v>
      </c>
      <c r="G17" s="32">
        <v>0</v>
      </c>
      <c r="H17" s="32"/>
      <c r="I17" s="1"/>
      <c r="J17" s="1"/>
      <c r="K17" s="1"/>
      <c r="L17" s="1"/>
    </row>
    <row r="18" spans="1:12">
      <c r="A18" s="1"/>
      <c r="B18" s="32">
        <v>7</v>
      </c>
      <c r="C18" s="32"/>
      <c r="D18" s="32"/>
      <c r="E18" s="32">
        <v>75</v>
      </c>
      <c r="F18" s="32">
        <v>0</v>
      </c>
      <c r="G18" s="32">
        <v>0</v>
      </c>
      <c r="H18" s="32">
        <v>185</v>
      </c>
      <c r="I18" s="1"/>
      <c r="J18" s="1"/>
      <c r="K18" s="1"/>
      <c r="L18" s="1"/>
    </row>
    <row r="19" spans="1:12">
      <c r="A19" s="1"/>
      <c r="B19" s="898" t="s">
        <v>951</v>
      </c>
      <c r="C19" s="898"/>
      <c r="D19" s="898"/>
      <c r="E19" s="898"/>
      <c r="F19" s="898"/>
      <c r="G19" s="898"/>
      <c r="H19" s="898"/>
      <c r="I19" s="1"/>
      <c r="J19" s="1"/>
      <c r="K19" s="1"/>
      <c r="L19" s="1"/>
    </row>
    <row r="20" spans="1:12">
      <c r="A20" s="1"/>
      <c r="B20" s="32">
        <v>8</v>
      </c>
      <c r="C20" s="32"/>
      <c r="D20" s="32"/>
      <c r="E20" s="32"/>
      <c r="F20" s="32"/>
      <c r="G20" s="32">
        <v>0</v>
      </c>
      <c r="H20" s="32">
        <v>0</v>
      </c>
      <c r="I20" s="1"/>
      <c r="J20" s="1"/>
      <c r="K20" s="1"/>
      <c r="L20" s="1"/>
    </row>
    <row r="21" spans="1:12">
      <c r="A21" s="1"/>
      <c r="B21" s="32">
        <v>9</v>
      </c>
      <c r="C21" s="32"/>
      <c r="D21" s="32"/>
      <c r="E21" s="32"/>
      <c r="F21" s="32"/>
      <c r="G21" s="32">
        <v>0</v>
      </c>
      <c r="H21" s="32">
        <v>100</v>
      </c>
      <c r="I21" s="1"/>
      <c r="J21" s="1"/>
      <c r="K21" s="1"/>
      <c r="L21" s="1"/>
    </row>
    <row r="22" spans="1:12">
      <c r="A22" s="1"/>
      <c r="B22" s="32">
        <v>10</v>
      </c>
      <c r="C22" s="32"/>
      <c r="D22" s="32"/>
      <c r="E22" s="32"/>
      <c r="F22" s="32"/>
      <c r="G22" s="32">
        <v>0</v>
      </c>
      <c r="H22" s="32">
        <v>175</v>
      </c>
      <c r="I22" s="1"/>
      <c r="J22" s="1"/>
      <c r="K22" s="1"/>
      <c r="L22" s="1"/>
    </row>
    <row r="23" spans="1:12">
      <c r="A23" s="1"/>
      <c r="B23" s="1"/>
      <c r="C23" s="1"/>
      <c r="D23" s="1"/>
      <c r="E23" s="1"/>
      <c r="F23" s="1"/>
      <c r="G23" s="1"/>
      <c r="H23" s="1"/>
      <c r="I23" s="1"/>
      <c r="J23" s="1"/>
      <c r="K23" s="1"/>
      <c r="L23" s="1"/>
    </row>
    <row r="24" spans="1:12">
      <c r="A24" s="1"/>
      <c r="B24" s="899" t="s">
        <v>941</v>
      </c>
      <c r="C24" s="841" t="s">
        <v>952</v>
      </c>
      <c r="D24" s="841"/>
      <c r="E24" s="841"/>
      <c r="F24" s="841"/>
      <c r="G24" s="841"/>
      <c r="H24" s="841"/>
      <c r="I24" s="1"/>
      <c r="J24" s="1"/>
      <c r="K24" s="1"/>
      <c r="L24" s="1"/>
    </row>
    <row r="25" spans="1:12">
      <c r="A25" s="1"/>
      <c r="B25" s="899"/>
      <c r="C25" s="27" t="s">
        <v>943</v>
      </c>
      <c r="D25" s="27" t="s">
        <v>944</v>
      </c>
      <c r="E25" s="27" t="s">
        <v>945</v>
      </c>
      <c r="F25" s="27" t="s">
        <v>946</v>
      </c>
      <c r="G25" s="27" t="s">
        <v>947</v>
      </c>
      <c r="H25" s="27" t="s">
        <v>948</v>
      </c>
      <c r="I25" s="1"/>
      <c r="J25" s="1"/>
      <c r="K25" s="1"/>
      <c r="L25" s="1"/>
    </row>
    <row r="26" spans="1:12">
      <c r="A26" s="1"/>
      <c r="B26" s="898" t="s">
        <v>949</v>
      </c>
      <c r="C26" s="898"/>
      <c r="D26" s="898"/>
      <c r="E26" s="898"/>
      <c r="F26" s="898"/>
      <c r="G26" s="898"/>
      <c r="H26" s="898"/>
      <c r="I26" s="1"/>
      <c r="J26" s="1"/>
      <c r="K26" s="1"/>
      <c r="L26" s="1"/>
    </row>
    <row r="27" spans="1:12">
      <c r="A27" s="1"/>
      <c r="B27" s="32">
        <v>1</v>
      </c>
      <c r="C27" s="32">
        <v>150</v>
      </c>
      <c r="D27" s="32">
        <v>200</v>
      </c>
      <c r="E27" s="32">
        <v>75</v>
      </c>
      <c r="F27" s="32">
        <v>75</v>
      </c>
      <c r="G27" s="32">
        <v>75</v>
      </c>
      <c r="H27" s="32">
        <v>0</v>
      </c>
      <c r="I27" s="1"/>
      <c r="J27" s="1"/>
      <c r="K27" s="1"/>
      <c r="L27" s="1"/>
    </row>
    <row r="28" spans="1:12">
      <c r="A28" s="1"/>
      <c r="B28" s="32">
        <v>2</v>
      </c>
      <c r="C28" s="32">
        <v>0</v>
      </c>
      <c r="D28" s="32"/>
      <c r="E28" s="32"/>
      <c r="F28" s="32"/>
      <c r="G28" s="32"/>
      <c r="H28" s="32"/>
      <c r="I28" s="1"/>
      <c r="J28" s="1"/>
      <c r="K28" s="1"/>
      <c r="L28" s="1"/>
    </row>
    <row r="29" spans="1:12">
      <c r="A29" s="1"/>
      <c r="B29" s="32">
        <v>3</v>
      </c>
      <c r="C29" s="32"/>
      <c r="D29" s="32"/>
      <c r="E29" s="32"/>
      <c r="F29" s="32">
        <v>315</v>
      </c>
      <c r="G29" s="32">
        <v>260</v>
      </c>
      <c r="H29" s="32">
        <v>260</v>
      </c>
      <c r="I29" s="1"/>
      <c r="J29" s="1"/>
      <c r="K29" s="1"/>
      <c r="L29" s="1"/>
    </row>
    <row r="30" spans="1:12">
      <c r="A30" s="1"/>
      <c r="B30" s="32">
        <v>4</v>
      </c>
      <c r="C30" s="32"/>
      <c r="D30" s="32"/>
      <c r="E30" s="32"/>
      <c r="F30" s="32"/>
      <c r="G30" s="32">
        <v>75</v>
      </c>
      <c r="H30" s="32">
        <v>90</v>
      </c>
      <c r="I30" s="1"/>
      <c r="J30" s="1"/>
      <c r="K30" s="1"/>
      <c r="L30" s="1"/>
    </row>
    <row r="31" spans="1:12">
      <c r="A31" s="1"/>
      <c r="B31" s="898" t="s">
        <v>950</v>
      </c>
      <c r="C31" s="898"/>
      <c r="D31" s="898"/>
      <c r="E31" s="898"/>
      <c r="F31" s="898"/>
      <c r="G31" s="898"/>
      <c r="H31" s="898"/>
      <c r="I31" s="1"/>
      <c r="J31" s="1"/>
      <c r="K31" s="1"/>
      <c r="L31" s="1"/>
    </row>
    <row r="32" spans="1:12">
      <c r="A32" s="1"/>
      <c r="B32" s="32">
        <v>5</v>
      </c>
      <c r="C32" s="32"/>
      <c r="D32" s="32"/>
      <c r="E32" s="32">
        <v>35</v>
      </c>
      <c r="F32" s="32">
        <v>35</v>
      </c>
      <c r="G32" s="32">
        <v>0</v>
      </c>
      <c r="H32" s="32"/>
      <c r="I32" s="1"/>
      <c r="J32" s="1"/>
      <c r="K32" s="1"/>
      <c r="L32" s="1"/>
    </row>
    <row r="33" spans="1:18">
      <c r="A33" s="1"/>
      <c r="B33" s="32">
        <v>6</v>
      </c>
      <c r="C33" s="32"/>
      <c r="D33" s="32"/>
      <c r="E33" s="32"/>
      <c r="F33" s="32">
        <v>225</v>
      </c>
      <c r="G33" s="32">
        <v>0</v>
      </c>
      <c r="H33" s="32"/>
      <c r="I33" s="1"/>
      <c r="J33" s="1"/>
      <c r="K33" s="1"/>
      <c r="L33" s="1"/>
    </row>
    <row r="34" spans="1:18">
      <c r="A34" s="1"/>
      <c r="B34" s="32">
        <v>7</v>
      </c>
      <c r="C34" s="32"/>
      <c r="D34" s="32"/>
      <c r="E34" s="32">
        <v>0</v>
      </c>
      <c r="F34" s="32">
        <v>0</v>
      </c>
      <c r="G34" s="32">
        <v>225</v>
      </c>
      <c r="H34" s="32">
        <v>0</v>
      </c>
      <c r="I34" s="1"/>
      <c r="J34" s="1"/>
      <c r="K34" s="1"/>
      <c r="L34" s="1"/>
    </row>
    <row r="35" spans="1:18">
      <c r="A35" s="1"/>
      <c r="B35" s="898" t="s">
        <v>951</v>
      </c>
      <c r="C35" s="898"/>
      <c r="D35" s="898"/>
      <c r="E35" s="898"/>
      <c r="F35" s="898"/>
      <c r="G35" s="898"/>
      <c r="H35" s="898"/>
      <c r="I35" s="1"/>
      <c r="J35" s="1"/>
      <c r="K35" s="1"/>
      <c r="L35" s="1"/>
    </row>
    <row r="36" spans="1:18">
      <c r="A36" s="1"/>
      <c r="B36" s="32">
        <v>8</v>
      </c>
      <c r="C36" s="32"/>
      <c r="D36" s="32"/>
      <c r="E36" s="32"/>
      <c r="F36" s="32"/>
      <c r="G36" s="32">
        <v>250</v>
      </c>
      <c r="H36" s="32">
        <v>65</v>
      </c>
      <c r="I36" s="1"/>
      <c r="J36" s="1"/>
      <c r="K36" s="1"/>
      <c r="L36" s="1"/>
    </row>
    <row r="37" spans="1:18">
      <c r="A37" s="1"/>
      <c r="B37" s="32">
        <v>9</v>
      </c>
      <c r="C37" s="32"/>
      <c r="D37" s="32"/>
      <c r="E37" s="32"/>
      <c r="F37" s="32"/>
      <c r="G37" s="32">
        <v>25</v>
      </c>
      <c r="H37" s="32">
        <v>0</v>
      </c>
      <c r="I37" s="1"/>
      <c r="J37" s="1"/>
      <c r="K37" s="1"/>
      <c r="L37" s="1"/>
    </row>
    <row r="38" spans="1:18">
      <c r="A38" s="1"/>
      <c r="B38" s="32">
        <v>10</v>
      </c>
      <c r="C38" s="32"/>
      <c r="D38" s="32"/>
      <c r="E38" s="32"/>
      <c r="F38" s="32"/>
      <c r="G38" s="32">
        <v>275</v>
      </c>
      <c r="H38" s="32">
        <v>0</v>
      </c>
      <c r="I38" s="1"/>
      <c r="J38" s="1"/>
      <c r="K38" s="1"/>
      <c r="L38" s="1"/>
    </row>
    <row r="39" spans="1:18">
      <c r="A39" s="1"/>
      <c r="B39" s="1"/>
      <c r="C39" s="1"/>
      <c r="D39" s="1"/>
      <c r="E39" s="1"/>
      <c r="F39" s="1"/>
      <c r="G39" s="1"/>
      <c r="H39" s="1"/>
      <c r="I39" s="1"/>
      <c r="J39" s="1"/>
      <c r="K39" s="1"/>
      <c r="L39" s="1"/>
    </row>
    <row r="40" spans="1:18">
      <c r="A40" s="3"/>
      <c r="B40" s="3"/>
      <c r="C40" s="3"/>
      <c r="D40" s="3"/>
      <c r="E40" s="3"/>
      <c r="F40" s="3"/>
      <c r="G40" s="3"/>
      <c r="H40" s="3"/>
      <c r="I40" s="3"/>
      <c r="J40" s="3"/>
      <c r="K40" s="3"/>
      <c r="L40" s="3"/>
    </row>
    <row r="41" spans="1:18">
      <c r="A41" s="17" t="s">
        <v>133</v>
      </c>
      <c r="B41" s="831" t="s">
        <v>953</v>
      </c>
      <c r="C41" s="831"/>
      <c r="D41" s="831"/>
      <c r="E41" s="831"/>
      <c r="F41" s="831"/>
      <c r="G41" s="831"/>
      <c r="H41" s="831"/>
      <c r="I41" s="831"/>
      <c r="J41" s="831"/>
      <c r="K41" s="831"/>
      <c r="L41" s="1"/>
      <c r="M41" s="9"/>
      <c r="N41" s="9"/>
      <c r="O41" s="9"/>
      <c r="P41" s="9"/>
      <c r="Q41" s="9"/>
      <c r="R41" s="9"/>
    </row>
    <row r="42" spans="1:18">
      <c r="A42" s="17"/>
      <c r="B42" s="831"/>
      <c r="C42" s="831"/>
      <c r="D42" s="831"/>
      <c r="E42" s="831"/>
      <c r="F42" s="831"/>
      <c r="G42" s="831"/>
      <c r="H42" s="831"/>
      <c r="I42" s="831"/>
      <c r="J42" s="831"/>
      <c r="K42" s="831"/>
      <c r="L42" s="1"/>
      <c r="M42" s="9"/>
      <c r="N42" s="9"/>
      <c r="O42" s="9"/>
      <c r="P42" s="9"/>
      <c r="Q42" s="9"/>
      <c r="R42" s="9"/>
    </row>
    <row r="43" spans="1:18">
      <c r="A43" s="14"/>
      <c r="B43" s="14"/>
      <c r="C43" s="14"/>
      <c r="D43" s="14"/>
      <c r="E43" s="14"/>
      <c r="F43" s="14"/>
      <c r="G43" s="1"/>
      <c r="H43" s="1"/>
      <c r="I43" s="1"/>
      <c r="J43" s="1"/>
      <c r="K43" s="1"/>
      <c r="L43" s="1"/>
    </row>
    <row r="44" spans="1:18">
      <c r="A44" s="3"/>
      <c r="B44" s="3"/>
      <c r="C44" s="3"/>
      <c r="D44" s="3"/>
      <c r="E44" s="3"/>
      <c r="F44" s="3"/>
      <c r="G44" s="3"/>
      <c r="H44" s="3"/>
      <c r="I44" s="3"/>
      <c r="J44" s="3"/>
      <c r="K44" s="3"/>
      <c r="L44" s="3"/>
      <c r="M44" s="3"/>
    </row>
    <row r="45" spans="1:18">
      <c r="A45" s="3" t="s">
        <v>20</v>
      </c>
      <c r="B45" s="3"/>
      <c r="C45" s="3"/>
      <c r="D45" s="3"/>
      <c r="E45" s="3"/>
      <c r="F45" s="3"/>
      <c r="G45" s="3"/>
      <c r="H45" s="3"/>
      <c r="I45" s="3"/>
      <c r="J45" s="3"/>
      <c r="K45" s="3"/>
      <c r="L45" s="3"/>
      <c r="M45" s="3"/>
      <c r="N45" s="9"/>
    </row>
    <row r="46" spans="1:18">
      <c r="A46" s="3"/>
      <c r="B46" s="896" t="s">
        <v>642</v>
      </c>
      <c r="C46" s="815" t="s">
        <v>954</v>
      </c>
      <c r="D46" s="815"/>
      <c r="E46" s="815"/>
      <c r="F46" s="815"/>
      <c r="G46" s="815"/>
      <c r="H46" s="815"/>
      <c r="I46" s="3"/>
      <c r="J46" s="3"/>
      <c r="K46" s="3"/>
      <c r="L46" s="3"/>
      <c r="M46" s="3"/>
      <c r="N46" s="9"/>
    </row>
    <row r="47" spans="1:18">
      <c r="A47" s="3"/>
      <c r="B47" s="897"/>
      <c r="C47" s="35">
        <v>6</v>
      </c>
      <c r="D47" s="35">
        <v>12</v>
      </c>
      <c r="E47" s="35">
        <v>18</v>
      </c>
      <c r="F47" s="35">
        <v>24</v>
      </c>
      <c r="G47" s="35">
        <v>30</v>
      </c>
      <c r="H47" s="35">
        <v>36</v>
      </c>
      <c r="I47" s="3"/>
      <c r="J47" s="3"/>
      <c r="K47" s="3"/>
      <c r="L47" s="3"/>
      <c r="M47" s="3"/>
      <c r="N47" s="9"/>
    </row>
    <row r="48" spans="1:18">
      <c r="A48" s="3"/>
      <c r="B48" s="407">
        <v>2018</v>
      </c>
      <c r="C48" s="408">
        <f t="shared" ref="C48:H48" si="0">SUM(C11:C14)</f>
        <v>50</v>
      </c>
      <c r="D48" s="408">
        <f t="shared" si="0"/>
        <v>100</v>
      </c>
      <c r="E48" s="408">
        <f t="shared" si="0"/>
        <v>250</v>
      </c>
      <c r="F48" s="408">
        <f t="shared" si="0"/>
        <v>0</v>
      </c>
      <c r="G48" s="408">
        <f t="shared" si="0"/>
        <v>55</v>
      </c>
      <c r="H48" s="408">
        <f t="shared" si="0"/>
        <v>75</v>
      </c>
      <c r="I48" s="3"/>
      <c r="J48" s="3"/>
      <c r="K48" s="3"/>
      <c r="L48" s="3"/>
      <c r="M48" s="3"/>
      <c r="N48" s="9"/>
    </row>
    <row r="49" spans="1:25">
      <c r="A49" s="3"/>
      <c r="B49" s="407">
        <v>2019</v>
      </c>
      <c r="C49" s="408">
        <f>SUM(E16:E18)</f>
        <v>265</v>
      </c>
      <c r="D49" s="408">
        <f>SUM(F16:F18)</f>
        <v>0</v>
      </c>
      <c r="E49" s="408">
        <f>SUM(G16:G18)</f>
        <v>30</v>
      </c>
      <c r="F49" s="408">
        <f>SUM(H16:H18)</f>
        <v>185</v>
      </c>
      <c r="G49" s="34"/>
      <c r="H49" s="34"/>
      <c r="I49" s="3"/>
      <c r="J49" s="3"/>
      <c r="K49" s="3"/>
      <c r="L49" s="3"/>
      <c r="M49" s="3"/>
      <c r="N49" s="9"/>
    </row>
    <row r="50" spans="1:25">
      <c r="A50" s="3"/>
      <c r="B50" s="407">
        <v>2020</v>
      </c>
      <c r="C50" s="409">
        <f>SUM(G20:G22)</f>
        <v>0</v>
      </c>
      <c r="D50" s="409">
        <f>SUM(H20:H22)</f>
        <v>275</v>
      </c>
      <c r="E50" s="34"/>
      <c r="F50" s="34"/>
      <c r="G50" s="34"/>
      <c r="H50" s="34"/>
      <c r="I50" s="3"/>
      <c r="J50" s="3"/>
      <c r="K50" s="3"/>
      <c r="L50" s="3"/>
      <c r="M50" s="3"/>
      <c r="N50" s="9"/>
    </row>
    <row r="51" spans="1:25">
      <c r="A51" s="3"/>
      <c r="I51" s="3"/>
      <c r="J51" s="3"/>
      <c r="K51" s="18"/>
      <c r="L51" s="18"/>
      <c r="M51" s="18"/>
      <c r="N51" s="18"/>
      <c r="O51" s="18"/>
      <c r="P51" s="18"/>
      <c r="Q51" s="18"/>
      <c r="R51" s="18"/>
      <c r="S51" s="18"/>
      <c r="T51" s="18"/>
      <c r="U51" s="18"/>
      <c r="V51" s="18"/>
      <c r="W51" s="18"/>
      <c r="X51" s="18"/>
      <c r="Y51" s="18"/>
    </row>
    <row r="52" spans="1:25">
      <c r="A52" s="3"/>
      <c r="B52" s="896" t="s">
        <v>58</v>
      </c>
      <c r="C52" s="815" t="s">
        <v>955</v>
      </c>
      <c r="D52" s="815"/>
      <c r="E52" s="815"/>
      <c r="F52" s="815"/>
      <c r="G52" s="815"/>
      <c r="H52" s="815"/>
      <c r="I52" s="3"/>
      <c r="J52" s="3"/>
      <c r="K52" s="18"/>
      <c r="L52" s="18"/>
      <c r="M52" s="18"/>
      <c r="N52" s="18"/>
      <c r="O52" s="18"/>
      <c r="P52" s="18"/>
      <c r="Q52" s="18"/>
      <c r="R52" s="18"/>
      <c r="S52" s="18"/>
      <c r="T52" s="18"/>
      <c r="U52" s="18"/>
      <c r="V52" s="18"/>
      <c r="W52" s="18"/>
      <c r="X52" s="18"/>
      <c r="Y52" s="18"/>
    </row>
    <row r="53" spans="1:25">
      <c r="A53" s="3"/>
      <c r="B53" s="897"/>
      <c r="C53" s="35">
        <v>6</v>
      </c>
      <c r="D53" s="35">
        <v>12</v>
      </c>
      <c r="E53" s="35">
        <v>18</v>
      </c>
      <c r="F53" s="35">
        <v>24</v>
      </c>
      <c r="G53" s="35">
        <v>30</v>
      </c>
      <c r="H53" s="35">
        <v>36</v>
      </c>
      <c r="I53" s="3"/>
      <c r="J53" s="3"/>
      <c r="K53" s="18"/>
      <c r="L53" s="18"/>
      <c r="M53" s="18"/>
      <c r="N53" s="18"/>
      <c r="O53" s="18"/>
      <c r="P53" s="18"/>
      <c r="Q53" s="18"/>
      <c r="R53" s="18"/>
      <c r="S53" s="18"/>
      <c r="T53" s="18"/>
      <c r="U53" s="18"/>
      <c r="V53" s="18"/>
      <c r="W53" s="18"/>
      <c r="X53" s="18"/>
      <c r="Y53" s="18"/>
    </row>
    <row r="54" spans="1:25">
      <c r="A54" s="3"/>
      <c r="B54" s="407">
        <v>2018</v>
      </c>
      <c r="C54" s="408">
        <f>C48</f>
        <v>50</v>
      </c>
      <c r="D54" s="408">
        <f>C54+D48</f>
        <v>150</v>
      </c>
      <c r="E54" s="408">
        <f t="shared" ref="E54:H54" si="1">D54+E48</f>
        <v>400</v>
      </c>
      <c r="F54" s="408">
        <f t="shared" si="1"/>
        <v>400</v>
      </c>
      <c r="G54" s="408">
        <f t="shared" si="1"/>
        <v>455</v>
      </c>
      <c r="H54" s="408">
        <f t="shared" si="1"/>
        <v>530</v>
      </c>
      <c r="I54" s="3"/>
      <c r="J54" s="3"/>
      <c r="K54" s="18"/>
      <c r="L54" s="18"/>
      <c r="M54" s="18"/>
      <c r="N54" s="18"/>
      <c r="O54" s="18"/>
      <c r="P54" s="18"/>
      <c r="Q54" s="18"/>
      <c r="R54" s="18"/>
      <c r="S54" s="18"/>
      <c r="T54" s="18"/>
      <c r="U54" s="18"/>
      <c r="V54" s="18"/>
      <c r="W54" s="18"/>
      <c r="X54" s="18"/>
      <c r="Y54" s="18"/>
    </row>
    <row r="55" spans="1:25">
      <c r="A55" s="3"/>
      <c r="B55" s="407">
        <v>2019</v>
      </c>
      <c r="C55" s="408">
        <f t="shared" ref="C55:C56" si="2">C49</f>
        <v>265</v>
      </c>
      <c r="D55" s="408">
        <f t="shared" ref="D55:F56" si="3">C55+D49</f>
        <v>265</v>
      </c>
      <c r="E55" s="408">
        <f t="shared" si="3"/>
        <v>295</v>
      </c>
      <c r="F55" s="408">
        <f t="shared" si="3"/>
        <v>480</v>
      </c>
      <c r="G55" s="34"/>
      <c r="H55" s="34"/>
      <c r="I55" s="3"/>
      <c r="J55" s="3"/>
      <c r="K55" s="18"/>
      <c r="L55" s="18"/>
      <c r="M55" s="18"/>
      <c r="N55" s="18"/>
      <c r="O55" s="18"/>
      <c r="P55" s="18"/>
      <c r="Q55" s="18"/>
      <c r="R55" s="18"/>
      <c r="S55" s="18"/>
      <c r="T55" s="18"/>
      <c r="U55" s="18"/>
      <c r="V55" s="18"/>
      <c r="W55" s="18"/>
      <c r="X55" s="18"/>
      <c r="Y55" s="18"/>
    </row>
    <row r="56" spans="1:25">
      <c r="A56" s="3"/>
      <c r="B56" s="407">
        <v>2020</v>
      </c>
      <c r="C56" s="409">
        <f t="shared" si="2"/>
        <v>0</v>
      </c>
      <c r="D56" s="409">
        <f t="shared" si="3"/>
        <v>275</v>
      </c>
      <c r="E56" s="34"/>
      <c r="F56" s="34"/>
      <c r="G56" s="34"/>
      <c r="H56" s="34"/>
      <c r="I56" s="3"/>
      <c r="J56" s="3"/>
      <c r="K56" s="18"/>
      <c r="L56" s="18"/>
      <c r="M56" s="18"/>
      <c r="N56" s="18"/>
      <c r="O56" s="18"/>
      <c r="P56" s="18"/>
      <c r="Q56" s="18"/>
      <c r="R56" s="18"/>
      <c r="S56" s="18"/>
      <c r="T56" s="18"/>
      <c r="U56" s="18"/>
      <c r="V56" s="18"/>
      <c r="W56" s="18"/>
      <c r="X56" s="18"/>
      <c r="Y56" s="18"/>
    </row>
    <row r="57" spans="1:25">
      <c r="A57" s="3"/>
      <c r="B57" s="3"/>
      <c r="C57" s="3"/>
      <c r="D57" s="3"/>
      <c r="E57" s="3"/>
      <c r="F57" s="3"/>
      <c r="G57" s="3"/>
      <c r="H57" s="3"/>
      <c r="I57" s="3"/>
      <c r="J57" s="3"/>
      <c r="K57" s="18"/>
      <c r="L57" s="18"/>
      <c r="M57" s="18"/>
      <c r="N57" s="18"/>
      <c r="O57" s="18"/>
      <c r="P57" s="18"/>
      <c r="Q57" s="18"/>
      <c r="R57" s="18"/>
      <c r="S57" s="18"/>
      <c r="T57" s="18"/>
      <c r="U57" s="18"/>
      <c r="V57" s="18"/>
      <c r="W57" s="18"/>
      <c r="X57" s="18"/>
      <c r="Y57" s="18"/>
    </row>
    <row r="58" spans="1:25">
      <c r="A58" s="3"/>
      <c r="B58" s="896" t="s">
        <v>58</v>
      </c>
      <c r="C58" s="815" t="s">
        <v>956</v>
      </c>
      <c r="D58" s="815"/>
      <c r="E58" s="815"/>
      <c r="F58" s="815"/>
      <c r="G58" s="815"/>
      <c r="H58" s="815"/>
      <c r="I58" s="3"/>
      <c r="J58" s="3"/>
      <c r="K58" s="18"/>
      <c r="L58" s="18"/>
      <c r="M58" s="18"/>
      <c r="N58" s="18"/>
      <c r="O58" s="18"/>
      <c r="P58" s="18"/>
      <c r="Q58" s="18"/>
      <c r="R58" s="18"/>
      <c r="S58" s="18"/>
      <c r="T58" s="18"/>
      <c r="U58" s="18"/>
      <c r="V58" s="18"/>
      <c r="W58" s="18"/>
      <c r="X58" s="18"/>
      <c r="Y58" s="18"/>
    </row>
    <row r="59" spans="1:25">
      <c r="A59" s="3"/>
      <c r="B59" s="897"/>
      <c r="C59" s="35">
        <v>6</v>
      </c>
      <c r="D59" s="35">
        <v>12</v>
      </c>
      <c r="E59" s="35">
        <v>18</v>
      </c>
      <c r="F59" s="35">
        <v>24</v>
      </c>
      <c r="G59" s="35">
        <v>30</v>
      </c>
      <c r="H59" s="35">
        <v>36</v>
      </c>
      <c r="I59" s="3"/>
      <c r="J59" s="3"/>
      <c r="K59" s="18"/>
      <c r="L59" s="18"/>
      <c r="M59" s="18"/>
      <c r="N59" s="18"/>
      <c r="O59" s="18"/>
      <c r="P59" s="18"/>
      <c r="Q59" s="18"/>
      <c r="R59" s="18"/>
      <c r="S59" s="18"/>
      <c r="T59" s="18"/>
      <c r="U59" s="18"/>
      <c r="V59" s="18"/>
      <c r="W59" s="18"/>
      <c r="X59" s="18"/>
      <c r="Y59" s="18"/>
    </row>
    <row r="60" spans="1:25">
      <c r="B60" s="407">
        <v>2018</v>
      </c>
      <c r="C60" s="408">
        <f t="shared" ref="C60:H60" si="4">SUM(C27:C30)</f>
        <v>150</v>
      </c>
      <c r="D60" s="408">
        <f t="shared" si="4"/>
        <v>200</v>
      </c>
      <c r="E60" s="408">
        <f t="shared" si="4"/>
        <v>75</v>
      </c>
      <c r="F60" s="408">
        <f t="shared" si="4"/>
        <v>390</v>
      </c>
      <c r="G60" s="408">
        <f t="shared" si="4"/>
        <v>410</v>
      </c>
      <c r="H60" s="408">
        <f t="shared" si="4"/>
        <v>350</v>
      </c>
      <c r="K60" s="18"/>
      <c r="L60" s="18"/>
      <c r="M60" s="18"/>
      <c r="N60" s="18"/>
      <c r="O60" s="18"/>
      <c r="P60" s="18"/>
      <c r="Q60" s="18"/>
      <c r="R60" s="18"/>
      <c r="S60" s="18"/>
      <c r="T60" s="18"/>
      <c r="U60" s="18"/>
      <c r="V60" s="18"/>
      <c r="W60" s="18"/>
      <c r="X60" s="18"/>
      <c r="Y60" s="18"/>
    </row>
    <row r="61" spans="1:25">
      <c r="B61" s="407">
        <v>2019</v>
      </c>
      <c r="C61" s="408">
        <f>SUM(E32:E34)</f>
        <v>35</v>
      </c>
      <c r="D61" s="408">
        <f>SUM(F32:F34)</f>
        <v>260</v>
      </c>
      <c r="E61" s="408">
        <f>SUM(G32:G34)</f>
        <v>225</v>
      </c>
      <c r="F61" s="408">
        <f>SUM(H32:H34)</f>
        <v>0</v>
      </c>
      <c r="G61" s="34"/>
      <c r="H61" s="34"/>
      <c r="K61" s="18"/>
      <c r="L61" s="18"/>
      <c r="M61" s="18"/>
      <c r="N61" s="18"/>
      <c r="O61" s="18"/>
      <c r="P61" s="18"/>
      <c r="Q61" s="18"/>
      <c r="R61" s="18"/>
      <c r="S61" s="18"/>
      <c r="T61" s="18"/>
      <c r="U61" s="18"/>
      <c r="V61" s="18"/>
      <c r="W61" s="18"/>
      <c r="X61" s="18"/>
      <c r="Y61" s="18"/>
    </row>
    <row r="62" spans="1:25">
      <c r="B62" s="407">
        <v>2020</v>
      </c>
      <c r="C62" s="409">
        <f>SUM(G36:G38)</f>
        <v>550</v>
      </c>
      <c r="D62" s="409">
        <f>SUM(H36:H38)</f>
        <v>65</v>
      </c>
      <c r="E62" s="34"/>
      <c r="F62" s="34"/>
      <c r="G62" s="34"/>
      <c r="H62" s="34"/>
      <c r="M62" s="9"/>
      <c r="N62" s="9"/>
    </row>
    <row r="63" spans="1:25">
      <c r="M63" s="9"/>
      <c r="N63" s="9"/>
    </row>
    <row r="64" spans="1:25">
      <c r="B64" s="896" t="s">
        <v>58</v>
      </c>
      <c r="C64" s="815" t="s">
        <v>957</v>
      </c>
      <c r="D64" s="815"/>
      <c r="E64" s="815"/>
      <c r="F64" s="815"/>
      <c r="G64" s="815"/>
      <c r="H64" s="815"/>
      <c r="M64" s="9"/>
      <c r="N64" s="9"/>
    </row>
    <row r="65" spans="1:14">
      <c r="B65" s="897"/>
      <c r="C65" s="35">
        <v>6</v>
      </c>
      <c r="D65" s="35">
        <v>12</v>
      </c>
      <c r="E65" s="35">
        <v>18</v>
      </c>
      <c r="F65" s="35">
        <v>24</v>
      </c>
      <c r="G65" s="35">
        <v>30</v>
      </c>
      <c r="H65" s="35">
        <v>36</v>
      </c>
      <c r="M65" s="9"/>
      <c r="N65" s="9"/>
    </row>
    <row r="66" spans="1:14">
      <c r="B66" s="407">
        <v>2018</v>
      </c>
      <c r="C66" s="408">
        <f>C54+C60</f>
        <v>200</v>
      </c>
      <c r="D66" s="408">
        <f t="shared" ref="D66:H66" si="5">D54+D60</f>
        <v>350</v>
      </c>
      <c r="E66" s="408">
        <f t="shared" si="5"/>
        <v>475</v>
      </c>
      <c r="F66" s="408">
        <f t="shared" si="5"/>
        <v>790</v>
      </c>
      <c r="G66" s="408">
        <f t="shared" si="5"/>
        <v>865</v>
      </c>
      <c r="H66" s="408">
        <f t="shared" si="5"/>
        <v>880</v>
      </c>
      <c r="M66" s="9"/>
      <c r="N66" s="9"/>
    </row>
    <row r="67" spans="1:14">
      <c r="B67" s="407">
        <v>2019</v>
      </c>
      <c r="C67" s="408">
        <f t="shared" ref="C67:F68" si="6">C55+C61</f>
        <v>300</v>
      </c>
      <c r="D67" s="408">
        <f t="shared" si="6"/>
        <v>525</v>
      </c>
      <c r="E67" s="408">
        <f t="shared" si="6"/>
        <v>520</v>
      </c>
      <c r="F67" s="408">
        <f t="shared" si="6"/>
        <v>480</v>
      </c>
      <c r="G67" s="34"/>
      <c r="H67" s="34"/>
      <c r="M67" s="9"/>
      <c r="N67" s="9"/>
    </row>
    <row r="68" spans="1:14">
      <c r="B68" s="407">
        <v>2020</v>
      </c>
      <c r="C68" s="409">
        <f t="shared" si="6"/>
        <v>550</v>
      </c>
      <c r="D68" s="409">
        <f t="shared" si="6"/>
        <v>340</v>
      </c>
      <c r="E68" s="34"/>
      <c r="F68" s="34"/>
      <c r="G68" s="34"/>
      <c r="H68" s="34"/>
      <c r="M68" s="9"/>
      <c r="N68" s="9"/>
    </row>
    <row r="69" spans="1:14">
      <c r="M69" s="9"/>
      <c r="N69" s="9"/>
    </row>
    <row r="70" spans="1:14">
      <c r="A70" s="1" t="s">
        <v>958</v>
      </c>
      <c r="B70" s="1"/>
      <c r="C70" s="1"/>
      <c r="D70" s="1"/>
      <c r="E70" s="1"/>
      <c r="F70" s="1"/>
      <c r="G70" s="1"/>
      <c r="H70" s="1"/>
      <c r="I70" s="1"/>
      <c r="J70" s="1"/>
      <c r="K70" s="1"/>
      <c r="L70" s="1"/>
      <c r="M70" s="9"/>
      <c r="N70" s="9"/>
    </row>
    <row r="71" spans="1:14">
      <c r="A71" s="1"/>
      <c r="B71" s="1"/>
      <c r="C71" s="1"/>
      <c r="D71" s="1"/>
      <c r="E71" s="1"/>
      <c r="F71" s="1"/>
      <c r="G71" s="1"/>
      <c r="H71" s="1"/>
      <c r="I71" s="1"/>
      <c r="J71" s="1"/>
      <c r="K71" s="1"/>
      <c r="L71" s="1"/>
      <c r="M71" s="9"/>
      <c r="N71" s="9"/>
    </row>
    <row r="72" spans="1:14">
      <c r="A72" s="43" t="s">
        <v>959</v>
      </c>
      <c r="B72" s="1"/>
      <c r="C72" s="1"/>
      <c r="D72" s="1"/>
      <c r="E72" s="1"/>
      <c r="F72" s="1"/>
      <c r="G72" s="1"/>
      <c r="H72" s="1"/>
      <c r="I72" s="1"/>
      <c r="J72" s="1"/>
      <c r="K72" s="1"/>
      <c r="L72" s="1"/>
      <c r="M72" s="9"/>
      <c r="N72" s="9"/>
    </row>
    <row r="73" spans="1:14">
      <c r="A73" s="43" t="s">
        <v>960</v>
      </c>
      <c r="B73" s="1"/>
      <c r="C73" s="1"/>
      <c r="D73" s="1"/>
      <c r="E73" s="1"/>
      <c r="F73" s="1"/>
      <c r="G73" s="1"/>
      <c r="H73" s="1"/>
      <c r="I73" s="1"/>
      <c r="J73" s="1"/>
      <c r="K73" s="1"/>
      <c r="L73" s="1"/>
      <c r="M73" s="9"/>
      <c r="N73" s="9"/>
    </row>
    <row r="74" spans="1:14">
      <c r="A74" s="43" t="s">
        <v>961</v>
      </c>
      <c r="B74" s="1"/>
      <c r="C74" s="1"/>
      <c r="D74" s="1"/>
      <c r="E74" s="1"/>
      <c r="F74" s="1"/>
      <c r="G74" s="1"/>
      <c r="H74" s="1"/>
      <c r="I74" s="1"/>
      <c r="J74" s="1"/>
      <c r="K74" s="1"/>
      <c r="L74" s="1"/>
      <c r="M74" s="9"/>
      <c r="N74" s="9"/>
    </row>
    <row r="75" spans="1:14">
      <c r="A75" s="1"/>
      <c r="B75" s="1"/>
      <c r="C75" s="1"/>
      <c r="D75" s="1"/>
      <c r="E75" s="1"/>
      <c r="F75" s="1"/>
      <c r="G75" s="1"/>
      <c r="H75" s="1"/>
      <c r="I75" s="1"/>
      <c r="J75" s="1"/>
      <c r="K75" s="1"/>
      <c r="L75" s="1"/>
      <c r="M75" s="9"/>
      <c r="N75" s="9"/>
    </row>
    <row r="77" spans="1:14">
      <c r="A77" s="17" t="s">
        <v>18</v>
      </c>
      <c r="B77" s="831" t="s">
        <v>962</v>
      </c>
      <c r="C77" s="831"/>
      <c r="D77" s="831"/>
      <c r="E77" s="831"/>
      <c r="F77" s="831"/>
      <c r="G77" s="831"/>
      <c r="H77" s="831"/>
      <c r="I77" s="831"/>
      <c r="J77" s="831"/>
      <c r="K77" s="831"/>
      <c r="L77" s="1"/>
    </row>
    <row r="78" spans="1:14">
      <c r="A78" s="17"/>
      <c r="B78" s="831"/>
      <c r="C78" s="831"/>
      <c r="D78" s="831"/>
      <c r="E78" s="831"/>
      <c r="F78" s="831"/>
      <c r="G78" s="831"/>
      <c r="H78" s="831"/>
      <c r="I78" s="831"/>
      <c r="J78" s="831"/>
      <c r="K78" s="831"/>
      <c r="L78" s="1"/>
    </row>
    <row r="79" spans="1:14">
      <c r="A79" s="17"/>
      <c r="B79" s="1"/>
      <c r="C79" s="1"/>
      <c r="D79" s="1"/>
      <c r="E79" s="1"/>
      <c r="F79" s="1"/>
      <c r="G79" s="1"/>
      <c r="H79" s="1"/>
      <c r="I79" s="1"/>
      <c r="J79" s="1"/>
      <c r="K79" s="1"/>
      <c r="L79" s="1"/>
    </row>
    <row r="80" spans="1:14">
      <c r="A80" s="17"/>
      <c r="B80" s="43" t="s">
        <v>73</v>
      </c>
      <c r="C80" s="1" t="s">
        <v>963</v>
      </c>
      <c r="D80" s="1"/>
      <c r="E80" s="1"/>
      <c r="F80" s="1"/>
      <c r="G80" s="1"/>
      <c r="H80" s="1"/>
      <c r="I80" s="1"/>
      <c r="J80" s="1"/>
      <c r="K80" s="1"/>
      <c r="L80" s="1"/>
    </row>
    <row r="81" spans="1:13">
      <c r="A81" s="17"/>
      <c r="B81" s="43" t="s">
        <v>75</v>
      </c>
      <c r="C81" s="1" t="s">
        <v>964</v>
      </c>
      <c r="D81" s="1"/>
      <c r="E81" s="1"/>
      <c r="F81" s="1"/>
      <c r="G81" s="1"/>
      <c r="H81" s="1"/>
      <c r="I81" s="1"/>
      <c r="J81" s="1"/>
      <c r="K81" s="1"/>
      <c r="L81" s="1"/>
    </row>
    <row r="82" spans="1:13">
      <c r="A82" s="17"/>
      <c r="B82" s="43" t="s">
        <v>77</v>
      </c>
      <c r="C82" s="1" t="s">
        <v>965</v>
      </c>
      <c r="D82" s="1"/>
      <c r="E82" s="1"/>
      <c r="F82" s="1"/>
      <c r="G82" s="1"/>
      <c r="H82" s="1"/>
      <c r="I82" s="1"/>
      <c r="J82" s="1"/>
      <c r="K82" s="1"/>
      <c r="L82" s="1"/>
    </row>
    <row r="83" spans="1:13">
      <c r="A83" s="14"/>
      <c r="B83" s="14"/>
      <c r="C83" s="14"/>
      <c r="D83" s="14"/>
      <c r="E83" s="14"/>
      <c r="F83" s="14"/>
      <c r="G83" s="1"/>
      <c r="H83" s="1"/>
      <c r="I83" s="1"/>
      <c r="J83" s="1"/>
      <c r="K83" s="1"/>
      <c r="L83" s="1"/>
    </row>
    <row r="84" spans="1:13">
      <c r="A84" s="3"/>
      <c r="B84" s="3"/>
      <c r="C84" s="3"/>
      <c r="D84" s="3"/>
      <c r="E84" s="3"/>
      <c r="F84" s="3"/>
      <c r="G84" s="3"/>
      <c r="H84" s="3"/>
      <c r="I84" s="3"/>
      <c r="J84" s="3"/>
      <c r="K84" s="3"/>
      <c r="L84" s="3"/>
    </row>
    <row r="85" spans="1:13">
      <c r="A85" s="3" t="s">
        <v>20</v>
      </c>
      <c r="B85" s="3"/>
      <c r="C85" s="3"/>
      <c r="D85" s="3"/>
      <c r="E85" s="3"/>
      <c r="F85" s="3"/>
      <c r="G85" s="3"/>
      <c r="H85" s="3"/>
      <c r="I85" s="3"/>
      <c r="J85" s="3"/>
      <c r="K85" s="3"/>
      <c r="L85" s="3"/>
    </row>
    <row r="86" spans="1:13">
      <c r="A86" s="3"/>
      <c r="B86" s="3"/>
      <c r="C86" s="3"/>
      <c r="D86" s="3"/>
      <c r="E86" s="3"/>
      <c r="F86" s="3"/>
      <c r="G86" s="3"/>
      <c r="H86" s="3"/>
      <c r="I86" s="3"/>
      <c r="J86" s="3"/>
      <c r="K86" s="3"/>
      <c r="L86" s="3"/>
    </row>
    <row r="87" spans="1:13">
      <c r="A87" s="3"/>
      <c r="B87" s="3" t="s">
        <v>73</v>
      </c>
      <c r="C87" s="3" t="s">
        <v>966</v>
      </c>
      <c r="D87" s="3"/>
      <c r="E87" s="3"/>
      <c r="F87" s="3"/>
      <c r="G87" s="3"/>
      <c r="H87" s="3"/>
      <c r="I87" s="3"/>
      <c r="J87" s="3"/>
      <c r="K87" s="3"/>
      <c r="L87" s="3"/>
    </row>
    <row r="88" spans="1:13">
      <c r="M88" s="3"/>
    </row>
    <row r="89" spans="1:13">
      <c r="B89" s="100" t="s">
        <v>75</v>
      </c>
      <c r="C89" s="2" t="s">
        <v>967</v>
      </c>
      <c r="M89" s="3"/>
    </row>
    <row r="90" spans="1:13">
      <c r="M90" s="3"/>
    </row>
    <row r="91" spans="1:13">
      <c r="B91" s="100" t="s">
        <v>77</v>
      </c>
      <c r="C91" s="2" t="s">
        <v>968</v>
      </c>
    </row>
    <row r="93" spans="1:13">
      <c r="A93" s="1" t="s">
        <v>969</v>
      </c>
      <c r="B93" s="1"/>
      <c r="C93" s="1"/>
      <c r="D93" s="1"/>
      <c r="E93" s="1"/>
      <c r="F93" s="1"/>
      <c r="G93" s="1"/>
      <c r="H93" s="1"/>
      <c r="I93" s="1"/>
      <c r="J93" s="1"/>
      <c r="K93" s="1"/>
      <c r="L93" s="1"/>
    </row>
    <row r="94" spans="1:13">
      <c r="A94" s="1"/>
      <c r="B94" s="1"/>
      <c r="C94" s="1"/>
      <c r="D94" s="1"/>
      <c r="E94" s="1"/>
      <c r="F94" s="1"/>
      <c r="G94" s="1"/>
      <c r="H94" s="1"/>
      <c r="I94" s="1"/>
      <c r="J94" s="1"/>
      <c r="K94" s="1"/>
      <c r="L94" s="1"/>
    </row>
    <row r="95" spans="1:13">
      <c r="A95" s="1"/>
      <c r="B95" s="829" t="s">
        <v>970</v>
      </c>
      <c r="C95" s="841" t="s">
        <v>971</v>
      </c>
      <c r="D95" s="841"/>
      <c r="E95" s="841"/>
      <c r="F95" s="841"/>
      <c r="G95" s="841"/>
      <c r="H95" s="841"/>
      <c r="I95" s="841"/>
      <c r="J95" s="841"/>
      <c r="K95" s="1"/>
      <c r="L95" s="1"/>
    </row>
    <row r="96" spans="1:13">
      <c r="A96" s="1"/>
      <c r="B96" s="829"/>
      <c r="C96" s="27">
        <v>12</v>
      </c>
      <c r="D96" s="27">
        <v>24</v>
      </c>
      <c r="E96" s="27">
        <v>36</v>
      </c>
      <c r="F96" s="27">
        <v>48</v>
      </c>
      <c r="G96" s="27">
        <v>60</v>
      </c>
      <c r="H96" s="27">
        <v>72</v>
      </c>
      <c r="I96" s="27">
        <v>84</v>
      </c>
      <c r="J96" s="27">
        <v>96</v>
      </c>
      <c r="K96" s="1"/>
      <c r="L96" s="1"/>
    </row>
    <row r="97" spans="1:12">
      <c r="A97" s="1"/>
      <c r="B97" s="32">
        <v>2013</v>
      </c>
      <c r="C97" s="32">
        <v>199</v>
      </c>
      <c r="D97" s="32">
        <v>295</v>
      </c>
      <c r="E97" s="32">
        <v>394</v>
      </c>
      <c r="F97" s="32">
        <v>471</v>
      </c>
      <c r="G97" s="32">
        <v>545</v>
      </c>
      <c r="H97" s="32">
        <v>586</v>
      </c>
      <c r="I97" s="32">
        <v>620</v>
      </c>
      <c r="J97" s="32">
        <v>637</v>
      </c>
      <c r="K97" s="1"/>
      <c r="L97" s="1"/>
    </row>
    <row r="98" spans="1:12">
      <c r="A98" s="1"/>
      <c r="B98" s="32">
        <v>2014</v>
      </c>
      <c r="C98" s="32">
        <v>196</v>
      </c>
      <c r="D98" s="32">
        <v>293</v>
      </c>
      <c r="E98" s="32">
        <v>393</v>
      </c>
      <c r="F98" s="32">
        <v>469</v>
      </c>
      <c r="G98" s="32">
        <v>544</v>
      </c>
      <c r="H98" s="32">
        <v>626</v>
      </c>
      <c r="I98" s="32">
        <v>618</v>
      </c>
      <c r="J98" s="340"/>
      <c r="K98" s="1"/>
      <c r="L98" s="1"/>
    </row>
    <row r="99" spans="1:12">
      <c r="A99" s="1"/>
      <c r="B99" s="32">
        <v>2015</v>
      </c>
      <c r="C99" s="32">
        <v>170</v>
      </c>
      <c r="D99" s="32">
        <v>257</v>
      </c>
      <c r="E99" s="32">
        <v>344</v>
      </c>
      <c r="F99" s="32">
        <v>419</v>
      </c>
      <c r="G99" s="32">
        <v>485</v>
      </c>
      <c r="H99" s="32">
        <v>521</v>
      </c>
      <c r="I99" s="340"/>
      <c r="J99" s="340"/>
      <c r="K99" s="1"/>
      <c r="L99" s="1"/>
    </row>
    <row r="100" spans="1:12">
      <c r="A100" s="1"/>
      <c r="B100" s="32">
        <v>2016</v>
      </c>
      <c r="C100" s="32">
        <v>168</v>
      </c>
      <c r="D100" s="32">
        <v>258</v>
      </c>
      <c r="E100" s="32">
        <v>346</v>
      </c>
      <c r="F100" s="32">
        <v>424</v>
      </c>
      <c r="G100" s="32">
        <v>494</v>
      </c>
      <c r="H100" s="32"/>
      <c r="I100" s="340"/>
      <c r="J100" s="340"/>
      <c r="K100" s="1"/>
      <c r="L100" s="1"/>
    </row>
    <row r="101" spans="1:12">
      <c r="A101" s="1"/>
      <c r="B101" s="32">
        <v>2017</v>
      </c>
      <c r="C101" s="32">
        <v>178</v>
      </c>
      <c r="D101" s="32">
        <v>280</v>
      </c>
      <c r="E101" s="32">
        <v>377</v>
      </c>
      <c r="F101" s="32">
        <v>468</v>
      </c>
      <c r="G101" s="32"/>
      <c r="H101" s="32"/>
      <c r="I101" s="340"/>
      <c r="J101" s="340"/>
      <c r="K101" s="1"/>
      <c r="L101" s="1"/>
    </row>
    <row r="102" spans="1:12">
      <c r="A102" s="1"/>
      <c r="B102" s="32">
        <v>2018</v>
      </c>
      <c r="C102" s="32">
        <v>190</v>
      </c>
      <c r="D102" s="32">
        <v>300</v>
      </c>
      <c r="E102" s="32">
        <v>408</v>
      </c>
      <c r="F102" s="32"/>
      <c r="G102" s="32"/>
      <c r="H102" s="32"/>
      <c r="I102" s="340"/>
      <c r="J102" s="340"/>
      <c r="K102" s="1"/>
      <c r="L102" s="1"/>
    </row>
    <row r="103" spans="1:12">
      <c r="A103" s="1"/>
      <c r="B103" s="32">
        <v>2019</v>
      </c>
      <c r="C103" s="32">
        <v>202</v>
      </c>
      <c r="D103" s="32">
        <v>321</v>
      </c>
      <c r="E103" s="32"/>
      <c r="F103" s="32"/>
      <c r="G103" s="32"/>
      <c r="H103" s="32"/>
      <c r="I103" s="340"/>
      <c r="J103" s="340"/>
      <c r="K103" s="1"/>
      <c r="L103" s="1"/>
    </row>
    <row r="104" spans="1:12">
      <c r="A104" s="1"/>
      <c r="B104" s="32">
        <v>2020</v>
      </c>
      <c r="C104" s="32">
        <v>271</v>
      </c>
      <c r="D104" s="32"/>
      <c r="E104" s="32"/>
      <c r="F104" s="32"/>
      <c r="G104" s="32"/>
      <c r="H104" s="32"/>
      <c r="I104" s="340"/>
      <c r="J104" s="340"/>
      <c r="K104" s="1"/>
      <c r="L104" s="1"/>
    </row>
    <row r="105" spans="1:12">
      <c r="A105" s="1"/>
      <c r="B105" s="1"/>
      <c r="C105" s="1"/>
      <c r="D105" s="1"/>
      <c r="E105" s="1"/>
      <c r="F105" s="1"/>
      <c r="G105" s="1"/>
      <c r="H105" s="1"/>
      <c r="I105" s="1"/>
      <c r="J105" s="1"/>
      <c r="K105" s="1"/>
      <c r="L105" s="1"/>
    </row>
    <row r="107" spans="1:12">
      <c r="A107" s="17" t="s">
        <v>25</v>
      </c>
      <c r="B107" s="1" t="s">
        <v>972</v>
      </c>
      <c r="C107" s="1"/>
      <c r="D107" s="1"/>
      <c r="E107" s="1"/>
      <c r="F107" s="1"/>
      <c r="G107" s="1"/>
      <c r="H107" s="1"/>
      <c r="I107" s="1"/>
      <c r="J107" s="1"/>
      <c r="K107" s="1"/>
      <c r="L107" s="1"/>
    </row>
    <row r="108" spans="1:12">
      <c r="A108" s="14"/>
      <c r="B108" s="14"/>
      <c r="C108" s="14"/>
      <c r="D108" s="14"/>
      <c r="E108" s="14"/>
      <c r="F108" s="14"/>
      <c r="G108" s="1"/>
      <c r="H108" s="1"/>
      <c r="I108" s="1"/>
      <c r="J108" s="1"/>
      <c r="K108" s="1"/>
      <c r="L108" s="1"/>
    </row>
    <row r="109" spans="1:12">
      <c r="A109" s="3"/>
      <c r="B109" s="3"/>
      <c r="C109" s="3"/>
      <c r="D109" s="3"/>
      <c r="E109" s="3"/>
      <c r="F109" s="3"/>
      <c r="G109" s="3"/>
      <c r="H109" s="3"/>
      <c r="I109" s="3"/>
      <c r="J109" s="3"/>
      <c r="K109" s="3"/>
      <c r="L109" s="3"/>
    </row>
    <row r="110" spans="1:12">
      <c r="A110" s="3" t="s">
        <v>20</v>
      </c>
      <c r="B110" s="3"/>
      <c r="C110" s="3"/>
      <c r="D110" s="3"/>
      <c r="E110" s="3"/>
      <c r="F110" s="3"/>
      <c r="G110" s="3"/>
      <c r="H110" s="3"/>
      <c r="I110" s="3"/>
      <c r="J110" s="3"/>
      <c r="K110" s="3"/>
      <c r="L110" s="3"/>
    </row>
    <row r="111" spans="1:12">
      <c r="A111" s="3"/>
      <c r="B111" s="410" t="s">
        <v>973</v>
      </c>
      <c r="D111" s="3"/>
      <c r="E111" s="3"/>
      <c r="F111" s="3"/>
      <c r="G111" s="3"/>
      <c r="H111" s="3"/>
      <c r="I111" s="411"/>
      <c r="J111" s="3"/>
      <c r="K111" s="3"/>
      <c r="L111" s="3"/>
    </row>
    <row r="112" spans="1:12" ht="31.2">
      <c r="A112" s="3"/>
      <c r="B112" s="412" t="s">
        <v>49</v>
      </c>
      <c r="C112" s="413">
        <v>12</v>
      </c>
      <c r="D112" s="413">
        <f>12+C112</f>
        <v>24</v>
      </c>
      <c r="E112" s="413">
        <f t="shared" ref="E112:I112" si="7">12+D112</f>
        <v>36</v>
      </c>
      <c r="F112" s="413">
        <f t="shared" si="7"/>
        <v>48</v>
      </c>
      <c r="G112" s="413">
        <f t="shared" si="7"/>
        <v>60</v>
      </c>
      <c r="H112" s="413">
        <f t="shared" si="7"/>
        <v>72</v>
      </c>
      <c r="I112" s="413">
        <f t="shared" si="7"/>
        <v>84</v>
      </c>
      <c r="J112" s="3"/>
      <c r="K112" s="3"/>
      <c r="L112" s="3"/>
    </row>
    <row r="113" spans="1:14">
      <c r="A113" s="3"/>
      <c r="B113" s="94">
        <f>B97</f>
        <v>2013</v>
      </c>
      <c r="C113" s="311">
        <f>D97/C97</f>
        <v>1.4824120603015076</v>
      </c>
      <c r="D113" s="311">
        <f t="shared" ref="D113:I113" si="8">E97/D97</f>
        <v>1.3355932203389831</v>
      </c>
      <c r="E113" s="311">
        <f t="shared" si="8"/>
        <v>1.1954314720812182</v>
      </c>
      <c r="F113" s="311">
        <f t="shared" si="8"/>
        <v>1.1571125265392781</v>
      </c>
      <c r="G113" s="311">
        <f t="shared" si="8"/>
        <v>1.0752293577981651</v>
      </c>
      <c r="H113" s="311">
        <f t="shared" si="8"/>
        <v>1.0580204778156996</v>
      </c>
      <c r="I113" s="311">
        <f t="shared" si="8"/>
        <v>1.0274193548387096</v>
      </c>
      <c r="J113" s="3"/>
      <c r="K113" s="3"/>
      <c r="L113" s="3"/>
    </row>
    <row r="114" spans="1:14">
      <c r="A114" s="3"/>
      <c r="B114" s="94">
        <f t="shared" ref="B114:B119" si="9">B98</f>
        <v>2014</v>
      </c>
      <c r="C114" s="311">
        <f t="shared" ref="C114:H119" si="10">D98/C98</f>
        <v>1.4948979591836735</v>
      </c>
      <c r="D114" s="311">
        <f t="shared" si="10"/>
        <v>1.341296928327645</v>
      </c>
      <c r="E114" s="311">
        <f t="shared" si="10"/>
        <v>1.193384223918575</v>
      </c>
      <c r="F114" s="311">
        <f t="shared" si="10"/>
        <v>1.159914712153518</v>
      </c>
      <c r="G114" s="311">
        <f t="shared" si="10"/>
        <v>1.150735294117647</v>
      </c>
      <c r="H114" s="311">
        <f t="shared" si="10"/>
        <v>0.98722044728434499</v>
      </c>
      <c r="I114" s="311"/>
      <c r="J114" s="3"/>
      <c r="K114" s="3"/>
      <c r="L114" s="3"/>
    </row>
    <row r="115" spans="1:14">
      <c r="A115" s="3"/>
      <c r="B115" s="94">
        <f t="shared" si="9"/>
        <v>2015</v>
      </c>
      <c r="C115" s="311">
        <f t="shared" si="10"/>
        <v>1.5117647058823529</v>
      </c>
      <c r="D115" s="311">
        <f t="shared" si="10"/>
        <v>1.33852140077821</v>
      </c>
      <c r="E115" s="311">
        <f t="shared" si="10"/>
        <v>1.2180232558139534</v>
      </c>
      <c r="F115" s="311">
        <f t="shared" si="10"/>
        <v>1.1575178997613365</v>
      </c>
      <c r="G115" s="311">
        <f t="shared" si="10"/>
        <v>1.0742268041237113</v>
      </c>
      <c r="H115" s="311"/>
      <c r="I115" s="311"/>
      <c r="J115" s="3"/>
      <c r="K115" s="3"/>
      <c r="L115" s="3"/>
    </row>
    <row r="116" spans="1:14">
      <c r="A116" s="3"/>
      <c r="B116" s="94">
        <f t="shared" si="9"/>
        <v>2016</v>
      </c>
      <c r="C116" s="311">
        <f t="shared" si="10"/>
        <v>1.5357142857142858</v>
      </c>
      <c r="D116" s="311">
        <f t="shared" si="10"/>
        <v>1.3410852713178294</v>
      </c>
      <c r="E116" s="311">
        <f t="shared" si="10"/>
        <v>1.2254335260115607</v>
      </c>
      <c r="F116" s="311">
        <f t="shared" si="10"/>
        <v>1.1650943396226414</v>
      </c>
      <c r="G116" s="311"/>
      <c r="H116" s="311"/>
      <c r="I116" s="311"/>
      <c r="J116" s="3"/>
      <c r="K116" s="3"/>
      <c r="L116" s="3"/>
    </row>
    <row r="117" spans="1:14">
      <c r="A117" s="3"/>
      <c r="B117" s="94">
        <f t="shared" si="9"/>
        <v>2017</v>
      </c>
      <c r="C117" s="311">
        <f t="shared" si="10"/>
        <v>1.5730337078651686</v>
      </c>
      <c r="D117" s="311">
        <f t="shared" si="10"/>
        <v>1.3464285714285715</v>
      </c>
      <c r="E117" s="311">
        <f t="shared" si="10"/>
        <v>1.2413793103448276</v>
      </c>
      <c r="F117" s="311"/>
      <c r="G117" s="311"/>
      <c r="H117" s="311"/>
      <c r="I117" s="311"/>
      <c r="J117" s="3"/>
      <c r="K117" s="3"/>
      <c r="L117" s="3"/>
    </row>
    <row r="118" spans="1:14">
      <c r="A118" s="3"/>
      <c r="B118" s="94">
        <f t="shared" si="9"/>
        <v>2018</v>
      </c>
      <c r="C118" s="311">
        <f t="shared" si="10"/>
        <v>1.5789473684210527</v>
      </c>
      <c r="D118" s="311">
        <f t="shared" si="10"/>
        <v>1.36</v>
      </c>
      <c r="E118" s="311"/>
      <c r="F118" s="311"/>
      <c r="G118" s="311"/>
      <c r="H118" s="311"/>
      <c r="I118" s="311"/>
      <c r="J118" s="3"/>
      <c r="K118" s="3"/>
      <c r="L118" s="3"/>
    </row>
    <row r="119" spans="1:14">
      <c r="B119" s="94">
        <f t="shared" si="9"/>
        <v>2019</v>
      </c>
      <c r="C119" s="311">
        <f t="shared" si="10"/>
        <v>1.5891089108910892</v>
      </c>
      <c r="D119" s="311"/>
      <c r="E119" s="311"/>
      <c r="F119" s="311"/>
      <c r="G119" s="311"/>
      <c r="H119" s="311"/>
      <c r="I119" s="311"/>
    </row>
    <row r="121" spans="1:14">
      <c r="B121" s="61" t="s">
        <v>775</v>
      </c>
      <c r="M121" s="3"/>
      <c r="N121" s="3"/>
    </row>
    <row r="122" spans="1:14">
      <c r="B122" s="60" t="s">
        <v>974</v>
      </c>
      <c r="M122" s="3"/>
      <c r="N122" s="3"/>
    </row>
    <row r="123" spans="1:14">
      <c r="B123" s="60" t="s">
        <v>975</v>
      </c>
      <c r="M123" s="3"/>
      <c r="N123" s="3"/>
    </row>
    <row r="124" spans="1:14">
      <c r="B124" s="60" t="s">
        <v>976</v>
      </c>
    </row>
    <row r="126" spans="1:14">
      <c r="A126" s="17" t="s">
        <v>147</v>
      </c>
      <c r="B126" s="1" t="s">
        <v>977</v>
      </c>
      <c r="C126" s="1"/>
      <c r="D126" s="1"/>
      <c r="E126" s="1"/>
      <c r="F126" s="1"/>
      <c r="G126" s="1"/>
      <c r="H126" s="1"/>
      <c r="I126" s="1"/>
      <c r="J126" s="1"/>
      <c r="K126" s="1"/>
      <c r="L126" s="1"/>
    </row>
    <row r="127" spans="1:14">
      <c r="A127" s="14"/>
      <c r="B127" s="14"/>
      <c r="C127" s="14"/>
      <c r="D127" s="14"/>
      <c r="E127" s="14"/>
      <c r="F127" s="14"/>
      <c r="G127" s="1"/>
      <c r="H127" s="1"/>
      <c r="I127" s="1"/>
      <c r="J127" s="1"/>
      <c r="K127" s="1"/>
      <c r="L127" s="1"/>
    </row>
    <row r="128" spans="1:14">
      <c r="A128" s="3"/>
      <c r="B128" s="3"/>
      <c r="C128" s="3"/>
      <c r="D128" s="3"/>
      <c r="E128" s="3"/>
      <c r="F128" s="3"/>
      <c r="G128" s="3"/>
      <c r="H128" s="3"/>
      <c r="I128" s="3"/>
      <c r="J128" s="3"/>
      <c r="K128" s="3"/>
      <c r="L128" s="3"/>
    </row>
    <row r="129" spans="1:13">
      <c r="A129" s="3" t="s">
        <v>20</v>
      </c>
      <c r="B129" s="3"/>
      <c r="C129" s="3"/>
      <c r="D129" s="3"/>
      <c r="E129" s="3"/>
      <c r="F129" s="3"/>
      <c r="G129" s="3"/>
      <c r="H129" s="3"/>
      <c r="I129" s="3"/>
      <c r="J129" s="3"/>
      <c r="K129" s="3"/>
      <c r="L129" s="3"/>
    </row>
    <row r="130" spans="1:13">
      <c r="A130" s="3"/>
      <c r="B130" s="414" t="s">
        <v>978</v>
      </c>
      <c r="C130" s="3"/>
      <c r="D130" s="3"/>
      <c r="E130" s="3"/>
      <c r="F130" s="3"/>
      <c r="G130" s="3"/>
      <c r="H130" s="3"/>
      <c r="I130" s="3"/>
      <c r="J130" s="3"/>
      <c r="K130" s="3"/>
      <c r="L130" s="3"/>
    </row>
    <row r="131" spans="1:13">
      <c r="A131" s="3"/>
      <c r="B131" s="415" t="s">
        <v>979</v>
      </c>
      <c r="C131" s="3"/>
      <c r="D131" s="3"/>
      <c r="E131" s="3"/>
      <c r="F131" s="3"/>
      <c r="G131" s="3"/>
      <c r="H131" s="3"/>
      <c r="I131" s="3"/>
      <c r="J131" s="3"/>
      <c r="K131" s="3"/>
      <c r="L131" s="3"/>
    </row>
    <row r="132" spans="1:13">
      <c r="B132" s="416"/>
    </row>
    <row r="133" spans="1:13">
      <c r="B133" s="417" t="s">
        <v>980</v>
      </c>
    </row>
    <row r="134" spans="1:13">
      <c r="C134" s="418" t="s">
        <v>981</v>
      </c>
      <c r="M134" s="3"/>
    </row>
    <row r="135" spans="1:13">
      <c r="C135" s="418" t="s">
        <v>982</v>
      </c>
      <c r="M135" s="3"/>
    </row>
    <row r="136" spans="1:13">
      <c r="B136" s="417" t="s">
        <v>983</v>
      </c>
    </row>
    <row r="137" spans="1:13">
      <c r="C137" s="418" t="s">
        <v>984</v>
      </c>
    </row>
    <row r="138" spans="1:13">
      <c r="C138" s="418" t="s">
        <v>985</v>
      </c>
    </row>
    <row r="139" spans="1:13">
      <c r="B139" s="417" t="s">
        <v>986</v>
      </c>
    </row>
    <row r="140" spans="1:13">
      <c r="C140" s="418" t="s">
        <v>987</v>
      </c>
    </row>
    <row r="141" spans="1:13">
      <c r="C141" s="418" t="s">
        <v>988</v>
      </c>
    </row>
    <row r="142" spans="1:13">
      <c r="C142" s="418" t="s">
        <v>989</v>
      </c>
    </row>
  </sheetData>
  <mergeCells count="22">
    <mergeCell ref="B24:B25"/>
    <mergeCell ref="C24:H24"/>
    <mergeCell ref="B8:B9"/>
    <mergeCell ref="C8:H8"/>
    <mergeCell ref="B10:H10"/>
    <mergeCell ref="B15:H15"/>
    <mergeCell ref="B19:H19"/>
    <mergeCell ref="B26:H26"/>
    <mergeCell ref="B31:H31"/>
    <mergeCell ref="B35:H35"/>
    <mergeCell ref="B41:K42"/>
    <mergeCell ref="B46:B47"/>
    <mergeCell ref="C46:H46"/>
    <mergeCell ref="B77:K78"/>
    <mergeCell ref="B95:B96"/>
    <mergeCell ref="C95:J95"/>
    <mergeCell ref="B52:B53"/>
    <mergeCell ref="C52:H52"/>
    <mergeCell ref="B58:B59"/>
    <mergeCell ref="C58:H58"/>
    <mergeCell ref="B64:B65"/>
    <mergeCell ref="C64:H64"/>
  </mergeCells>
  <hyperlinks>
    <hyperlink ref="O1" location="TOC!A1" display="Table of Contents" xr:uid="{698BB5B8-6968-4EEB-963A-682A046D273C}"/>
  </hyperlinks>
  <pageMargins left="0.7" right="0.7" top="0.75" bottom="0.75" header="0.3" footer="0.3"/>
  <pageSetup scale="75"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916B-BC1A-4335-B0ED-9E9B7D1B3C71}">
  <dimension ref="A1:R125"/>
  <sheetViews>
    <sheetView zoomScaleNormal="100" workbookViewId="0"/>
  </sheetViews>
  <sheetFormatPr defaultColWidth="8.88671875" defaultRowHeight="15.6"/>
  <cols>
    <col min="1" max="1" width="8.88671875" style="2" customWidth="1"/>
    <col min="2" max="4" width="10.6640625" style="2" customWidth="1"/>
    <col min="5" max="5" width="14.33203125" style="2" customWidth="1"/>
    <col min="6" max="6" width="11.6640625" style="2" customWidth="1"/>
    <col min="7" max="7" width="10.6640625" style="2" customWidth="1"/>
    <col min="8" max="8" width="13" style="2" customWidth="1"/>
    <col min="9" max="10" width="10.6640625" style="2" customWidth="1"/>
    <col min="11" max="16384" width="8.88671875" style="2"/>
  </cols>
  <sheetData>
    <row r="1" spans="1:15" ht="17.399999999999999">
      <c r="A1" s="13" t="s">
        <v>1070</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990</v>
      </c>
      <c r="B3" s="1"/>
      <c r="C3" s="1"/>
      <c r="D3" s="1"/>
      <c r="E3" s="1"/>
      <c r="F3" s="1"/>
      <c r="G3" s="1"/>
      <c r="H3" s="1"/>
      <c r="I3" s="1"/>
      <c r="J3" s="1"/>
      <c r="K3" s="1"/>
      <c r="L3" s="14"/>
    </row>
    <row r="4" spans="1:15">
      <c r="A4" s="43"/>
      <c r="B4" s="1"/>
      <c r="C4" s="1"/>
      <c r="D4" s="1"/>
      <c r="E4" s="1"/>
      <c r="F4" s="1"/>
      <c r="G4" s="1"/>
      <c r="H4" s="1"/>
      <c r="I4" s="1"/>
      <c r="J4" s="1"/>
      <c r="K4" s="1"/>
      <c r="L4" s="1"/>
    </row>
    <row r="5" spans="1:15">
      <c r="A5" s="43"/>
      <c r="B5" s="829" t="s">
        <v>49</v>
      </c>
      <c r="C5" s="841" t="s">
        <v>89</v>
      </c>
      <c r="D5" s="841"/>
      <c r="E5" s="841"/>
      <c r="F5" s="841"/>
      <c r="G5" s="841"/>
      <c r="H5" s="841"/>
      <c r="I5" s="841"/>
      <c r="J5" s="841"/>
      <c r="K5" s="1"/>
      <c r="L5" s="1"/>
    </row>
    <row r="6" spans="1:15">
      <c r="A6" s="43"/>
      <c r="B6" s="829"/>
      <c r="C6" s="27">
        <v>12</v>
      </c>
      <c r="D6" s="27">
        <v>24</v>
      </c>
      <c r="E6" s="27">
        <v>36</v>
      </c>
      <c r="F6" s="27">
        <v>48</v>
      </c>
      <c r="G6" s="27">
        <v>60</v>
      </c>
      <c r="H6" s="27">
        <v>72</v>
      </c>
      <c r="I6" s="27">
        <v>84</v>
      </c>
      <c r="J6" s="27">
        <v>96</v>
      </c>
      <c r="K6" s="1"/>
      <c r="L6" s="1"/>
    </row>
    <row r="7" spans="1:15">
      <c r="A7" s="43"/>
      <c r="B7" s="32">
        <v>2013</v>
      </c>
      <c r="C7" s="32">
        <v>162</v>
      </c>
      <c r="D7" s="32">
        <v>517</v>
      </c>
      <c r="E7" s="32">
        <v>866</v>
      </c>
      <c r="F7" s="92">
        <v>1171</v>
      </c>
      <c r="G7" s="92">
        <v>1402</v>
      </c>
      <c r="H7" s="92">
        <v>1573</v>
      </c>
      <c r="I7" s="92">
        <v>1716</v>
      </c>
      <c r="J7" s="92">
        <v>1824</v>
      </c>
      <c r="K7" s="1"/>
      <c r="L7" s="1"/>
    </row>
    <row r="8" spans="1:15">
      <c r="A8" s="43"/>
      <c r="B8" s="32">
        <v>2014</v>
      </c>
      <c r="C8" s="32">
        <v>171</v>
      </c>
      <c r="D8" s="32">
        <v>523</v>
      </c>
      <c r="E8" s="32">
        <v>875</v>
      </c>
      <c r="F8" s="92">
        <v>1142</v>
      </c>
      <c r="G8" s="92">
        <v>1372</v>
      </c>
      <c r="H8" s="92">
        <v>1565</v>
      </c>
      <c r="I8" s="92">
        <v>1712</v>
      </c>
      <c r="J8" s="32"/>
      <c r="K8" s="1"/>
      <c r="L8" s="1"/>
    </row>
    <row r="9" spans="1:15">
      <c r="A9" s="43"/>
      <c r="B9" s="32">
        <v>2015</v>
      </c>
      <c r="C9" s="32">
        <v>182</v>
      </c>
      <c r="D9" s="32">
        <v>518</v>
      </c>
      <c r="E9" s="32">
        <v>876</v>
      </c>
      <c r="F9" s="92">
        <v>1169</v>
      </c>
      <c r="G9" s="92">
        <v>1424</v>
      </c>
      <c r="H9" s="92">
        <v>1610</v>
      </c>
      <c r="I9" s="32"/>
      <c r="J9" s="32"/>
      <c r="K9" s="1"/>
      <c r="L9" s="1"/>
    </row>
    <row r="10" spans="1:15">
      <c r="A10" s="43"/>
      <c r="B10" s="32">
        <v>2016</v>
      </c>
      <c r="C10" s="32">
        <v>190</v>
      </c>
      <c r="D10" s="32">
        <v>543</v>
      </c>
      <c r="E10" s="32">
        <v>923</v>
      </c>
      <c r="F10" s="92">
        <v>1219</v>
      </c>
      <c r="G10" s="92">
        <v>1460</v>
      </c>
      <c r="H10" s="32"/>
      <c r="I10" s="32"/>
      <c r="J10" s="32"/>
      <c r="K10" s="1"/>
      <c r="L10" s="1"/>
    </row>
    <row r="11" spans="1:15">
      <c r="A11" s="43"/>
      <c r="B11" s="32">
        <v>2017</v>
      </c>
      <c r="C11" s="32">
        <v>198</v>
      </c>
      <c r="D11" s="32">
        <v>540</v>
      </c>
      <c r="E11" s="92">
        <v>1082</v>
      </c>
      <c r="F11" s="92">
        <v>1391</v>
      </c>
      <c r="G11" s="32"/>
      <c r="H11" s="32"/>
      <c r="I11" s="32"/>
      <c r="J11" s="32"/>
      <c r="K11" s="1"/>
      <c r="L11" s="1"/>
    </row>
    <row r="12" spans="1:15">
      <c r="A12" s="43"/>
      <c r="B12" s="32">
        <v>2018</v>
      </c>
      <c r="C12" s="32">
        <v>205</v>
      </c>
      <c r="D12" s="32">
        <v>560</v>
      </c>
      <c r="E12" s="32">
        <v>968</v>
      </c>
      <c r="F12" s="32"/>
      <c r="G12" s="32"/>
      <c r="H12" s="32"/>
      <c r="I12" s="32"/>
      <c r="J12" s="32"/>
      <c r="K12" s="1"/>
      <c r="L12" s="1"/>
    </row>
    <row r="13" spans="1:15">
      <c r="A13" s="43"/>
      <c r="B13" s="32">
        <v>2019</v>
      </c>
      <c r="C13" s="32">
        <v>211</v>
      </c>
      <c r="D13" s="32">
        <v>573</v>
      </c>
      <c r="E13" s="32"/>
      <c r="F13" s="32"/>
      <c r="G13" s="32"/>
      <c r="H13" s="32"/>
      <c r="I13" s="32"/>
      <c r="J13" s="32"/>
      <c r="K13" s="1"/>
      <c r="L13" s="1"/>
    </row>
    <row r="14" spans="1:15">
      <c r="A14" s="43"/>
      <c r="B14" s="32">
        <v>2020</v>
      </c>
      <c r="C14" s="32">
        <v>224</v>
      </c>
      <c r="D14" s="32"/>
      <c r="E14" s="32"/>
      <c r="F14" s="32"/>
      <c r="G14" s="32"/>
      <c r="H14" s="32"/>
      <c r="I14" s="32"/>
      <c r="J14" s="32"/>
      <c r="K14" s="1"/>
      <c r="L14" s="1"/>
    </row>
    <row r="15" spans="1:15">
      <c r="A15" s="43"/>
      <c r="B15" s="1"/>
      <c r="C15" s="1"/>
      <c r="D15" s="1"/>
      <c r="E15" s="1"/>
      <c r="F15" s="1"/>
      <c r="G15" s="1"/>
      <c r="H15" s="1"/>
      <c r="I15" s="1"/>
      <c r="J15" s="1"/>
      <c r="K15" s="1"/>
      <c r="L15" s="1"/>
    </row>
    <row r="16" spans="1:15" ht="31.2">
      <c r="A16" s="43"/>
      <c r="B16" s="5" t="s">
        <v>49</v>
      </c>
      <c r="C16" s="419" t="s">
        <v>991</v>
      </c>
      <c r="D16" s="232" t="s">
        <v>992</v>
      </c>
      <c r="E16" s="232" t="s">
        <v>993</v>
      </c>
      <c r="F16" s="232" t="s">
        <v>994</v>
      </c>
      <c r="G16" s="232" t="s">
        <v>995</v>
      </c>
      <c r="H16" s="232" t="s">
        <v>996</v>
      </c>
      <c r="I16" s="232" t="s">
        <v>997</v>
      </c>
      <c r="J16" s="1"/>
      <c r="K16" s="1"/>
      <c r="L16" s="1"/>
    </row>
    <row r="17" spans="1:18">
      <c r="A17" s="43"/>
      <c r="B17" s="32">
        <v>2013</v>
      </c>
      <c r="C17" s="184">
        <v>3.1909999999999998</v>
      </c>
      <c r="D17" s="184">
        <v>1.675</v>
      </c>
      <c r="E17" s="184">
        <v>1.3520000000000001</v>
      </c>
      <c r="F17" s="184">
        <v>1.1970000000000001</v>
      </c>
      <c r="G17" s="184">
        <v>1.1220000000000001</v>
      </c>
      <c r="H17" s="184">
        <v>1.091</v>
      </c>
      <c r="I17" s="184">
        <v>1.0629999999999999</v>
      </c>
      <c r="J17" s="1"/>
      <c r="K17" s="1"/>
      <c r="L17" s="1"/>
    </row>
    <row r="18" spans="1:18">
      <c r="A18" s="43"/>
      <c r="B18" s="32">
        <v>2014</v>
      </c>
      <c r="C18" s="184">
        <v>3.0579999999999998</v>
      </c>
      <c r="D18" s="184">
        <v>1.673</v>
      </c>
      <c r="E18" s="184">
        <v>1.3049999999999999</v>
      </c>
      <c r="F18" s="184">
        <v>1.2010000000000001</v>
      </c>
      <c r="G18" s="184">
        <v>1.141</v>
      </c>
      <c r="H18" s="184">
        <v>1.0940000000000001</v>
      </c>
      <c r="I18" s="184"/>
      <c r="J18" s="1"/>
      <c r="K18" s="1"/>
      <c r="L18" s="1"/>
    </row>
    <row r="19" spans="1:18">
      <c r="A19" s="43"/>
      <c r="B19" s="32">
        <v>2015</v>
      </c>
      <c r="C19" s="184">
        <v>2.8460000000000001</v>
      </c>
      <c r="D19" s="184">
        <v>1.6910000000000001</v>
      </c>
      <c r="E19" s="184">
        <v>1.3340000000000001</v>
      </c>
      <c r="F19" s="184">
        <v>1.218</v>
      </c>
      <c r="G19" s="184">
        <v>1.131</v>
      </c>
      <c r="H19" s="184"/>
      <c r="I19" s="184"/>
      <c r="J19" s="1"/>
      <c r="K19" s="1"/>
      <c r="L19" s="1"/>
    </row>
    <row r="20" spans="1:18">
      <c r="A20" s="43"/>
      <c r="B20" s="32">
        <v>2016</v>
      </c>
      <c r="C20" s="184">
        <v>2.8580000000000001</v>
      </c>
      <c r="D20" s="184">
        <v>1.7</v>
      </c>
      <c r="E20" s="184">
        <v>1.321</v>
      </c>
      <c r="F20" s="184">
        <v>1.198</v>
      </c>
      <c r="G20" s="184"/>
      <c r="H20" s="184"/>
      <c r="I20" s="184"/>
      <c r="J20" s="1"/>
      <c r="K20" s="1"/>
      <c r="L20" s="1"/>
    </row>
    <row r="21" spans="1:18">
      <c r="A21" s="43"/>
      <c r="B21" s="32">
        <v>2017</v>
      </c>
      <c r="C21" s="184">
        <v>2.7269999999999999</v>
      </c>
      <c r="D21" s="184">
        <v>2.004</v>
      </c>
      <c r="E21" s="184">
        <v>1.286</v>
      </c>
      <c r="F21" s="184"/>
      <c r="G21" s="184"/>
      <c r="H21" s="184"/>
      <c r="I21" s="184"/>
      <c r="J21" s="1"/>
      <c r="K21" s="1"/>
      <c r="L21" s="1"/>
    </row>
    <row r="22" spans="1:18">
      <c r="A22" s="43"/>
      <c r="B22" s="32">
        <v>2018</v>
      </c>
      <c r="C22" s="184">
        <v>2.7320000000000002</v>
      </c>
      <c r="D22" s="184">
        <v>1.7290000000000001</v>
      </c>
      <c r="E22" s="184"/>
      <c r="F22" s="184"/>
      <c r="G22" s="184"/>
      <c r="H22" s="184"/>
      <c r="I22" s="184"/>
      <c r="J22" s="1"/>
      <c r="K22" s="1"/>
      <c r="L22" s="1"/>
    </row>
    <row r="23" spans="1:18">
      <c r="A23" s="43"/>
      <c r="B23" s="32">
        <v>2019</v>
      </c>
      <c r="C23" s="184">
        <v>2.7160000000000002</v>
      </c>
      <c r="D23" s="184"/>
      <c r="E23" s="184"/>
      <c r="F23" s="184"/>
      <c r="G23" s="184"/>
      <c r="H23" s="184"/>
      <c r="I23" s="184"/>
      <c r="J23" s="1"/>
      <c r="K23" s="1"/>
      <c r="L23" s="1"/>
    </row>
    <row r="24" spans="1:18">
      <c r="A24" s="43"/>
      <c r="B24" s="1"/>
      <c r="C24" s="1"/>
      <c r="D24" s="1"/>
      <c r="E24" s="1"/>
      <c r="F24" s="1"/>
      <c r="G24" s="1"/>
      <c r="H24" s="1"/>
      <c r="I24" s="1"/>
      <c r="J24" s="1"/>
      <c r="K24" s="1"/>
      <c r="L24" s="1"/>
    </row>
    <row r="25" spans="1:18" ht="15.6" customHeight="1">
      <c r="A25" s="43" t="s">
        <v>998</v>
      </c>
      <c r="B25" s="43"/>
      <c r="C25" s="43"/>
      <c r="D25" s="43"/>
      <c r="E25" s="436">
        <v>150000</v>
      </c>
      <c r="F25" s="43" t="s">
        <v>999</v>
      </c>
      <c r="G25" s="43"/>
      <c r="H25" s="43"/>
      <c r="I25" s="43"/>
      <c r="J25" s="43"/>
      <c r="K25" s="43"/>
      <c r="L25" s="1"/>
    </row>
    <row r="26" spans="1:18">
      <c r="A26" s="43" t="s">
        <v>1000</v>
      </c>
      <c r="B26" s="43"/>
      <c r="C26" s="43"/>
      <c r="D26" s="43"/>
      <c r="E26" s="43"/>
      <c r="F26" s="43"/>
      <c r="G26" s="43"/>
      <c r="H26" s="43"/>
      <c r="I26" s="43"/>
      <c r="J26" s="43"/>
      <c r="K26" s="43"/>
      <c r="L26" s="1"/>
    </row>
    <row r="27" spans="1:18">
      <c r="A27" s="1"/>
      <c r="B27" s="1"/>
      <c r="C27" s="1"/>
      <c r="D27" s="1"/>
      <c r="E27" s="1"/>
      <c r="F27" s="1"/>
      <c r="G27" s="1"/>
      <c r="H27" s="1"/>
      <c r="I27" s="1"/>
      <c r="J27" s="1"/>
      <c r="K27" s="1"/>
      <c r="L27" s="1"/>
    </row>
    <row r="28" spans="1:18">
      <c r="A28" s="3"/>
      <c r="B28" s="3"/>
      <c r="C28" s="3"/>
      <c r="D28" s="3"/>
      <c r="E28" s="3"/>
      <c r="F28" s="3"/>
      <c r="G28" s="3"/>
      <c r="H28" s="3"/>
      <c r="I28" s="3"/>
      <c r="J28" s="3"/>
      <c r="K28" s="3"/>
      <c r="L28" s="3"/>
    </row>
    <row r="29" spans="1:18">
      <c r="A29" s="17" t="s">
        <v>91</v>
      </c>
      <c r="B29" s="1" t="s">
        <v>1001</v>
      </c>
      <c r="C29" s="1"/>
      <c r="D29" s="1"/>
      <c r="E29" s="1"/>
      <c r="F29" s="1"/>
      <c r="G29" s="1"/>
      <c r="H29" s="1"/>
      <c r="I29" s="1"/>
      <c r="J29" s="1"/>
      <c r="K29" s="1"/>
      <c r="L29" s="1"/>
      <c r="M29" s="9"/>
      <c r="N29" s="9"/>
      <c r="O29" s="9"/>
      <c r="P29" s="9"/>
      <c r="Q29" s="9"/>
      <c r="R29" s="9"/>
    </row>
    <row r="30" spans="1:18">
      <c r="A30" s="14"/>
      <c r="B30" s="14"/>
      <c r="C30" s="14"/>
      <c r="D30" s="14"/>
      <c r="E30" s="14"/>
      <c r="F30" s="14"/>
      <c r="G30" s="1"/>
      <c r="H30" s="1"/>
      <c r="I30" s="1"/>
      <c r="J30" s="1"/>
      <c r="K30" s="1"/>
      <c r="L30" s="1"/>
    </row>
    <row r="31" spans="1:18">
      <c r="A31" s="3"/>
      <c r="B31" s="3"/>
      <c r="C31" s="3"/>
      <c r="D31" s="3"/>
      <c r="E31" s="3"/>
      <c r="F31" s="3"/>
      <c r="G31" s="3"/>
      <c r="H31" s="3"/>
      <c r="I31" s="3"/>
      <c r="J31" s="3"/>
      <c r="K31" s="3"/>
      <c r="L31" s="3"/>
      <c r="M31" s="3"/>
    </row>
    <row r="32" spans="1:18">
      <c r="A32" s="3" t="s">
        <v>20</v>
      </c>
      <c r="B32" s="3"/>
      <c r="C32" s="3"/>
      <c r="D32" s="3"/>
      <c r="E32" s="3"/>
      <c r="F32" s="3"/>
      <c r="G32" s="3"/>
      <c r="H32" s="3"/>
      <c r="I32" s="3"/>
      <c r="J32" s="3"/>
      <c r="K32" s="3"/>
      <c r="L32" s="3"/>
      <c r="M32" s="3"/>
      <c r="N32" s="9"/>
    </row>
    <row r="33" spans="1:14">
      <c r="A33" s="3"/>
      <c r="B33" s="907" t="s">
        <v>1002</v>
      </c>
      <c r="C33" s="907"/>
      <c r="D33" s="907"/>
      <c r="E33" s="907"/>
      <c r="F33" s="907"/>
      <c r="G33" s="907"/>
      <c r="H33" s="907"/>
      <c r="I33" s="907"/>
      <c r="J33" s="3"/>
      <c r="K33" s="3"/>
      <c r="L33" s="3"/>
      <c r="M33" s="3"/>
      <c r="N33" s="9"/>
    </row>
    <row r="34" spans="1:14" ht="28.2">
      <c r="A34" s="3"/>
      <c r="B34" s="420" t="s">
        <v>49</v>
      </c>
      <c r="C34" s="421" t="s">
        <v>991</v>
      </c>
      <c r="D34" s="421" t="s">
        <v>992</v>
      </c>
      <c r="E34" s="421" t="s">
        <v>993</v>
      </c>
      <c r="F34" s="421" t="s">
        <v>994</v>
      </c>
      <c r="G34" s="421" t="s">
        <v>995</v>
      </c>
      <c r="H34" s="421" t="s">
        <v>996</v>
      </c>
      <c r="I34" s="421" t="s">
        <v>997</v>
      </c>
      <c r="J34" s="3"/>
      <c r="K34" s="3"/>
      <c r="L34" s="3"/>
      <c r="M34" s="3"/>
      <c r="N34" s="9"/>
    </row>
    <row r="35" spans="1:14">
      <c r="A35" s="3"/>
      <c r="B35" s="180">
        <v>2013</v>
      </c>
      <c r="C35" s="422">
        <f t="shared" ref="C35:I41" si="0">C17</f>
        <v>3.1909999999999998</v>
      </c>
      <c r="D35" s="422">
        <f t="shared" si="0"/>
        <v>1.675</v>
      </c>
      <c r="E35" s="422">
        <f t="shared" si="0"/>
        <v>1.3520000000000001</v>
      </c>
      <c r="F35" s="422">
        <f t="shared" si="0"/>
        <v>1.1970000000000001</v>
      </c>
      <c r="G35" s="422">
        <f t="shared" si="0"/>
        <v>1.1220000000000001</v>
      </c>
      <c r="H35" s="422">
        <f t="shared" si="0"/>
        <v>1.091</v>
      </c>
      <c r="I35" s="422">
        <f t="shared" si="0"/>
        <v>1.0629999999999999</v>
      </c>
      <c r="J35" s="3"/>
      <c r="K35" s="3"/>
      <c r="L35" s="3"/>
      <c r="M35" s="3"/>
      <c r="N35" s="9"/>
    </row>
    <row r="36" spans="1:14">
      <c r="A36" s="3"/>
      <c r="B36" s="180">
        <v>2014</v>
      </c>
      <c r="C36" s="422">
        <f t="shared" si="0"/>
        <v>3.0579999999999998</v>
      </c>
      <c r="D36" s="422">
        <f>D18</f>
        <v>1.673</v>
      </c>
      <c r="E36" s="422">
        <f>E18</f>
        <v>1.3049999999999999</v>
      </c>
      <c r="F36" s="422">
        <f>F18</f>
        <v>1.2010000000000001</v>
      </c>
      <c r="G36" s="422">
        <f>G18</f>
        <v>1.141</v>
      </c>
      <c r="H36" s="422">
        <f>H18</f>
        <v>1.0940000000000001</v>
      </c>
      <c r="I36" s="422"/>
      <c r="J36" s="3"/>
      <c r="K36" s="3"/>
      <c r="L36" s="3"/>
      <c r="M36" s="3"/>
      <c r="N36" s="9"/>
    </row>
    <row r="37" spans="1:14">
      <c r="A37" s="3"/>
      <c r="B37" s="180">
        <v>2015</v>
      </c>
      <c r="C37" s="422">
        <f t="shared" si="0"/>
        <v>2.8460000000000001</v>
      </c>
      <c r="D37" s="422">
        <f>D19</f>
        <v>1.6910000000000001</v>
      </c>
      <c r="E37" s="422">
        <f>E19</f>
        <v>1.3340000000000001</v>
      </c>
      <c r="F37" s="422">
        <f>F19</f>
        <v>1.218</v>
      </c>
      <c r="G37" s="422">
        <f>G19</f>
        <v>1.131</v>
      </c>
      <c r="H37" s="422"/>
      <c r="I37" s="422"/>
      <c r="J37" s="3"/>
      <c r="K37" s="3"/>
      <c r="L37" s="3"/>
      <c r="M37" s="3"/>
      <c r="N37" s="9"/>
    </row>
    <row r="38" spans="1:14">
      <c r="A38" s="3"/>
      <c r="B38" s="180">
        <v>2016</v>
      </c>
      <c r="C38" s="422">
        <f t="shared" si="0"/>
        <v>2.8580000000000001</v>
      </c>
      <c r="D38" s="422">
        <f>D20</f>
        <v>1.7</v>
      </c>
      <c r="E38" s="422">
        <f>E20</f>
        <v>1.321</v>
      </c>
      <c r="F38" s="422">
        <f>F20</f>
        <v>1.198</v>
      </c>
      <c r="G38" s="422"/>
      <c r="H38" s="422"/>
      <c r="I38" s="422"/>
      <c r="J38" s="3"/>
      <c r="K38" s="3"/>
      <c r="L38" s="3"/>
      <c r="M38" s="3"/>
      <c r="N38" s="9"/>
    </row>
    <row r="39" spans="1:14">
      <c r="A39" s="3"/>
      <c r="B39" s="180">
        <v>2017</v>
      </c>
      <c r="C39" s="422">
        <f t="shared" si="0"/>
        <v>2.7269999999999999</v>
      </c>
      <c r="D39" s="423">
        <f>(E11-E25/1000)/D11</f>
        <v>1.7259259259259259</v>
      </c>
      <c r="E39" s="423">
        <f>(F11-E25/1000)/(E11-E25/1000)</f>
        <v>1.3315450643776825</v>
      </c>
      <c r="F39" s="422"/>
      <c r="G39" s="422"/>
      <c r="H39" s="422"/>
      <c r="I39" s="422"/>
      <c r="J39" s="3"/>
      <c r="K39" s="3"/>
      <c r="L39" s="3"/>
      <c r="M39" s="3"/>
      <c r="N39" s="9"/>
    </row>
    <row r="40" spans="1:14">
      <c r="A40" s="3"/>
      <c r="B40" s="180">
        <v>2018</v>
      </c>
      <c r="C40" s="422">
        <f t="shared" si="0"/>
        <v>2.7320000000000002</v>
      </c>
      <c r="D40" s="422">
        <f>D22</f>
        <v>1.7290000000000001</v>
      </c>
      <c r="E40" s="422"/>
      <c r="F40" s="422"/>
      <c r="G40" s="422"/>
      <c r="H40" s="422"/>
      <c r="I40" s="422"/>
      <c r="J40" s="3"/>
      <c r="K40" s="3"/>
      <c r="L40" s="3"/>
      <c r="M40" s="3"/>
      <c r="N40" s="9"/>
    </row>
    <row r="41" spans="1:14">
      <c r="A41" s="3"/>
      <c r="B41" s="180">
        <v>2019</v>
      </c>
      <c r="C41" s="422">
        <f t="shared" si="0"/>
        <v>2.7160000000000002</v>
      </c>
      <c r="D41" s="422"/>
      <c r="E41" s="422"/>
      <c r="F41" s="422"/>
      <c r="G41" s="422"/>
      <c r="H41" s="422"/>
      <c r="I41" s="422"/>
      <c r="J41" s="3"/>
      <c r="K41" s="3"/>
      <c r="L41" s="3"/>
      <c r="M41" s="3"/>
      <c r="N41" s="9"/>
    </row>
    <row r="42" spans="1:14">
      <c r="A42" s="3"/>
      <c r="B42" s="180"/>
      <c r="C42" s="424"/>
      <c r="D42" s="424"/>
      <c r="E42" s="424"/>
      <c r="F42" s="424"/>
      <c r="G42" s="424"/>
      <c r="H42" s="424"/>
      <c r="I42" s="424"/>
      <c r="J42" s="3"/>
      <c r="K42" s="3"/>
      <c r="L42" s="3"/>
      <c r="M42" s="3"/>
      <c r="N42" s="9"/>
    </row>
    <row r="43" spans="1:14">
      <c r="A43" s="3"/>
      <c r="B43" s="425" t="s">
        <v>1003</v>
      </c>
      <c r="C43" s="422">
        <f>AVERAGE(C35:C41)</f>
        <v>2.8754285714285714</v>
      </c>
      <c r="D43" s="422">
        <f t="shared" ref="D43:I43" si="1">AVERAGE(D35:D41)</f>
        <v>1.6989876543209874</v>
      </c>
      <c r="E43" s="422">
        <f t="shared" si="1"/>
        <v>1.3287090128755366</v>
      </c>
      <c r="F43" s="422">
        <f t="shared" si="1"/>
        <v>1.2035</v>
      </c>
      <c r="G43" s="422">
        <f t="shared" si="1"/>
        <v>1.1313333333333333</v>
      </c>
      <c r="H43" s="422">
        <f t="shared" si="1"/>
        <v>1.0925</v>
      </c>
      <c r="I43" s="422">
        <f t="shared" si="1"/>
        <v>1.0629999999999999</v>
      </c>
      <c r="J43" s="3"/>
      <c r="K43" s="3"/>
      <c r="L43" s="3"/>
      <c r="M43" s="3"/>
      <c r="N43" s="9"/>
    </row>
    <row r="44" spans="1:14">
      <c r="A44" s="3"/>
      <c r="B44" s="425" t="s">
        <v>1004</v>
      </c>
      <c r="C44" s="422">
        <f>AVERAGE(C36:C40)</f>
        <v>2.8441999999999998</v>
      </c>
      <c r="D44" s="422">
        <f>AVERAGE(D35,D37:D39)</f>
        <v>1.6979814814814813</v>
      </c>
      <c r="E44" s="422">
        <f>AVERAGE(E37:E39)</f>
        <v>1.3288483547925609</v>
      </c>
      <c r="F44" s="180"/>
      <c r="G44" s="180"/>
      <c r="H44" s="180"/>
      <c r="I44" s="180"/>
      <c r="J44" s="3"/>
      <c r="K44" s="3"/>
      <c r="L44" s="3"/>
      <c r="M44" s="3"/>
      <c r="N44" s="9"/>
    </row>
    <row r="45" spans="1:14">
      <c r="A45" s="3"/>
      <c r="B45" s="425" t="s">
        <v>1005</v>
      </c>
      <c r="C45" s="422">
        <f>SUM(D7:D13)/SUM(C7:C13)</f>
        <v>2.8612585291887793</v>
      </c>
      <c r="D45" s="423">
        <f>(SUM(E7:E12)-E25/1000)/SUM(D7:D12)</f>
        <v>1.6994689159637613</v>
      </c>
      <c r="E45" s="423">
        <f>(SUM(F7:F11)-E25/1000)/(SUM(E7:E11)-E25/1000)</f>
        <v>1.3287119856887299</v>
      </c>
      <c r="F45" s="422">
        <f>SUM(G7:G10)/SUM(F7:F10)</f>
        <v>1.2035737077217614</v>
      </c>
      <c r="G45" s="422">
        <f>SUM(H7:H9)/SUM(G7:G9)</f>
        <v>1.1310147689375893</v>
      </c>
      <c r="H45" s="422">
        <f>SUM(I7:I8)/SUM(H7:H8)</f>
        <v>1.0924155513065648</v>
      </c>
      <c r="I45" s="422"/>
      <c r="J45" s="3"/>
      <c r="K45" s="3"/>
      <c r="L45" s="3"/>
      <c r="M45" s="3"/>
      <c r="N45" s="9"/>
    </row>
    <row r="46" spans="1:14">
      <c r="A46" s="3"/>
      <c r="B46" s="425" t="s">
        <v>1006</v>
      </c>
      <c r="C46" s="422">
        <f>AVERAGE(C37:C41)</f>
        <v>2.7758000000000003</v>
      </c>
      <c r="D46" s="422">
        <f>AVERAGE(D36:D40)</f>
        <v>1.7037851851851855</v>
      </c>
      <c r="E46" s="422"/>
      <c r="F46" s="180"/>
      <c r="G46" s="180"/>
      <c r="H46" s="180"/>
      <c r="I46" s="180"/>
      <c r="J46" s="3"/>
      <c r="K46" s="3"/>
      <c r="L46" s="3"/>
      <c r="M46" s="3"/>
      <c r="N46" s="9"/>
    </row>
    <row r="47" spans="1:14">
      <c r="A47" s="3"/>
      <c r="B47" s="426" t="s">
        <v>1007</v>
      </c>
      <c r="C47" s="427">
        <f>AVERAGE(C39:C41)</f>
        <v>2.7250000000000001</v>
      </c>
      <c r="D47" s="427">
        <f>AVERAGE(D38:D40)</f>
        <v>1.7183086419753086</v>
      </c>
      <c r="E47" s="427">
        <f>AVERAGE(E37:E39)</f>
        <v>1.3288483547925609</v>
      </c>
      <c r="F47" s="427">
        <f>AVERAGE(F36:F38)</f>
        <v>1.2056666666666667</v>
      </c>
      <c r="G47" s="182"/>
      <c r="H47" s="182"/>
      <c r="I47" s="182"/>
      <c r="J47" s="3"/>
      <c r="K47" s="3"/>
      <c r="L47" s="3"/>
      <c r="M47" s="3"/>
      <c r="N47" s="9"/>
    </row>
    <row r="48" spans="1:14">
      <c r="A48" s="3"/>
      <c r="B48" s="180" t="s">
        <v>797</v>
      </c>
      <c r="C48" s="422">
        <f>C47</f>
        <v>2.7250000000000001</v>
      </c>
      <c r="D48" s="422">
        <f t="shared" ref="D48:F48" si="2">D47</f>
        <v>1.7183086419753086</v>
      </c>
      <c r="E48" s="422">
        <f t="shared" si="2"/>
        <v>1.3288483547925609</v>
      </c>
      <c r="F48" s="422">
        <f t="shared" si="2"/>
        <v>1.2056666666666667</v>
      </c>
      <c r="G48" s="422">
        <f t="shared" ref="G48:H48" si="3">G43</f>
        <v>1.1313333333333333</v>
      </c>
      <c r="H48" s="422">
        <f t="shared" si="3"/>
        <v>1.0925</v>
      </c>
      <c r="I48" s="422">
        <f>I43</f>
        <v>1.0629999999999999</v>
      </c>
      <c r="J48" s="3"/>
      <c r="K48" s="3"/>
      <c r="L48" s="3"/>
      <c r="M48" s="3"/>
      <c r="N48" s="9"/>
    </row>
    <row r="49" spans="1:14">
      <c r="A49" s="3"/>
      <c r="B49" s="3"/>
      <c r="C49" s="3"/>
      <c r="D49" s="3"/>
      <c r="E49" s="3"/>
      <c r="F49" s="3"/>
      <c r="G49" s="3"/>
      <c r="H49" s="3"/>
      <c r="I49" s="3"/>
      <c r="J49" s="3"/>
      <c r="K49" s="3"/>
      <c r="L49" s="3"/>
      <c r="M49" s="3"/>
      <c r="N49" s="9"/>
    </row>
    <row r="50" spans="1:14">
      <c r="A50" s="3"/>
      <c r="B50" s="3" t="s">
        <v>1008</v>
      </c>
      <c r="C50" s="3"/>
      <c r="D50" s="3"/>
      <c r="E50" s="3"/>
      <c r="F50" s="3"/>
      <c r="G50" s="3"/>
      <c r="H50" s="3"/>
      <c r="I50" s="3"/>
      <c r="J50" s="3"/>
      <c r="K50" s="3"/>
      <c r="L50" s="3"/>
      <c r="M50" s="3"/>
      <c r="N50" s="9"/>
    </row>
    <row r="51" spans="1:14">
      <c r="M51" s="9"/>
      <c r="N51" s="9"/>
    </row>
    <row r="52" spans="1:14">
      <c r="A52" s="43" t="s">
        <v>12</v>
      </c>
      <c r="B52" s="1"/>
      <c r="C52" s="1"/>
      <c r="D52" s="1"/>
      <c r="E52" s="1"/>
      <c r="F52" s="1"/>
      <c r="G52" s="1"/>
      <c r="H52" s="1"/>
      <c r="I52" s="1"/>
      <c r="J52" s="1"/>
      <c r="K52" s="1"/>
      <c r="L52" s="1"/>
      <c r="M52" s="9"/>
      <c r="N52" s="9"/>
    </row>
    <row r="53" spans="1:14">
      <c r="A53" s="43"/>
      <c r="B53" s="1"/>
      <c r="C53" s="1"/>
      <c r="D53" s="1"/>
      <c r="E53" s="1"/>
      <c r="F53" s="1"/>
      <c r="G53" s="1"/>
      <c r="H53" s="1"/>
      <c r="I53" s="1"/>
      <c r="J53" s="1"/>
      <c r="K53" s="1"/>
      <c r="L53" s="1"/>
      <c r="M53" s="9"/>
      <c r="N53" s="9"/>
    </row>
    <row r="54" spans="1:14" ht="48" customHeight="1">
      <c r="A54" s="43"/>
      <c r="B54" s="4" t="s">
        <v>49</v>
      </c>
      <c r="C54" s="811" t="s">
        <v>1009</v>
      </c>
      <c r="D54" s="812"/>
      <c r="E54" s="813"/>
      <c r="F54" s="1"/>
      <c r="G54" s="1"/>
      <c r="H54" s="1"/>
      <c r="I54" s="1"/>
      <c r="J54" s="1"/>
      <c r="K54" s="1"/>
      <c r="L54" s="1"/>
      <c r="M54" s="9"/>
      <c r="N54" s="9"/>
    </row>
    <row r="55" spans="1:14">
      <c r="A55" s="43"/>
      <c r="B55" s="32">
        <v>2013</v>
      </c>
      <c r="C55" s="904">
        <v>1975</v>
      </c>
      <c r="D55" s="905"/>
      <c r="E55" s="906"/>
      <c r="F55" s="1"/>
      <c r="G55" s="1"/>
      <c r="H55" s="1"/>
      <c r="I55" s="1"/>
      <c r="J55" s="1"/>
      <c r="K55" s="1"/>
      <c r="L55" s="1"/>
      <c r="M55" s="9"/>
      <c r="N55" s="9"/>
    </row>
    <row r="56" spans="1:14">
      <c r="A56" s="43"/>
      <c r="B56" s="32">
        <v>2014</v>
      </c>
      <c r="C56" s="904">
        <v>1974</v>
      </c>
      <c r="D56" s="905"/>
      <c r="E56" s="906"/>
      <c r="F56" s="1"/>
      <c r="G56" s="1"/>
      <c r="H56" s="1"/>
      <c r="I56" s="1"/>
      <c r="J56" s="1"/>
      <c r="K56" s="1"/>
      <c r="L56" s="1"/>
      <c r="M56" s="9"/>
      <c r="N56" s="9"/>
    </row>
    <row r="57" spans="1:14">
      <c r="A57" s="43"/>
      <c r="B57" s="32">
        <v>2015</v>
      </c>
      <c r="C57" s="904">
        <v>2032</v>
      </c>
      <c r="D57" s="905"/>
      <c r="E57" s="906"/>
      <c r="F57" s="1"/>
      <c r="G57" s="1"/>
      <c r="H57" s="1"/>
      <c r="I57" s="1"/>
      <c r="J57" s="1"/>
      <c r="K57" s="1"/>
      <c r="L57" s="1"/>
      <c r="M57" s="9"/>
      <c r="N57" s="9"/>
    </row>
    <row r="58" spans="1:14">
      <c r="A58" s="43"/>
      <c r="B58" s="32">
        <v>2016</v>
      </c>
      <c r="C58" s="904">
        <v>2078</v>
      </c>
      <c r="D58" s="905"/>
      <c r="E58" s="906"/>
      <c r="F58" s="1"/>
      <c r="G58" s="1"/>
      <c r="H58" s="1"/>
      <c r="I58" s="1"/>
      <c r="J58" s="1"/>
      <c r="K58" s="1"/>
      <c r="L58" s="1"/>
      <c r="M58" s="9"/>
      <c r="N58" s="9"/>
    </row>
    <row r="59" spans="1:14">
      <c r="A59" s="43"/>
      <c r="B59" s="32">
        <v>2017</v>
      </c>
      <c r="C59" s="904">
        <v>2234</v>
      </c>
      <c r="D59" s="905"/>
      <c r="E59" s="906"/>
      <c r="F59" s="1"/>
      <c r="G59" s="1"/>
      <c r="H59" s="1"/>
      <c r="I59" s="1"/>
      <c r="J59" s="1"/>
      <c r="K59" s="1"/>
      <c r="L59" s="1"/>
      <c r="M59" s="9"/>
      <c r="N59" s="9"/>
    </row>
    <row r="60" spans="1:14">
      <c r="A60" s="43"/>
      <c r="B60" s="32">
        <v>2018</v>
      </c>
      <c r="C60" s="904">
        <v>2216</v>
      </c>
      <c r="D60" s="905"/>
      <c r="E60" s="906"/>
      <c r="F60" s="1"/>
      <c r="G60" s="1"/>
      <c r="H60" s="1"/>
      <c r="I60" s="1"/>
      <c r="J60" s="1"/>
      <c r="K60" s="1"/>
      <c r="L60" s="1"/>
      <c r="M60" s="9"/>
      <c r="N60" s="9"/>
    </row>
    <row r="61" spans="1:14">
      <c r="A61" s="43"/>
      <c r="B61" s="32">
        <v>2019</v>
      </c>
      <c r="C61" s="904">
        <v>2261</v>
      </c>
      <c r="D61" s="905"/>
      <c r="E61" s="906"/>
      <c r="F61" s="1"/>
      <c r="G61" s="1"/>
      <c r="H61" s="1"/>
      <c r="I61" s="1"/>
      <c r="J61" s="1"/>
      <c r="K61" s="1"/>
      <c r="L61" s="1"/>
      <c r="M61" s="9"/>
      <c r="N61" s="9"/>
    </row>
    <row r="62" spans="1:14">
      <c r="A62" s="43"/>
      <c r="B62" s="32">
        <v>2020</v>
      </c>
      <c r="C62" s="904">
        <v>2295</v>
      </c>
      <c r="D62" s="905"/>
      <c r="E62" s="906"/>
      <c r="F62" s="1"/>
      <c r="G62" s="1"/>
      <c r="H62" s="1"/>
      <c r="I62" s="1"/>
      <c r="J62" s="1"/>
      <c r="K62" s="1"/>
      <c r="L62" s="1"/>
      <c r="M62" s="9"/>
      <c r="N62" s="9"/>
    </row>
    <row r="63" spans="1:14">
      <c r="A63" s="43"/>
      <c r="B63" s="27" t="s">
        <v>132</v>
      </c>
      <c r="C63" s="900">
        <v>17065</v>
      </c>
      <c r="D63" s="901"/>
      <c r="E63" s="902"/>
      <c r="F63" s="1"/>
      <c r="G63" s="1"/>
      <c r="H63" s="1"/>
      <c r="I63" s="1"/>
      <c r="J63" s="1"/>
      <c r="K63" s="1"/>
      <c r="L63" s="1"/>
      <c r="M63" s="9"/>
      <c r="N63" s="9"/>
    </row>
    <row r="64" spans="1:14">
      <c r="A64" s="43"/>
      <c r="B64" s="1"/>
      <c r="C64" s="1"/>
      <c r="D64" s="1"/>
      <c r="E64" s="1"/>
      <c r="F64" s="1"/>
      <c r="G64" s="1"/>
      <c r="H64" s="1"/>
      <c r="I64" s="1"/>
      <c r="J64" s="1"/>
      <c r="K64" s="1"/>
      <c r="L64" s="1"/>
      <c r="M64" s="9"/>
      <c r="N64" s="9"/>
    </row>
    <row r="66" spans="1:12">
      <c r="A66" s="17" t="s">
        <v>133</v>
      </c>
      <c r="B66" s="1" t="s">
        <v>1010</v>
      </c>
      <c r="C66" s="1"/>
      <c r="D66" s="1"/>
      <c r="E66" s="1"/>
      <c r="F66" s="1"/>
      <c r="G66" s="1"/>
      <c r="H66" s="1"/>
      <c r="I66" s="1"/>
      <c r="J66" s="1"/>
      <c r="K66" s="1"/>
      <c r="L66" s="1"/>
    </row>
    <row r="67" spans="1:12">
      <c r="A67" s="14"/>
      <c r="B67" s="14"/>
      <c r="C67" s="14"/>
      <c r="D67" s="14"/>
      <c r="E67" s="14"/>
      <c r="F67" s="14"/>
      <c r="G67" s="1"/>
      <c r="H67" s="1"/>
      <c r="I67" s="1"/>
      <c r="J67" s="1"/>
      <c r="K67" s="1"/>
      <c r="L67" s="1"/>
    </row>
    <row r="68" spans="1:12">
      <c r="A68" s="3"/>
      <c r="B68" s="3"/>
      <c r="C68" s="3"/>
      <c r="D68" s="3"/>
      <c r="E68" s="3"/>
      <c r="F68" s="3"/>
      <c r="G68" s="3"/>
      <c r="H68" s="3"/>
      <c r="I68" s="3"/>
      <c r="J68" s="3"/>
      <c r="K68" s="3"/>
      <c r="L68" s="3"/>
    </row>
    <row r="69" spans="1:12">
      <c r="A69" s="3" t="s">
        <v>20</v>
      </c>
      <c r="B69" s="3"/>
      <c r="C69" s="3"/>
      <c r="D69" s="3"/>
      <c r="E69" s="3"/>
      <c r="F69" s="3"/>
      <c r="G69" s="3"/>
      <c r="H69" s="3"/>
      <c r="I69" s="3"/>
      <c r="J69" s="3"/>
      <c r="K69" s="3"/>
      <c r="L69" s="3"/>
    </row>
    <row r="70" spans="1:12">
      <c r="A70" s="3"/>
      <c r="B70" s="180"/>
      <c r="C70" s="180"/>
      <c r="D70" s="180"/>
      <c r="E70" s="903" t="s">
        <v>1011</v>
      </c>
      <c r="F70" s="903"/>
      <c r="G70" s="903" t="s">
        <v>1012</v>
      </c>
      <c r="H70" s="903"/>
      <c r="I70" s="180"/>
      <c r="J70" s="3"/>
      <c r="K70" s="3"/>
      <c r="L70" s="3"/>
    </row>
    <row r="71" spans="1:12" ht="69.599999999999994">
      <c r="A71" s="3"/>
      <c r="B71" s="420" t="s">
        <v>49</v>
      </c>
      <c r="C71" s="420" t="s">
        <v>1013</v>
      </c>
      <c r="D71" s="182" t="s">
        <v>1014</v>
      </c>
      <c r="E71" s="421" t="s">
        <v>996</v>
      </c>
      <c r="F71" s="421" t="s">
        <v>997</v>
      </c>
      <c r="G71" s="182">
        <v>96</v>
      </c>
      <c r="H71" s="420" t="s">
        <v>1015</v>
      </c>
      <c r="I71" s="420" t="s">
        <v>1016</v>
      </c>
      <c r="J71" s="3"/>
      <c r="K71" s="3"/>
      <c r="L71" s="3"/>
    </row>
    <row r="72" spans="1:12">
      <c r="A72" s="3"/>
      <c r="B72" s="180">
        <f>B7</f>
        <v>2013</v>
      </c>
      <c r="C72" s="428">
        <f>J7</f>
        <v>1824</v>
      </c>
      <c r="D72" s="180">
        <v>96</v>
      </c>
      <c r="E72" s="180"/>
      <c r="F72" s="180"/>
      <c r="G72" s="428">
        <f>C72</f>
        <v>1824</v>
      </c>
      <c r="H72" s="428">
        <f>C55</f>
        <v>1975</v>
      </c>
      <c r="I72" s="422">
        <f>H72/G72</f>
        <v>1.0827850877192982</v>
      </c>
      <c r="J72" s="3"/>
      <c r="K72" s="3"/>
      <c r="L72" s="3"/>
    </row>
    <row r="73" spans="1:12">
      <c r="A73" s="3"/>
      <c r="B73" s="180">
        <f t="shared" ref="B73:B74" si="4">B8</f>
        <v>2014</v>
      </c>
      <c r="C73" s="428">
        <f>I8</f>
        <v>1712</v>
      </c>
      <c r="D73" s="180">
        <v>84</v>
      </c>
      <c r="E73" s="180"/>
      <c r="F73" s="422">
        <f>F74</f>
        <v>1.0629999999999999</v>
      </c>
      <c r="G73" s="428">
        <f>C73*F73</f>
        <v>1819.856</v>
      </c>
      <c r="H73" s="428">
        <f>C56</f>
        <v>1974</v>
      </c>
      <c r="I73" s="422">
        <f>H73/G73</f>
        <v>1.0847012071284761</v>
      </c>
      <c r="J73" s="3"/>
      <c r="K73" s="3"/>
      <c r="L73" s="3"/>
    </row>
    <row r="74" spans="1:12">
      <c r="A74" s="3"/>
      <c r="B74" s="180">
        <f t="shared" si="4"/>
        <v>2015</v>
      </c>
      <c r="C74" s="428">
        <f>H9</f>
        <v>1610</v>
      </c>
      <c r="D74" s="180">
        <v>72</v>
      </c>
      <c r="E74" s="422">
        <f>H48</f>
        <v>1.0925</v>
      </c>
      <c r="F74" s="422">
        <f>I48</f>
        <v>1.0629999999999999</v>
      </c>
      <c r="G74" s="428">
        <f>C74*E74*F74</f>
        <v>1869.737275</v>
      </c>
      <c r="H74" s="428">
        <f>C57</f>
        <v>2032</v>
      </c>
      <c r="I74" s="422">
        <f>H74/G74</f>
        <v>1.0867837033414227</v>
      </c>
      <c r="J74" s="3"/>
      <c r="K74" s="3"/>
      <c r="L74" s="3"/>
    </row>
    <row r="76" spans="1:12">
      <c r="A76" s="43" t="s">
        <v>1017</v>
      </c>
      <c r="B76" s="1"/>
      <c r="C76" s="1"/>
      <c r="D76" s="1"/>
      <c r="E76" s="1"/>
      <c r="F76" s="1"/>
      <c r="G76" s="1"/>
      <c r="H76" s="1"/>
      <c r="I76" s="1"/>
      <c r="J76" s="1"/>
      <c r="K76" s="1"/>
      <c r="L76" s="1"/>
    </row>
    <row r="77" spans="1:12">
      <c r="A77" s="43"/>
      <c r="B77" s="1"/>
      <c r="C77" s="1"/>
      <c r="D77" s="1"/>
      <c r="E77" s="1"/>
      <c r="F77" s="1"/>
      <c r="G77" s="1"/>
      <c r="H77" s="1"/>
      <c r="I77" s="1"/>
      <c r="J77" s="1"/>
      <c r="K77" s="1"/>
      <c r="L77" s="1"/>
    </row>
    <row r="79" spans="1:12">
      <c r="A79" s="17" t="s">
        <v>18</v>
      </c>
      <c r="B79" s="1" t="s">
        <v>1018</v>
      </c>
      <c r="C79" s="1"/>
      <c r="D79" s="1"/>
      <c r="E79" s="1"/>
      <c r="F79" s="1"/>
      <c r="G79" s="1"/>
      <c r="H79" s="1"/>
      <c r="I79" s="1"/>
      <c r="J79" s="1"/>
      <c r="K79" s="1"/>
      <c r="L79" s="1"/>
    </row>
    <row r="80" spans="1:12">
      <c r="A80" s="14"/>
      <c r="B80" s="14"/>
      <c r="C80" s="14"/>
      <c r="D80" s="14"/>
      <c r="E80" s="14"/>
      <c r="F80" s="14"/>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ht="55.8">
      <c r="A83" s="3"/>
      <c r="B83" s="420" t="s">
        <v>49</v>
      </c>
      <c r="C83" s="420" t="s">
        <v>1013</v>
      </c>
      <c r="D83" s="420" t="s">
        <v>1019</v>
      </c>
      <c r="E83" s="420" t="s">
        <v>1020</v>
      </c>
      <c r="F83" s="420" t="s">
        <v>131</v>
      </c>
      <c r="G83" s="3"/>
      <c r="H83" s="3"/>
      <c r="I83" s="3"/>
      <c r="J83" s="3"/>
      <c r="K83" s="3"/>
      <c r="L83" s="3"/>
    </row>
    <row r="84" spans="1:12">
      <c r="A84" s="3"/>
      <c r="B84" s="180">
        <f t="shared" ref="B84:B89" si="5">B85-1</f>
        <v>2013</v>
      </c>
      <c r="C84" s="428">
        <f>J7</f>
        <v>1824</v>
      </c>
      <c r="D84" s="428">
        <f>C84</f>
        <v>1824</v>
      </c>
      <c r="E84" s="422">
        <v>1.0720000000000001</v>
      </c>
      <c r="F84" s="428">
        <f>D84*E84</f>
        <v>1955.3280000000002</v>
      </c>
      <c r="G84" s="3"/>
      <c r="H84" s="3"/>
      <c r="I84" s="3"/>
      <c r="J84" s="3"/>
      <c r="K84" s="3"/>
      <c r="L84" s="3"/>
    </row>
    <row r="85" spans="1:12">
      <c r="A85" s="3"/>
      <c r="B85" s="180">
        <f t="shared" si="5"/>
        <v>2014</v>
      </c>
      <c r="C85" s="428">
        <f>I8</f>
        <v>1712</v>
      </c>
      <c r="D85" s="428">
        <f t="shared" ref="D85:D91" si="6">C85</f>
        <v>1712</v>
      </c>
      <c r="E85" s="422">
        <f>E84*I48</f>
        <v>1.1395360000000001</v>
      </c>
      <c r="F85" s="428">
        <f t="shared" ref="F85:F91" si="7">D85*E85</f>
        <v>1950.8856320000002</v>
      </c>
      <c r="G85" s="3"/>
      <c r="H85" s="3"/>
      <c r="I85" s="3"/>
      <c r="J85" s="3"/>
      <c r="K85" s="3"/>
      <c r="L85" s="3"/>
    </row>
    <row r="86" spans="1:12">
      <c r="A86" s="3"/>
      <c r="B86" s="180">
        <f t="shared" si="5"/>
        <v>2015</v>
      </c>
      <c r="C86" s="428">
        <f>H9</f>
        <v>1610</v>
      </c>
      <c r="D86" s="428">
        <f t="shared" si="6"/>
        <v>1610</v>
      </c>
      <c r="E86" s="422">
        <f>E85*H48</f>
        <v>1.2449430800000001</v>
      </c>
      <c r="F86" s="428">
        <f t="shared" si="7"/>
        <v>2004.3583588000001</v>
      </c>
      <c r="G86" s="3"/>
      <c r="H86" s="3"/>
      <c r="I86" s="3"/>
      <c r="J86" s="3"/>
      <c r="K86" s="3"/>
      <c r="L86" s="3"/>
    </row>
    <row r="87" spans="1:12">
      <c r="A87" s="3"/>
      <c r="B87" s="180">
        <f t="shared" si="5"/>
        <v>2016</v>
      </c>
      <c r="C87" s="428">
        <f>G10</f>
        <v>1460</v>
      </c>
      <c r="D87" s="428">
        <f t="shared" si="6"/>
        <v>1460</v>
      </c>
      <c r="E87" s="422">
        <f>E86*G48</f>
        <v>1.4084456045066667</v>
      </c>
      <c r="F87" s="428">
        <f t="shared" si="7"/>
        <v>2056.3305825797333</v>
      </c>
      <c r="G87" s="3"/>
      <c r="H87" s="3"/>
      <c r="I87" s="3"/>
      <c r="J87" s="3"/>
      <c r="K87" s="3"/>
      <c r="L87" s="3"/>
    </row>
    <row r="88" spans="1:12">
      <c r="A88" s="3"/>
      <c r="B88" s="180">
        <f t="shared" si="5"/>
        <v>2017</v>
      </c>
      <c r="C88" s="428">
        <f>F11</f>
        <v>1391</v>
      </c>
      <c r="D88" s="429">
        <f>C88-E25/1000</f>
        <v>1241</v>
      </c>
      <c r="E88" s="422">
        <f>E87*F48</f>
        <v>1.6981159171668712</v>
      </c>
      <c r="F88" s="429">
        <f>D88*E88+E25/1000</f>
        <v>2257.3618532040873</v>
      </c>
      <c r="G88" s="3"/>
      <c r="H88" s="3"/>
      <c r="I88" s="3"/>
      <c r="J88" s="3"/>
      <c r="K88" s="3"/>
      <c r="L88" s="3"/>
    </row>
    <row r="89" spans="1:12">
      <c r="A89" s="3"/>
      <c r="B89" s="180">
        <f t="shared" si="5"/>
        <v>2018</v>
      </c>
      <c r="C89" s="428">
        <f>E12</f>
        <v>968</v>
      </c>
      <c r="D89" s="428">
        <f t="shared" si="6"/>
        <v>968</v>
      </c>
      <c r="E89" s="422">
        <f>E88*E48</f>
        <v>2.2565385427742575</v>
      </c>
      <c r="F89" s="428">
        <f t="shared" si="7"/>
        <v>2184.3293094054811</v>
      </c>
      <c r="G89" s="3"/>
      <c r="H89" s="3"/>
      <c r="I89" s="3"/>
      <c r="J89" s="3"/>
      <c r="K89" s="3"/>
      <c r="L89" s="3"/>
    </row>
    <row r="90" spans="1:12">
      <c r="A90" s="3"/>
      <c r="B90" s="180">
        <f>B91-1</f>
        <v>2019</v>
      </c>
      <c r="C90" s="428">
        <f>D13</f>
        <v>573</v>
      </c>
      <c r="D90" s="428">
        <f t="shared" si="6"/>
        <v>573</v>
      </c>
      <c r="E90" s="422">
        <f>E89*D48</f>
        <v>3.8774296789993761</v>
      </c>
      <c r="F90" s="428">
        <f t="shared" si="7"/>
        <v>2221.7672060666423</v>
      </c>
      <c r="G90" s="3"/>
      <c r="H90" s="3"/>
      <c r="I90" s="3"/>
      <c r="J90" s="3"/>
      <c r="K90" s="3"/>
      <c r="L90" s="3"/>
    </row>
    <row r="91" spans="1:12">
      <c r="B91" s="182">
        <v>2020</v>
      </c>
      <c r="C91" s="430">
        <f>C14</f>
        <v>224</v>
      </c>
      <c r="D91" s="430">
        <f t="shared" si="6"/>
        <v>224</v>
      </c>
      <c r="E91" s="427">
        <f>E90*C48</f>
        <v>10.5659958752733</v>
      </c>
      <c r="F91" s="430">
        <f t="shared" si="7"/>
        <v>2366.7830760612192</v>
      </c>
    </row>
    <row r="92" spans="1:12">
      <c r="B92" s="180" t="s">
        <v>132</v>
      </c>
      <c r="C92" s="428">
        <f>SUM(C84:C91)</f>
        <v>9762</v>
      </c>
      <c r="D92" s="428">
        <f>SUM(D84:D91)</f>
        <v>9612</v>
      </c>
      <c r="E92" s="431"/>
      <c r="F92" s="428">
        <f t="shared" ref="F92" si="8">SUM(F84:F91)</f>
        <v>16997.144018117164</v>
      </c>
    </row>
    <row r="94" spans="1:12">
      <c r="A94" s="43" t="s">
        <v>1021</v>
      </c>
      <c r="B94" s="1"/>
      <c r="C94" s="1"/>
      <c r="D94" s="1"/>
      <c r="E94" s="1"/>
      <c r="F94" s="1"/>
      <c r="G94" s="1"/>
      <c r="H94" s="1"/>
      <c r="I94" s="1"/>
      <c r="J94" s="1"/>
      <c r="K94" s="1"/>
      <c r="L94" s="1"/>
    </row>
    <row r="95" spans="1:12">
      <c r="A95" s="43"/>
      <c r="B95" s="1"/>
      <c r="C95" s="1"/>
      <c r="D95" s="1"/>
      <c r="E95" s="1"/>
      <c r="F95" s="1"/>
      <c r="G95" s="1"/>
      <c r="H95" s="1"/>
      <c r="I95" s="1"/>
      <c r="J95" s="1"/>
      <c r="K95" s="1"/>
      <c r="L95" s="1"/>
    </row>
    <row r="96" spans="1:12">
      <c r="A96" s="43" t="s">
        <v>1022</v>
      </c>
      <c r="B96" s="1"/>
      <c r="C96" s="1"/>
      <c r="D96" s="1"/>
      <c r="E96" s="1"/>
      <c r="F96" s="1"/>
      <c r="G96" s="1"/>
      <c r="H96" s="1"/>
      <c r="I96" s="1"/>
      <c r="J96" s="1"/>
      <c r="K96" s="1"/>
      <c r="L96" s="1"/>
    </row>
    <row r="97" spans="1:13">
      <c r="A97" s="43"/>
      <c r="B97" s="1" t="s">
        <v>1023</v>
      </c>
      <c r="C97" s="1"/>
      <c r="D97" s="1"/>
      <c r="E97" s="1"/>
      <c r="F97" s="1"/>
      <c r="G97" s="1"/>
      <c r="H97" s="1"/>
      <c r="I97" s="1"/>
      <c r="J97" s="1"/>
      <c r="K97" s="1"/>
      <c r="L97" s="1"/>
    </row>
    <row r="98" spans="1:13">
      <c r="A98" s="43" t="s">
        <v>1024</v>
      </c>
      <c r="B98" s="1"/>
      <c r="C98" s="1"/>
      <c r="D98" s="1"/>
      <c r="E98" s="1"/>
      <c r="F98" s="437">
        <v>14660000</v>
      </c>
      <c r="G98" s="1"/>
      <c r="H98" s="1"/>
      <c r="I98" s="1"/>
      <c r="J98" s="1"/>
      <c r="K98" s="1"/>
      <c r="L98" s="1"/>
    </row>
    <row r="99" spans="1:13">
      <c r="A99" s="43" t="s">
        <v>1025</v>
      </c>
      <c r="B99" s="1"/>
      <c r="C99" s="1"/>
      <c r="D99" s="1"/>
      <c r="E99" s="1"/>
      <c r="F99" s="1"/>
      <c r="G99" s="1"/>
      <c r="H99" s="1"/>
      <c r="I99" s="1"/>
      <c r="J99" s="377">
        <v>0.08</v>
      </c>
      <c r="K99" s="1"/>
      <c r="L99" s="1"/>
    </row>
    <row r="100" spans="1:13">
      <c r="A100" s="43"/>
      <c r="B100" s="1"/>
      <c r="C100" s="1"/>
      <c r="D100" s="1"/>
      <c r="E100" s="1"/>
      <c r="F100" s="1"/>
      <c r="G100" s="1"/>
      <c r="H100" s="1"/>
      <c r="I100" s="1"/>
      <c r="J100" s="1"/>
      <c r="K100" s="1"/>
      <c r="L100" s="1"/>
    </row>
    <row r="102" spans="1:13">
      <c r="A102" s="17" t="s">
        <v>25</v>
      </c>
      <c r="B102" s="1" t="s">
        <v>1026</v>
      </c>
      <c r="C102" s="1"/>
      <c r="D102" s="1"/>
      <c r="E102" s="1"/>
      <c r="F102" s="1"/>
      <c r="G102" s="1"/>
      <c r="H102" s="1"/>
      <c r="I102" s="1"/>
      <c r="J102" s="1"/>
      <c r="K102" s="1"/>
      <c r="L102" s="1"/>
    </row>
    <row r="103" spans="1:13">
      <c r="A103" s="14"/>
      <c r="B103" s="14"/>
      <c r="C103" s="14"/>
      <c r="D103" s="14"/>
      <c r="E103" s="14"/>
      <c r="F103" s="14"/>
      <c r="G103" s="1"/>
      <c r="H103" s="1"/>
      <c r="I103" s="1"/>
      <c r="J103" s="1"/>
      <c r="K103" s="1"/>
      <c r="L103" s="1"/>
    </row>
    <row r="104" spans="1:13">
      <c r="A104" s="3"/>
      <c r="B104" s="3"/>
      <c r="C104" s="3"/>
      <c r="D104" s="3"/>
      <c r="E104" s="3"/>
      <c r="F104" s="3"/>
      <c r="G104" s="3"/>
      <c r="H104" s="3"/>
      <c r="I104" s="3"/>
      <c r="J104" s="3"/>
      <c r="K104" s="3"/>
      <c r="L104" s="3"/>
    </row>
    <row r="105" spans="1:13">
      <c r="A105" s="3" t="s">
        <v>20</v>
      </c>
      <c r="B105" s="3"/>
      <c r="C105" s="3"/>
      <c r="D105" s="3"/>
      <c r="E105" s="3"/>
      <c r="F105" s="3"/>
      <c r="G105" s="3"/>
      <c r="H105" s="3"/>
      <c r="I105" s="3"/>
      <c r="J105" s="3"/>
      <c r="K105" s="3"/>
      <c r="L105" s="3"/>
    </row>
    <row r="106" spans="1:13">
      <c r="A106" s="3"/>
      <c r="B106" s="425" t="s">
        <v>1027</v>
      </c>
      <c r="C106" s="432">
        <f>F98/1000-C92</f>
        <v>4898</v>
      </c>
      <c r="D106" s="3"/>
      <c r="E106" s="3"/>
      <c r="F106" s="3"/>
      <c r="G106" s="3"/>
      <c r="H106" s="3"/>
      <c r="I106" s="3"/>
      <c r="J106" s="3"/>
      <c r="K106" s="3"/>
      <c r="L106" s="3"/>
    </row>
    <row r="107" spans="1:13">
      <c r="A107" s="3"/>
      <c r="B107" s="425" t="s">
        <v>1028</v>
      </c>
      <c r="C107" s="432">
        <f>C63-F98/1000</f>
        <v>2405</v>
      </c>
      <c r="D107" s="3"/>
      <c r="E107" s="3"/>
      <c r="F107" s="3"/>
      <c r="G107" s="3"/>
      <c r="H107" s="3"/>
      <c r="I107" s="3"/>
      <c r="J107" s="3"/>
      <c r="K107" s="3"/>
      <c r="L107" s="3"/>
    </row>
    <row r="108" spans="1:13">
      <c r="B108" s="170"/>
      <c r="C108" s="170"/>
    </row>
    <row r="109" spans="1:13">
      <c r="B109" s="425" t="s">
        <v>1029</v>
      </c>
      <c r="C109" s="170" t="s">
        <v>1030</v>
      </c>
    </row>
    <row r="110" spans="1:13">
      <c r="B110" s="170"/>
      <c r="C110" s="432">
        <f>(J99*C107)+(J99*0.5*C106)</f>
        <v>388.32000000000005</v>
      </c>
      <c r="M110" s="3"/>
    </row>
    <row r="112" spans="1:13">
      <c r="A112" s="17" t="s">
        <v>147</v>
      </c>
      <c r="B112" s="1" t="s">
        <v>1031</v>
      </c>
      <c r="C112" s="1"/>
      <c r="D112" s="1"/>
      <c r="E112" s="1"/>
      <c r="F112" s="1"/>
      <c r="G112" s="1"/>
      <c r="H112" s="1"/>
      <c r="I112" s="1"/>
      <c r="J112" s="1"/>
      <c r="K112" s="1"/>
      <c r="L112" s="1"/>
    </row>
    <row r="113" spans="1:12">
      <c r="A113" s="14"/>
      <c r="B113" s="14"/>
      <c r="C113" s="14"/>
      <c r="D113" s="14"/>
      <c r="E113" s="14"/>
      <c r="F113" s="14"/>
      <c r="G113" s="1"/>
      <c r="H113" s="1"/>
      <c r="I113" s="1"/>
      <c r="J113" s="1"/>
      <c r="K113" s="1"/>
      <c r="L113" s="1"/>
    </row>
    <row r="114" spans="1:12">
      <c r="A114" s="3"/>
      <c r="B114" s="3"/>
      <c r="C114" s="3"/>
      <c r="D114" s="3"/>
      <c r="E114" s="3"/>
      <c r="F114" s="3"/>
      <c r="G114" s="3"/>
      <c r="H114" s="3"/>
      <c r="I114" s="3"/>
      <c r="J114" s="3"/>
      <c r="K114" s="3"/>
      <c r="L114" s="3"/>
    </row>
    <row r="115" spans="1:12">
      <c r="A115" s="3" t="s">
        <v>20</v>
      </c>
      <c r="B115" s="3"/>
      <c r="C115" s="3"/>
      <c r="D115" s="3"/>
      <c r="E115" s="3"/>
      <c r="F115" s="3"/>
      <c r="G115" s="3"/>
      <c r="H115" s="3"/>
      <c r="I115" s="3"/>
      <c r="J115" s="3"/>
      <c r="K115" s="3"/>
      <c r="L115" s="3"/>
    </row>
    <row r="116" spans="1:12">
      <c r="A116" s="3"/>
      <c r="B116" s="3" t="s">
        <v>1032</v>
      </c>
      <c r="C116" s="3"/>
      <c r="D116" s="3"/>
      <c r="E116" s="3"/>
      <c r="F116" s="3"/>
      <c r="G116" s="3"/>
      <c r="H116" s="3"/>
      <c r="I116" s="3"/>
      <c r="J116" s="3"/>
      <c r="K116" s="3"/>
      <c r="L116" s="3"/>
    </row>
    <row r="117" spans="1:12">
      <c r="A117" s="3"/>
      <c r="B117" s="3"/>
      <c r="C117" s="3"/>
      <c r="D117" s="3"/>
      <c r="E117" s="3"/>
      <c r="F117" s="3"/>
      <c r="G117" s="3"/>
      <c r="H117" s="3"/>
      <c r="I117" s="3"/>
      <c r="J117" s="3"/>
      <c r="K117" s="3"/>
      <c r="L117" s="3"/>
    </row>
    <row r="118" spans="1:12">
      <c r="B118" s="2" t="s">
        <v>1033</v>
      </c>
    </row>
    <row r="120" spans="1:12">
      <c r="A120" s="17" t="s">
        <v>545</v>
      </c>
      <c r="B120" s="1" t="s">
        <v>1034</v>
      </c>
      <c r="C120" s="1"/>
      <c r="D120" s="1"/>
      <c r="E120" s="1"/>
      <c r="F120" s="1"/>
      <c r="G120" s="1"/>
      <c r="H120" s="1"/>
      <c r="I120" s="1"/>
      <c r="J120" s="1"/>
      <c r="K120" s="1"/>
      <c r="L120" s="1"/>
    </row>
    <row r="121" spans="1:12">
      <c r="A121" s="14"/>
      <c r="B121" s="14"/>
      <c r="C121" s="14"/>
      <c r="D121" s="14"/>
      <c r="E121" s="14"/>
      <c r="F121" s="14"/>
      <c r="G121" s="1"/>
      <c r="H121" s="1"/>
      <c r="I121" s="1"/>
      <c r="J121" s="1"/>
      <c r="K121" s="1"/>
      <c r="L121" s="1"/>
    </row>
    <row r="122" spans="1:12">
      <c r="A122" s="3"/>
      <c r="B122" s="3"/>
      <c r="C122" s="3"/>
      <c r="D122" s="3"/>
      <c r="E122" s="3"/>
      <c r="F122" s="3"/>
      <c r="G122" s="3"/>
      <c r="H122" s="3"/>
      <c r="I122" s="3"/>
      <c r="J122" s="3"/>
      <c r="K122" s="3"/>
      <c r="L122" s="3"/>
    </row>
    <row r="123" spans="1:12">
      <c r="A123" s="3" t="s">
        <v>20</v>
      </c>
      <c r="B123" s="3"/>
      <c r="C123" s="3"/>
      <c r="D123" s="3"/>
      <c r="E123" s="3"/>
      <c r="F123" s="3"/>
      <c r="G123" s="3"/>
      <c r="H123" s="3"/>
      <c r="I123" s="3"/>
      <c r="J123" s="3"/>
      <c r="K123" s="3"/>
      <c r="L123" s="3"/>
    </row>
    <row r="124" spans="1:12">
      <c r="A124" s="3"/>
      <c r="B124" s="3" t="s">
        <v>1035</v>
      </c>
      <c r="C124" s="3"/>
      <c r="D124" s="3"/>
      <c r="E124" s="3"/>
      <c r="F124" s="3"/>
      <c r="G124" s="3"/>
      <c r="H124" s="3"/>
      <c r="I124" s="3"/>
      <c r="J124" s="3"/>
      <c r="K124" s="3"/>
      <c r="L124" s="3"/>
    </row>
    <row r="125" spans="1:12">
      <c r="A125" s="3"/>
      <c r="B125" s="3"/>
      <c r="C125" s="3"/>
      <c r="D125" s="3"/>
      <c r="E125" s="3"/>
      <c r="F125" s="3"/>
      <c r="G125" s="3"/>
      <c r="H125" s="3"/>
      <c r="I125" s="3"/>
      <c r="J125" s="3"/>
      <c r="K125" s="3"/>
      <c r="L125" s="3"/>
    </row>
  </sheetData>
  <mergeCells count="15">
    <mergeCell ref="C56:E56"/>
    <mergeCell ref="B5:B6"/>
    <mergeCell ref="C5:J5"/>
    <mergeCell ref="B33:I33"/>
    <mergeCell ref="C54:E54"/>
    <mergeCell ref="C55:E55"/>
    <mergeCell ref="C63:E63"/>
    <mergeCell ref="E70:F70"/>
    <mergeCell ref="G70:H70"/>
    <mergeCell ref="C57:E57"/>
    <mergeCell ref="C58:E58"/>
    <mergeCell ref="C59:E59"/>
    <mergeCell ref="C60:E60"/>
    <mergeCell ref="C61:E61"/>
    <mergeCell ref="C62:E62"/>
  </mergeCells>
  <hyperlinks>
    <hyperlink ref="O1" location="TOC!A1" display="Table of Contents" xr:uid="{13D8463A-D025-4560-B695-E5D8BAE7384A}"/>
  </hyperlinks>
  <pageMargins left="0.7" right="0.7" top="0.75" bottom="0.75" header="0.3" footer="0.3"/>
  <pageSetup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FF1A2-A84D-4307-ADD1-22F8CD370AD8}">
  <dimension ref="A1:P90"/>
  <sheetViews>
    <sheetView zoomScaleNormal="100" workbookViewId="0"/>
  </sheetViews>
  <sheetFormatPr defaultRowHeight="15.6"/>
  <cols>
    <col min="1" max="1" width="12.6640625" style="2" customWidth="1"/>
    <col min="2" max="4" width="10.77734375" style="2" customWidth="1"/>
    <col min="5" max="8" width="12.77734375" style="2" customWidth="1"/>
    <col min="9" max="12" width="8.88671875" style="2" customWidth="1"/>
    <col min="13" max="16384" width="8.88671875" style="2"/>
  </cols>
  <sheetData>
    <row r="1" spans="1:16" ht="17.399999999999999">
      <c r="A1" s="13" t="s">
        <v>350</v>
      </c>
      <c r="B1" s="14"/>
      <c r="C1" s="1"/>
      <c r="D1" s="1" t="s">
        <v>0</v>
      </c>
      <c r="E1" s="14"/>
      <c r="F1" s="14"/>
      <c r="G1" s="14"/>
      <c r="H1" s="14"/>
      <c r="I1" s="14"/>
      <c r="J1" s="14"/>
      <c r="K1" s="14"/>
      <c r="L1" s="14"/>
      <c r="P1" s="21" t="s">
        <v>2927</v>
      </c>
    </row>
    <row r="2" spans="1:16">
      <c r="A2" s="14"/>
      <c r="B2" s="14"/>
      <c r="C2" s="14"/>
      <c r="D2" s="14"/>
      <c r="E2" s="14"/>
      <c r="F2" s="14"/>
      <c r="G2" s="14"/>
      <c r="H2" s="14"/>
      <c r="I2" s="14"/>
      <c r="J2" s="14"/>
      <c r="K2" s="14"/>
      <c r="L2" s="14"/>
    </row>
    <row r="3" spans="1:16">
      <c r="A3" s="1" t="s">
        <v>87</v>
      </c>
      <c r="B3" s="14"/>
      <c r="C3" s="14"/>
      <c r="D3" s="14"/>
      <c r="E3" s="14"/>
      <c r="F3" s="14"/>
      <c r="G3" s="14"/>
      <c r="H3" s="14"/>
      <c r="I3" s="14"/>
      <c r="J3" s="14"/>
      <c r="K3" s="14"/>
      <c r="L3" s="14"/>
    </row>
    <row r="4" spans="1:16">
      <c r="A4" s="1"/>
      <c r="B4" s="14"/>
      <c r="C4" s="14"/>
      <c r="D4" s="14"/>
      <c r="E4" s="14"/>
      <c r="F4" s="14"/>
      <c r="G4" s="14"/>
      <c r="H4" s="14"/>
      <c r="I4" s="14"/>
      <c r="J4" s="14"/>
      <c r="K4" s="14"/>
      <c r="L4" s="14"/>
    </row>
    <row r="5" spans="1:16" ht="15.6" customHeight="1">
      <c r="A5" s="1"/>
      <c r="B5" s="23" t="s">
        <v>53</v>
      </c>
      <c r="C5" s="811" t="s">
        <v>88</v>
      </c>
      <c r="D5" s="812"/>
      <c r="E5" s="812"/>
      <c r="F5" s="813"/>
      <c r="G5" s="14"/>
      <c r="H5" s="14"/>
      <c r="I5" s="14"/>
      <c r="J5" s="14"/>
      <c r="K5" s="14"/>
      <c r="L5" s="14"/>
    </row>
    <row r="6" spans="1:16">
      <c r="A6" s="1"/>
      <c r="B6" s="24" t="s">
        <v>55</v>
      </c>
      <c r="C6" s="39">
        <v>12</v>
      </c>
      <c r="D6" s="5">
        <v>24</v>
      </c>
      <c r="E6" s="5">
        <v>36</v>
      </c>
      <c r="F6" s="5">
        <v>48</v>
      </c>
      <c r="G6" s="14"/>
      <c r="H6" s="14"/>
      <c r="I6" s="14"/>
      <c r="J6" s="14"/>
      <c r="K6" s="14"/>
      <c r="L6" s="14"/>
    </row>
    <row r="7" spans="1:16">
      <c r="A7" s="1"/>
      <c r="B7" s="25">
        <v>2016</v>
      </c>
      <c r="C7" s="7">
        <v>12800</v>
      </c>
      <c r="D7" s="7">
        <v>16380</v>
      </c>
      <c r="E7" s="7">
        <v>18350</v>
      </c>
      <c r="F7" s="7">
        <v>19080</v>
      </c>
      <c r="G7" s="14"/>
      <c r="H7" s="14"/>
      <c r="I7" s="14"/>
      <c r="J7" s="14"/>
      <c r="K7" s="14"/>
      <c r="L7" s="14"/>
    </row>
    <row r="8" spans="1:16">
      <c r="A8" s="1"/>
      <c r="B8" s="25">
        <v>2017</v>
      </c>
      <c r="C8" s="7">
        <v>13700</v>
      </c>
      <c r="D8" s="7">
        <v>17810</v>
      </c>
      <c r="E8" s="7">
        <v>19590</v>
      </c>
      <c r="F8" s="7"/>
      <c r="G8" s="14"/>
      <c r="H8" s="14"/>
      <c r="I8" s="14"/>
      <c r="J8" s="14"/>
      <c r="K8" s="14"/>
      <c r="L8" s="14"/>
    </row>
    <row r="9" spans="1:16">
      <c r="A9" s="1"/>
      <c r="B9" s="25">
        <v>2018</v>
      </c>
      <c r="C9" s="7">
        <v>15200</v>
      </c>
      <c r="D9" s="7">
        <v>19150</v>
      </c>
      <c r="E9" s="7"/>
      <c r="F9" s="7"/>
      <c r="G9" s="14"/>
      <c r="H9" s="14"/>
      <c r="I9" s="14"/>
      <c r="J9" s="14"/>
      <c r="K9" s="14"/>
      <c r="L9" s="14"/>
    </row>
    <row r="10" spans="1:16">
      <c r="A10" s="1"/>
      <c r="B10" s="25">
        <v>2019</v>
      </c>
      <c r="C10" s="7">
        <v>14800</v>
      </c>
      <c r="D10" s="6"/>
      <c r="E10" s="6"/>
      <c r="F10" s="6"/>
      <c r="G10" s="14"/>
      <c r="H10" s="14"/>
      <c r="I10" s="14"/>
      <c r="J10" s="14"/>
      <c r="K10" s="14"/>
      <c r="L10" s="14"/>
    </row>
    <row r="11" spans="1:16">
      <c r="A11" s="1"/>
      <c r="B11" s="1"/>
      <c r="C11" s="1"/>
      <c r="D11" s="1"/>
      <c r="E11" s="1"/>
      <c r="F11" s="46"/>
      <c r="G11" s="14"/>
      <c r="H11" s="14"/>
      <c r="I11" s="14"/>
      <c r="J11" s="14"/>
      <c r="K11" s="14"/>
      <c r="L11" s="14"/>
    </row>
    <row r="12" spans="1:16">
      <c r="A12" s="1"/>
      <c r="B12" s="23" t="s">
        <v>53</v>
      </c>
      <c r="C12" s="811" t="s">
        <v>89</v>
      </c>
      <c r="D12" s="812"/>
      <c r="E12" s="812"/>
      <c r="F12" s="813"/>
      <c r="G12" s="14"/>
      <c r="H12" s="14"/>
      <c r="I12" s="14"/>
      <c r="J12" s="14"/>
      <c r="K12" s="14"/>
      <c r="L12" s="14"/>
    </row>
    <row r="13" spans="1:16">
      <c r="A13" s="1"/>
      <c r="B13" s="24" t="s">
        <v>55</v>
      </c>
      <c r="C13" s="39">
        <v>12</v>
      </c>
      <c r="D13" s="5">
        <v>24</v>
      </c>
      <c r="E13" s="5">
        <v>36</v>
      </c>
      <c r="F13" s="5">
        <v>48</v>
      </c>
      <c r="G13" s="14"/>
      <c r="H13" s="14"/>
      <c r="I13" s="14"/>
      <c r="J13" s="14"/>
      <c r="K13" s="14"/>
      <c r="L13" s="14"/>
    </row>
    <row r="14" spans="1:16">
      <c r="A14" s="1"/>
      <c r="B14" s="25">
        <v>2016</v>
      </c>
      <c r="C14" s="7">
        <v>9730</v>
      </c>
      <c r="D14" s="7">
        <v>14580</v>
      </c>
      <c r="E14" s="7">
        <v>17430</v>
      </c>
      <c r="F14" s="7">
        <v>18300</v>
      </c>
      <c r="G14" s="14"/>
      <c r="H14" s="14"/>
      <c r="I14" s="14"/>
      <c r="J14" s="14"/>
      <c r="K14" s="14"/>
      <c r="L14" s="14"/>
    </row>
    <row r="15" spans="1:16">
      <c r="A15" s="1"/>
      <c r="B15" s="25">
        <v>2017</v>
      </c>
      <c r="C15" s="7">
        <v>9450</v>
      </c>
      <c r="D15" s="7">
        <v>15320</v>
      </c>
      <c r="E15" s="7">
        <v>18410</v>
      </c>
      <c r="F15" s="6"/>
      <c r="G15" s="14"/>
      <c r="H15" s="14"/>
      <c r="I15" s="14"/>
      <c r="J15" s="14"/>
      <c r="K15" s="14"/>
      <c r="L15" s="14"/>
    </row>
    <row r="16" spans="1:16">
      <c r="A16" s="1"/>
      <c r="B16" s="25">
        <v>2018</v>
      </c>
      <c r="C16" s="7">
        <v>10940</v>
      </c>
      <c r="D16" s="7">
        <v>16090</v>
      </c>
      <c r="E16" s="6"/>
      <c r="F16" s="6"/>
      <c r="G16" s="14"/>
      <c r="H16" s="14"/>
      <c r="I16" s="14"/>
      <c r="J16" s="14"/>
      <c r="K16" s="14"/>
      <c r="L16" s="14"/>
    </row>
    <row r="17" spans="1:13">
      <c r="A17" s="1"/>
      <c r="B17" s="25">
        <v>2019</v>
      </c>
      <c r="C17" s="7">
        <v>11100</v>
      </c>
      <c r="D17" s="6"/>
      <c r="E17" s="6"/>
      <c r="F17" s="6"/>
      <c r="G17" s="14"/>
      <c r="H17" s="14"/>
      <c r="I17" s="14"/>
      <c r="J17" s="14"/>
      <c r="K17" s="14"/>
      <c r="L17" s="14"/>
    </row>
    <row r="18" spans="1:13">
      <c r="A18" s="1"/>
      <c r="B18" s="1"/>
      <c r="C18" s="1"/>
      <c r="D18" s="1"/>
      <c r="E18" s="1"/>
      <c r="F18" s="46"/>
      <c r="G18" s="14"/>
      <c r="H18" s="14"/>
      <c r="I18" s="14"/>
      <c r="J18" s="14"/>
      <c r="K18" s="14"/>
      <c r="L18" s="14"/>
    </row>
    <row r="19" spans="1:13" ht="15.6" customHeight="1">
      <c r="A19" s="1"/>
      <c r="B19" s="23" t="s">
        <v>53</v>
      </c>
      <c r="C19" s="811" t="s">
        <v>90</v>
      </c>
      <c r="D19" s="812"/>
      <c r="E19" s="812"/>
      <c r="F19" s="813"/>
      <c r="G19" s="14"/>
      <c r="H19" s="14"/>
      <c r="I19" s="14"/>
      <c r="J19" s="14"/>
      <c r="K19" s="14"/>
      <c r="L19" s="14"/>
    </row>
    <row r="20" spans="1:13">
      <c r="A20" s="1"/>
      <c r="B20" s="24" t="s">
        <v>55</v>
      </c>
      <c r="C20" s="39">
        <v>12</v>
      </c>
      <c r="D20" s="5">
        <v>24</v>
      </c>
      <c r="E20" s="5">
        <v>36</v>
      </c>
      <c r="F20" s="5">
        <v>48</v>
      </c>
      <c r="G20" s="14"/>
      <c r="H20" s="14"/>
      <c r="I20" s="14"/>
      <c r="J20" s="14"/>
      <c r="K20" s="14"/>
      <c r="L20" s="14"/>
    </row>
    <row r="21" spans="1:13">
      <c r="A21" s="1"/>
      <c r="B21" s="25">
        <v>2016</v>
      </c>
      <c r="C21" s="7">
        <v>3070</v>
      </c>
      <c r="D21" s="7">
        <v>1800</v>
      </c>
      <c r="E21" s="7">
        <v>920</v>
      </c>
      <c r="F21" s="7">
        <v>380</v>
      </c>
      <c r="G21" s="14"/>
      <c r="H21" s="14"/>
      <c r="I21" s="14"/>
      <c r="J21" s="14"/>
      <c r="K21" s="14"/>
      <c r="L21" s="14"/>
    </row>
    <row r="22" spans="1:13">
      <c r="A22" s="1"/>
      <c r="B22" s="25">
        <v>2017</v>
      </c>
      <c r="C22" s="7">
        <v>4250</v>
      </c>
      <c r="D22" s="7">
        <v>2490</v>
      </c>
      <c r="E22" s="7">
        <v>1140</v>
      </c>
      <c r="F22" s="6"/>
      <c r="G22" s="14"/>
      <c r="H22" s="14"/>
      <c r="I22" s="14"/>
      <c r="J22" s="14"/>
      <c r="K22" s="14"/>
      <c r="L22" s="14"/>
    </row>
    <row r="23" spans="1:13">
      <c r="A23" s="1"/>
      <c r="B23" s="25">
        <v>2018</v>
      </c>
      <c r="C23" s="7">
        <v>4260</v>
      </c>
      <c r="D23" s="7">
        <v>2980</v>
      </c>
      <c r="E23" s="6"/>
      <c r="F23" s="6"/>
      <c r="G23" s="14"/>
      <c r="H23" s="14"/>
      <c r="I23" s="14"/>
      <c r="J23" s="14"/>
      <c r="K23" s="14"/>
      <c r="L23" s="14"/>
    </row>
    <row r="24" spans="1:13">
      <c r="A24" s="1"/>
      <c r="B24" s="25">
        <v>2019</v>
      </c>
      <c r="C24" s="7">
        <v>3620</v>
      </c>
      <c r="D24" s="6"/>
      <c r="E24" s="6"/>
      <c r="F24" s="6"/>
      <c r="G24" s="14"/>
      <c r="H24" s="14"/>
      <c r="I24" s="14"/>
      <c r="J24" s="14"/>
      <c r="K24" s="14"/>
      <c r="L24" s="14"/>
    </row>
    <row r="25" spans="1:13">
      <c r="A25" s="1"/>
      <c r="B25" s="14"/>
      <c r="C25" s="14"/>
      <c r="D25" s="14"/>
      <c r="E25" s="14"/>
      <c r="F25" s="14"/>
      <c r="G25" s="14"/>
      <c r="H25" s="14"/>
      <c r="I25" s="14"/>
      <c r="J25" s="14"/>
      <c r="K25" s="14"/>
      <c r="L25" s="14"/>
    </row>
    <row r="27" spans="1:13">
      <c r="A27" s="17" t="s">
        <v>91</v>
      </c>
      <c r="B27" s="204" t="s">
        <v>92</v>
      </c>
      <c r="C27" s="1"/>
      <c r="D27" s="1"/>
      <c r="E27" s="1"/>
      <c r="F27" s="1"/>
      <c r="G27" s="1"/>
      <c r="H27" s="1"/>
      <c r="I27" s="1"/>
      <c r="J27" s="1"/>
      <c r="K27" s="1"/>
      <c r="L27" s="1"/>
    </row>
    <row r="28" spans="1:13">
      <c r="A28" s="205"/>
      <c r="B28" s="1"/>
      <c r="C28" s="1"/>
      <c r="D28" s="1"/>
      <c r="E28" s="1"/>
      <c r="F28" s="1"/>
      <c r="G28" s="1"/>
      <c r="H28" s="1"/>
      <c r="I28" s="1"/>
      <c r="J28" s="1"/>
      <c r="K28" s="1"/>
      <c r="L28" s="1"/>
    </row>
    <row r="29" spans="1:13">
      <c r="A29" s="3"/>
      <c r="B29" s="3"/>
      <c r="C29" s="3"/>
      <c r="D29" s="3"/>
      <c r="E29" s="3"/>
      <c r="F29" s="3"/>
      <c r="G29" s="3"/>
      <c r="H29" s="3"/>
      <c r="I29" s="3"/>
      <c r="J29" s="3"/>
      <c r="K29" s="3"/>
      <c r="L29" s="3"/>
      <c r="M29" s="3"/>
    </row>
    <row r="30" spans="1:13">
      <c r="A30" s="3" t="s">
        <v>20</v>
      </c>
      <c r="B30" s="3"/>
      <c r="C30" s="3"/>
      <c r="D30" s="3"/>
      <c r="E30" s="3"/>
      <c r="F30" s="3"/>
      <c r="G30" s="3"/>
      <c r="H30" s="3"/>
      <c r="I30" s="3"/>
      <c r="J30" s="3"/>
      <c r="K30" s="3"/>
      <c r="L30" s="3"/>
      <c r="M30" s="3"/>
    </row>
    <row r="31" spans="1:13">
      <c r="A31" s="3"/>
      <c r="B31" s="3"/>
      <c r="C31" s="3"/>
      <c r="D31" s="3"/>
      <c r="E31" s="3"/>
      <c r="F31" s="3"/>
      <c r="G31" s="3"/>
      <c r="H31" s="3"/>
      <c r="I31" s="3"/>
      <c r="J31" s="3"/>
      <c r="K31" s="3"/>
      <c r="L31" s="3"/>
      <c r="M31" s="3"/>
    </row>
    <row r="32" spans="1:13">
      <c r="B32" s="47" t="s">
        <v>53</v>
      </c>
      <c r="C32" s="808" t="s">
        <v>93</v>
      </c>
      <c r="D32" s="809"/>
      <c r="E32" s="809"/>
      <c r="F32" s="810"/>
      <c r="G32" s="9"/>
      <c r="H32" s="9"/>
      <c r="I32" s="9"/>
      <c r="J32" s="9"/>
      <c r="K32" s="9"/>
      <c r="L32" s="9"/>
    </row>
    <row r="33" spans="1:12">
      <c r="B33" s="49" t="s">
        <v>55</v>
      </c>
      <c r="C33" s="48">
        <v>12</v>
      </c>
      <c r="D33" s="50">
        <f>C33+12</f>
        <v>24</v>
      </c>
      <c r="E33" s="50">
        <f>D33+12</f>
        <v>36</v>
      </c>
      <c r="F33" s="50">
        <f>E33+12</f>
        <v>48</v>
      </c>
      <c r="G33" s="9"/>
      <c r="H33" s="9"/>
      <c r="I33" s="9"/>
      <c r="J33" s="9"/>
      <c r="K33" s="9"/>
      <c r="L33" s="9"/>
    </row>
    <row r="34" spans="1:12">
      <c r="B34" s="49">
        <v>2016</v>
      </c>
      <c r="C34" s="51">
        <f>C14+C21</f>
        <v>12800</v>
      </c>
      <c r="D34" s="51">
        <f t="shared" ref="D34:F34" si="0">D14+D21</f>
        <v>16380</v>
      </c>
      <c r="E34" s="51">
        <f t="shared" si="0"/>
        <v>18350</v>
      </c>
      <c r="F34" s="52">
        <f t="shared" si="0"/>
        <v>18680</v>
      </c>
      <c r="G34" s="9"/>
      <c r="H34" s="9"/>
      <c r="I34" s="9"/>
      <c r="J34" s="9"/>
      <c r="K34" s="9"/>
      <c r="L34" s="9"/>
    </row>
    <row r="35" spans="1:12">
      <c r="B35" s="49">
        <f>B34+1</f>
        <v>2017</v>
      </c>
      <c r="C35" s="51">
        <f t="shared" ref="C35:E37" si="1">C15+C22</f>
        <v>13700</v>
      </c>
      <c r="D35" s="51">
        <f t="shared" si="1"/>
        <v>17810</v>
      </c>
      <c r="E35" s="52">
        <f t="shared" si="1"/>
        <v>19550</v>
      </c>
      <c r="F35" s="51"/>
      <c r="G35" s="9"/>
      <c r="H35" s="9"/>
      <c r="I35" s="9"/>
      <c r="J35" s="9"/>
      <c r="K35" s="9"/>
      <c r="L35" s="9"/>
    </row>
    <row r="36" spans="1:12">
      <c r="B36" s="49">
        <f t="shared" ref="B36:B37" si="2">B35+1</f>
        <v>2018</v>
      </c>
      <c r="C36" s="51">
        <f t="shared" si="1"/>
        <v>15200</v>
      </c>
      <c r="D36" s="52">
        <f t="shared" si="1"/>
        <v>19070</v>
      </c>
      <c r="E36" s="51"/>
      <c r="F36" s="51"/>
      <c r="G36" s="9"/>
      <c r="H36" s="9"/>
      <c r="I36" s="9"/>
      <c r="J36" s="9"/>
      <c r="K36" s="9"/>
      <c r="L36" s="9"/>
    </row>
    <row r="37" spans="1:12">
      <c r="B37" s="49">
        <f t="shared" si="2"/>
        <v>2019</v>
      </c>
      <c r="C37" s="52">
        <f t="shared" si="1"/>
        <v>14720</v>
      </c>
      <c r="D37" s="50"/>
      <c r="E37" s="50"/>
      <c r="F37" s="50"/>
      <c r="G37" s="9"/>
      <c r="H37" s="9"/>
      <c r="I37" s="9"/>
      <c r="J37" s="9"/>
      <c r="K37" s="9"/>
      <c r="L37" s="9"/>
    </row>
    <row r="38" spans="1:12">
      <c r="G38" s="9"/>
      <c r="H38" s="9"/>
      <c r="I38" s="9"/>
      <c r="J38" s="9"/>
      <c r="K38" s="9"/>
      <c r="L38" s="9"/>
    </row>
    <row r="39" spans="1:12">
      <c r="B39" s="2" t="s">
        <v>94</v>
      </c>
    </row>
    <row r="41" spans="1:12">
      <c r="A41" s="15" t="s">
        <v>11</v>
      </c>
      <c r="B41" s="1"/>
      <c r="C41" s="1"/>
      <c r="D41" s="1"/>
      <c r="E41" s="1"/>
      <c r="F41" s="1"/>
      <c r="G41" s="1"/>
      <c r="H41" s="1"/>
      <c r="I41" s="1"/>
      <c r="J41" s="1"/>
      <c r="K41" s="1"/>
      <c r="L41" s="1"/>
    </row>
    <row r="42" spans="1:12">
      <c r="A42" s="53"/>
      <c r="B42" s="3"/>
      <c r="C42" s="3"/>
      <c r="D42" s="3"/>
      <c r="E42" s="3"/>
      <c r="F42" s="3"/>
      <c r="G42" s="3"/>
      <c r="H42" s="3"/>
      <c r="I42" s="3"/>
      <c r="J42" s="3"/>
      <c r="K42" s="3"/>
      <c r="L42" s="3"/>
    </row>
    <row r="43" spans="1:12">
      <c r="A43" s="1" t="s">
        <v>95</v>
      </c>
      <c r="B43" s="14"/>
      <c r="C43" s="14"/>
      <c r="D43" s="14"/>
      <c r="E43" s="14"/>
      <c r="F43" s="14"/>
      <c r="G43" s="14"/>
      <c r="H43" s="14"/>
      <c r="I43" s="14"/>
      <c r="J43" s="14"/>
      <c r="K43" s="14"/>
      <c r="L43" s="14"/>
    </row>
    <row r="44" spans="1:12">
      <c r="A44" s="1"/>
      <c r="B44" s="14"/>
      <c r="C44" s="14"/>
      <c r="D44" s="14"/>
      <c r="E44" s="14"/>
      <c r="F44" s="14"/>
      <c r="G44" s="14"/>
      <c r="H44" s="14"/>
      <c r="I44" s="14"/>
      <c r="J44" s="14"/>
      <c r="K44" s="14"/>
      <c r="L44" s="14"/>
    </row>
    <row r="45" spans="1:12" ht="28.2">
      <c r="A45" s="54"/>
      <c r="B45" s="55"/>
      <c r="C45" s="814" t="s">
        <v>96</v>
      </c>
      <c r="D45" s="814"/>
      <c r="E45" s="814"/>
      <c r="F45" s="55" t="s">
        <v>97</v>
      </c>
      <c r="G45" s="55" t="s">
        <v>98</v>
      </c>
      <c r="H45" s="55" t="s">
        <v>99</v>
      </c>
      <c r="I45" s="55" t="s">
        <v>100</v>
      </c>
      <c r="J45" s="56"/>
      <c r="K45" s="56"/>
      <c r="L45" s="56"/>
    </row>
    <row r="46" spans="1:12">
      <c r="A46" s="54"/>
      <c r="B46" s="57">
        <v>1</v>
      </c>
      <c r="C46" s="807" t="s">
        <v>101</v>
      </c>
      <c r="D46" s="807"/>
      <c r="E46" s="807"/>
      <c r="F46" s="58">
        <v>42856</v>
      </c>
      <c r="G46" s="59">
        <v>42000</v>
      </c>
      <c r="H46" s="59">
        <v>0</v>
      </c>
      <c r="I46" s="59">
        <v>0</v>
      </c>
      <c r="J46" s="56"/>
      <c r="K46" s="56"/>
      <c r="L46" s="56"/>
    </row>
    <row r="47" spans="1:12">
      <c r="A47" s="54"/>
      <c r="B47" s="57">
        <v>2</v>
      </c>
      <c r="C47" s="807" t="s">
        <v>102</v>
      </c>
      <c r="D47" s="807"/>
      <c r="E47" s="807"/>
      <c r="F47" s="58">
        <v>43070</v>
      </c>
      <c r="G47" s="59">
        <v>30000</v>
      </c>
      <c r="H47" s="59">
        <v>10000</v>
      </c>
      <c r="I47" s="59">
        <v>1000</v>
      </c>
      <c r="J47" s="56"/>
      <c r="K47" s="56"/>
      <c r="L47" s="56"/>
    </row>
    <row r="48" spans="1:12">
      <c r="A48" s="54"/>
      <c r="B48" s="57">
        <v>3</v>
      </c>
      <c r="C48" s="807" t="s">
        <v>102</v>
      </c>
      <c r="D48" s="807"/>
      <c r="E48" s="807"/>
      <c r="F48" s="58">
        <v>43252</v>
      </c>
      <c r="G48" s="59">
        <v>20000</v>
      </c>
      <c r="H48" s="59">
        <v>12000</v>
      </c>
      <c r="I48" s="59">
        <v>2000</v>
      </c>
      <c r="J48" s="56"/>
      <c r="K48" s="56"/>
      <c r="L48" s="56"/>
    </row>
    <row r="49" spans="1:12">
      <c r="A49" s="54"/>
      <c r="B49" s="56"/>
      <c r="C49" s="56"/>
      <c r="D49" s="56"/>
      <c r="E49" s="56"/>
      <c r="F49" s="56"/>
      <c r="G49" s="56"/>
      <c r="H49" s="56"/>
      <c r="I49" s="56"/>
      <c r="J49" s="56"/>
      <c r="K49" s="56"/>
      <c r="L49" s="56"/>
    </row>
    <row r="50" spans="1:12">
      <c r="A50" s="53"/>
      <c r="B50" s="3"/>
      <c r="C50" s="3"/>
      <c r="D50" s="3"/>
      <c r="E50" s="3"/>
      <c r="F50" s="3"/>
      <c r="G50" s="3"/>
      <c r="H50" s="3"/>
      <c r="I50" s="3"/>
      <c r="J50" s="3"/>
      <c r="K50" s="3"/>
      <c r="L50" s="3"/>
    </row>
    <row r="51" spans="1:12">
      <c r="A51" s="17" t="s">
        <v>18</v>
      </c>
      <c r="B51" s="204" t="s">
        <v>103</v>
      </c>
      <c r="C51" s="1"/>
      <c r="D51" s="1"/>
      <c r="E51" s="1"/>
      <c r="F51" s="1"/>
      <c r="G51" s="1"/>
      <c r="H51" s="1"/>
      <c r="I51" s="1"/>
      <c r="J51" s="1"/>
      <c r="K51" s="1"/>
      <c r="L51" s="1"/>
    </row>
    <row r="52" spans="1:12">
      <c r="A52" s="205"/>
      <c r="B52" s="1"/>
      <c r="C52" s="1"/>
      <c r="D52" s="1"/>
      <c r="E52" s="1"/>
      <c r="F52" s="1"/>
      <c r="G52" s="1"/>
      <c r="H52" s="1"/>
      <c r="I52" s="1"/>
      <c r="J52" s="1"/>
      <c r="K52" s="1"/>
      <c r="L52" s="1"/>
    </row>
    <row r="53" spans="1:12">
      <c r="A53" s="53"/>
      <c r="B53" s="3"/>
      <c r="C53" s="3"/>
      <c r="D53" s="3"/>
      <c r="E53" s="3"/>
      <c r="F53" s="3"/>
      <c r="G53" s="3"/>
      <c r="H53" s="3"/>
      <c r="I53" s="3"/>
      <c r="J53" s="3"/>
      <c r="K53" s="3"/>
      <c r="L53" s="3"/>
    </row>
    <row r="54" spans="1:12">
      <c r="A54" s="3" t="s">
        <v>20</v>
      </c>
      <c r="B54" s="3"/>
      <c r="C54" s="3"/>
      <c r="D54" s="3"/>
      <c r="E54" s="3"/>
      <c r="F54" s="3"/>
      <c r="G54" s="3"/>
      <c r="H54" s="3"/>
      <c r="I54" s="3"/>
      <c r="J54" s="3"/>
      <c r="K54" s="3"/>
      <c r="L54" s="3"/>
    </row>
    <row r="55" spans="1:12">
      <c r="B55" s="2" t="s">
        <v>104</v>
      </c>
      <c r="G55" s="60" t="s">
        <v>105</v>
      </c>
      <c r="H55" s="3"/>
    </row>
    <row r="56" spans="1:12">
      <c r="C56" s="2" t="s">
        <v>106</v>
      </c>
      <c r="E56" s="18"/>
      <c r="F56" s="11">
        <f>H47+I47</f>
        <v>11000</v>
      </c>
      <c r="G56" s="60" t="s">
        <v>107</v>
      </c>
    </row>
    <row r="57" spans="1:12">
      <c r="C57" s="2" t="s">
        <v>108</v>
      </c>
      <c r="E57" s="18"/>
      <c r="F57" s="11">
        <f>SUM(H47:I48)</f>
        <v>25000</v>
      </c>
      <c r="G57" s="60" t="s">
        <v>107</v>
      </c>
    </row>
    <row r="58" spans="1:12">
      <c r="C58" s="2" t="s">
        <v>109</v>
      </c>
      <c r="E58" s="18"/>
      <c r="F58" s="11">
        <f>F57</f>
        <v>25000</v>
      </c>
      <c r="G58" s="60" t="s">
        <v>107</v>
      </c>
    </row>
    <row r="59" spans="1:12">
      <c r="C59" s="61" t="s">
        <v>110</v>
      </c>
      <c r="E59" s="18"/>
    </row>
    <row r="60" spans="1:12">
      <c r="B60" s="2" t="s">
        <v>111</v>
      </c>
      <c r="E60" s="18"/>
    </row>
    <row r="61" spans="1:12">
      <c r="C61" s="2" t="s">
        <v>106</v>
      </c>
      <c r="E61" s="18"/>
      <c r="F61" s="11">
        <f>G47</f>
        <v>30000</v>
      </c>
      <c r="G61" s="60" t="s">
        <v>112</v>
      </c>
    </row>
    <row r="62" spans="1:12">
      <c r="C62" s="2" t="s">
        <v>108</v>
      </c>
      <c r="E62" s="18"/>
      <c r="F62" s="11">
        <f>G48</f>
        <v>20000</v>
      </c>
      <c r="G62" s="60" t="s">
        <v>112</v>
      </c>
    </row>
    <row r="63" spans="1:12">
      <c r="A63" s="18"/>
      <c r="C63" s="2" t="s">
        <v>109</v>
      </c>
      <c r="E63" s="18"/>
      <c r="F63" s="11">
        <f>F62</f>
        <v>20000</v>
      </c>
      <c r="G63" s="60" t="s">
        <v>112</v>
      </c>
    </row>
    <row r="64" spans="1:12">
      <c r="A64" s="18"/>
      <c r="B64" s="18"/>
      <c r="C64" s="61" t="s">
        <v>110</v>
      </c>
      <c r="D64" s="18"/>
      <c r="E64" s="18"/>
      <c r="F64" s="18"/>
      <c r="G64" s="18"/>
    </row>
    <row r="65" spans="1:12">
      <c r="A65" s="18"/>
      <c r="B65" s="18"/>
      <c r="C65" s="18"/>
      <c r="D65" s="18"/>
      <c r="E65" s="18"/>
      <c r="F65" s="18"/>
    </row>
    <row r="66" spans="1:12">
      <c r="A66" s="18"/>
      <c r="B66" s="47" t="s">
        <v>53</v>
      </c>
      <c r="C66" s="808" t="s">
        <v>113</v>
      </c>
      <c r="D66" s="809"/>
      <c r="E66" s="809"/>
      <c r="F66" s="810"/>
    </row>
    <row r="67" spans="1:12">
      <c r="A67" s="18"/>
      <c r="B67" s="49" t="s">
        <v>55</v>
      </c>
      <c r="C67" s="48">
        <v>12</v>
      </c>
      <c r="D67" s="50">
        <f>C67+12</f>
        <v>24</v>
      </c>
      <c r="E67" s="50">
        <f>D67+12</f>
        <v>36</v>
      </c>
      <c r="F67" s="50">
        <f>E67+12</f>
        <v>48</v>
      </c>
    </row>
    <row r="68" spans="1:12">
      <c r="A68" s="18"/>
      <c r="B68" s="49">
        <v>2016</v>
      </c>
      <c r="C68" s="51">
        <f>C14</f>
        <v>9730</v>
      </c>
      <c r="D68" s="51">
        <f>D14</f>
        <v>14580</v>
      </c>
      <c r="E68" s="51">
        <f>E14</f>
        <v>17430</v>
      </c>
      <c r="F68" s="51">
        <f>F14</f>
        <v>18300</v>
      </c>
    </row>
    <row r="69" spans="1:12">
      <c r="A69" s="18"/>
      <c r="B69" s="49">
        <f>B68+1</f>
        <v>2017</v>
      </c>
      <c r="C69" s="52">
        <f>C15+F56/1000</f>
        <v>9461</v>
      </c>
      <c r="D69" s="52">
        <f>D15+F57/1000</f>
        <v>15345</v>
      </c>
      <c r="E69" s="52">
        <f>E15+F58/1000</f>
        <v>18435</v>
      </c>
      <c r="F69" s="50"/>
    </row>
    <row r="70" spans="1:12">
      <c r="A70" s="18"/>
      <c r="B70" s="49">
        <f t="shared" ref="B70:B71" si="3">B69+1</f>
        <v>2018</v>
      </c>
      <c r="C70" s="51">
        <f>C16</f>
        <v>10940</v>
      </c>
      <c r="D70" s="51">
        <f>D16</f>
        <v>16090</v>
      </c>
      <c r="E70" s="50"/>
      <c r="F70" s="50"/>
    </row>
    <row r="71" spans="1:12">
      <c r="A71" s="18"/>
      <c r="B71" s="49">
        <f t="shared" si="3"/>
        <v>2019</v>
      </c>
      <c r="C71" s="51">
        <f>C17</f>
        <v>11100</v>
      </c>
      <c r="D71" s="50"/>
      <c r="E71" s="50"/>
      <c r="F71" s="50"/>
    </row>
    <row r="72" spans="1:12">
      <c r="A72" s="18"/>
      <c r="B72" s="3"/>
      <c r="C72" s="3"/>
      <c r="D72" s="3"/>
      <c r="E72" s="3"/>
      <c r="F72" s="62"/>
    </row>
    <row r="73" spans="1:12">
      <c r="A73" s="18"/>
      <c r="B73" s="47" t="s">
        <v>53</v>
      </c>
      <c r="C73" s="808" t="s">
        <v>114</v>
      </c>
      <c r="D73" s="809"/>
      <c r="E73" s="809"/>
      <c r="F73" s="810"/>
    </row>
    <row r="74" spans="1:12">
      <c r="A74" s="18"/>
      <c r="B74" s="49" t="s">
        <v>55</v>
      </c>
      <c r="C74" s="48">
        <v>12</v>
      </c>
      <c r="D74" s="50">
        <f>C74+12</f>
        <v>24</v>
      </c>
      <c r="E74" s="50">
        <f>D74+12</f>
        <v>36</v>
      </c>
      <c r="F74" s="50">
        <f>E74+12</f>
        <v>48</v>
      </c>
    </row>
    <row r="75" spans="1:12">
      <c r="A75" s="18"/>
      <c r="B75" s="49">
        <v>2016</v>
      </c>
      <c r="C75" s="51">
        <f>C21</f>
        <v>3070</v>
      </c>
      <c r="D75" s="51">
        <f>D21</f>
        <v>1800</v>
      </c>
      <c r="E75" s="51">
        <f>E21</f>
        <v>920</v>
      </c>
      <c r="F75" s="51">
        <f>F21</f>
        <v>380</v>
      </c>
    </row>
    <row r="76" spans="1:12">
      <c r="A76" s="18"/>
      <c r="B76" s="49">
        <f>B75+1</f>
        <v>2017</v>
      </c>
      <c r="C76" s="52">
        <f>C22+F61/1000</f>
        <v>4280</v>
      </c>
      <c r="D76" s="52">
        <f>D22+F62/1000</f>
        <v>2510</v>
      </c>
      <c r="E76" s="52">
        <f>E22+F63/1000</f>
        <v>1160</v>
      </c>
      <c r="F76" s="50"/>
    </row>
    <row r="77" spans="1:12">
      <c r="A77" s="18"/>
      <c r="B77" s="49">
        <f t="shared" ref="B77:B78" si="4">B76+1</f>
        <v>2018</v>
      </c>
      <c r="C77" s="51">
        <f>C23</f>
        <v>4260</v>
      </c>
      <c r="D77" s="51">
        <f>D23</f>
        <v>2980</v>
      </c>
      <c r="E77" s="50"/>
      <c r="F77" s="50"/>
    </row>
    <row r="78" spans="1:12">
      <c r="A78" s="18"/>
      <c r="B78" s="49">
        <f t="shared" si="4"/>
        <v>2019</v>
      </c>
      <c r="C78" s="51">
        <f>C24</f>
        <v>3620</v>
      </c>
      <c r="D78" s="50"/>
      <c r="E78" s="50"/>
      <c r="F78" s="50"/>
    </row>
    <row r="80" spans="1:12">
      <c r="A80" s="17" t="s">
        <v>25</v>
      </c>
      <c r="B80" s="1" t="s">
        <v>115</v>
      </c>
      <c r="C80" s="1"/>
      <c r="D80" s="1"/>
      <c r="E80" s="1"/>
      <c r="F80" s="1"/>
      <c r="G80" s="1"/>
      <c r="H80" s="1"/>
      <c r="I80" s="1"/>
      <c r="J80" s="1"/>
      <c r="K80" s="1"/>
      <c r="L80" s="1"/>
    </row>
    <row r="81" spans="1:13">
      <c r="A81" s="205"/>
      <c r="B81" s="1"/>
      <c r="C81" s="1"/>
      <c r="D81" s="1"/>
      <c r="E81" s="1"/>
      <c r="F81" s="1"/>
      <c r="G81" s="1"/>
      <c r="H81" s="1"/>
      <c r="I81" s="1"/>
      <c r="J81" s="1"/>
      <c r="K81" s="1"/>
      <c r="L81" s="1"/>
    </row>
    <row r="82" spans="1:13">
      <c r="A82" s="53"/>
      <c r="B82" s="3"/>
      <c r="C82" s="3"/>
      <c r="D82" s="3"/>
      <c r="E82" s="3"/>
      <c r="F82" s="3"/>
      <c r="G82" s="3"/>
      <c r="H82" s="3"/>
      <c r="I82" s="3"/>
      <c r="J82" s="3"/>
      <c r="K82" s="3"/>
      <c r="L82" s="3"/>
      <c r="M82" s="3"/>
    </row>
    <row r="83" spans="1:13">
      <c r="A83" s="3" t="s">
        <v>20</v>
      </c>
      <c r="B83" s="3"/>
      <c r="C83" s="3"/>
      <c r="D83" s="3"/>
      <c r="E83" s="3"/>
      <c r="F83" s="3"/>
      <c r="G83" s="3"/>
      <c r="H83" s="3"/>
      <c r="I83" s="3"/>
      <c r="J83" s="3"/>
      <c r="K83" s="3"/>
      <c r="L83" s="3"/>
      <c r="M83" s="3"/>
    </row>
    <row r="84" spans="1:13">
      <c r="A84" s="3"/>
      <c r="B84" s="3"/>
      <c r="C84" s="3"/>
      <c r="D84" s="3"/>
      <c r="E84" s="3"/>
      <c r="F84" s="3"/>
      <c r="G84" s="3"/>
      <c r="H84" s="3"/>
      <c r="I84" s="3"/>
      <c r="J84" s="3"/>
      <c r="K84" s="3"/>
      <c r="L84" s="3"/>
      <c r="M84" s="3"/>
    </row>
    <row r="85" spans="1:13">
      <c r="A85" s="3"/>
      <c r="B85" s="2" t="s">
        <v>116</v>
      </c>
      <c r="H85" s="3"/>
      <c r="I85" s="63"/>
      <c r="J85" s="3"/>
      <c r="K85" s="3"/>
      <c r="L85" s="3"/>
      <c r="M85" s="3"/>
    </row>
    <row r="86" spans="1:13">
      <c r="A86" s="3"/>
      <c r="H86" s="3"/>
      <c r="I86" s="3"/>
      <c r="J86" s="3"/>
      <c r="K86" s="3"/>
      <c r="L86" s="3"/>
      <c r="M86" s="3"/>
    </row>
    <row r="87" spans="1:13">
      <c r="A87" s="3"/>
      <c r="B87" s="2" t="str">
        <f>"Case estimate at the end of 2018 = "&amp;TEXT(C77,"#,###")&amp;" + "&amp;TEXT(D76,"#,###")&amp;" + "&amp;TEXT(E75,"#,###")&amp;" ="</f>
        <v>Case estimate at the end of 2018 = 4,260 + 2,510 + 920 =</v>
      </c>
      <c r="G87" s="11">
        <f>C77+D76+E75</f>
        <v>7690</v>
      </c>
      <c r="H87" s="3"/>
      <c r="I87" s="3"/>
      <c r="J87" s="3"/>
      <c r="K87" s="3"/>
      <c r="L87" s="3"/>
      <c r="M87" s="3"/>
    </row>
    <row r="88" spans="1:13">
      <c r="B88" s="2" t="str">
        <f>"Case estimate at the end of 2017 = "&amp;TEXT(C76,"#,###")&amp;" + "&amp;TEXT(D75,"#,###")&amp;" ="</f>
        <v>Case estimate at the end of 2017 = 4,280 + 1,800 =</v>
      </c>
      <c r="G88" s="11">
        <f>C76+D75</f>
        <v>6080</v>
      </c>
    </row>
    <row r="89" spans="1:13">
      <c r="B89" s="2" t="str">
        <f>"Paid during 2018 = "&amp;TEXT(C70,"#,###")&amp;" + "&amp;TEXT(D69,"#,###")&amp;" – "&amp;TEXT(C69,"#,###")&amp;" + "&amp;TEXT(E68,"#,###")&amp;" – "&amp;TEXT(D68,"#,###")&amp;" ="</f>
        <v>Paid during 2018 = 10,940 + 15,345 – 9,461 + 17,430 – 14,580 =</v>
      </c>
      <c r="G89" s="11">
        <f>C70+D69-C69+E68-D68</f>
        <v>19674</v>
      </c>
    </row>
    <row r="90" spans="1:13">
      <c r="B90" s="2" t="s">
        <v>117</v>
      </c>
      <c r="G90" s="11">
        <f>G87-G88+G89</f>
        <v>21284</v>
      </c>
    </row>
  </sheetData>
  <mergeCells count="10">
    <mergeCell ref="C47:E47"/>
    <mergeCell ref="C48:E48"/>
    <mergeCell ref="C66:F66"/>
    <mergeCell ref="C73:F73"/>
    <mergeCell ref="C5:F5"/>
    <mergeCell ref="C12:F12"/>
    <mergeCell ref="C19:F19"/>
    <mergeCell ref="C32:F32"/>
    <mergeCell ref="C45:E45"/>
    <mergeCell ref="C46:E46"/>
  </mergeCells>
  <hyperlinks>
    <hyperlink ref="P1" location="TOC!A1" display="Table of Contents" xr:uid="{6492BBC0-4DED-4B84-82DD-06B66688C0AC}"/>
  </hyperlinks>
  <pageMargins left="0.39370078740157483" right="0.39370078740157483" top="0.39370078740157483" bottom="0.39370078740157483" header="0.31496062992125984" footer="0.31496062992125984"/>
  <pageSetup scale="76" orientation="portrait" verticalDpi="1200" r:id="rId1"/>
  <headerFooter>
    <oddFooter>&amp;L&amp;F [&amp;A]&amp;R&amp;P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2C27-4B45-46F4-AC0C-FED7AF2E7002}">
  <dimension ref="A1:R56"/>
  <sheetViews>
    <sheetView zoomScaleNormal="100" workbookViewId="0"/>
  </sheetViews>
  <sheetFormatPr defaultColWidth="8.88671875" defaultRowHeight="15.6"/>
  <cols>
    <col min="1" max="1" width="8.88671875" style="2" customWidth="1"/>
    <col min="2" max="2" width="14" style="2" customWidth="1"/>
    <col min="3" max="3" width="16.33203125" style="2" customWidth="1"/>
    <col min="4" max="4" width="18" style="2" customWidth="1"/>
    <col min="5" max="5" width="14.77734375" style="2" customWidth="1"/>
    <col min="6" max="6" width="16.6640625" style="2" customWidth="1"/>
    <col min="7" max="7" width="12.6640625" style="2" customWidth="1"/>
    <col min="8" max="8" width="8.88671875" style="2" customWidth="1"/>
    <col min="9" max="16384" width="8.88671875" style="2"/>
  </cols>
  <sheetData>
    <row r="1" spans="1:18" ht="17.399999999999999">
      <c r="A1" s="13" t="s">
        <v>1071</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1036</v>
      </c>
      <c r="B3" s="1"/>
      <c r="C3" s="1"/>
      <c r="D3" s="1"/>
      <c r="E3" s="1"/>
      <c r="F3" s="1"/>
      <c r="G3" s="1"/>
      <c r="H3" s="1"/>
      <c r="I3" s="1"/>
      <c r="J3" s="1"/>
      <c r="K3" s="1"/>
      <c r="L3" s="14"/>
    </row>
    <row r="4" spans="1:18">
      <c r="A4" s="43"/>
      <c r="B4" s="1"/>
      <c r="C4" s="1"/>
      <c r="D4" s="1"/>
      <c r="E4" s="1"/>
      <c r="F4" s="1"/>
      <c r="G4" s="1"/>
      <c r="H4" s="1"/>
      <c r="I4" s="1"/>
      <c r="J4" s="1"/>
      <c r="K4" s="1"/>
      <c r="L4" s="1"/>
    </row>
    <row r="5" spans="1:18" ht="62.4">
      <c r="A5" s="43"/>
      <c r="B5" s="4" t="s">
        <v>3</v>
      </c>
      <c r="C5" s="4" t="s">
        <v>4</v>
      </c>
      <c r="D5" s="4" t="s">
        <v>1037</v>
      </c>
      <c r="E5" s="4" t="s">
        <v>694</v>
      </c>
      <c r="F5" s="4" t="s">
        <v>1038</v>
      </c>
      <c r="G5" s="4" t="s">
        <v>1039</v>
      </c>
      <c r="H5" s="1"/>
      <c r="I5" s="1"/>
      <c r="J5" s="1"/>
      <c r="K5" s="1"/>
      <c r="L5" s="1"/>
    </row>
    <row r="6" spans="1:18">
      <c r="A6" s="43"/>
      <c r="B6" s="32">
        <v>2018</v>
      </c>
      <c r="C6" s="92">
        <v>32500</v>
      </c>
      <c r="D6" s="92">
        <v>8800000</v>
      </c>
      <c r="E6" s="92">
        <v>8700000</v>
      </c>
      <c r="F6" s="92">
        <v>1400000</v>
      </c>
      <c r="G6" s="92">
        <v>1355000</v>
      </c>
      <c r="H6" s="1"/>
      <c r="I6" s="1"/>
      <c r="J6" s="1"/>
      <c r="K6" s="1"/>
      <c r="L6" s="1"/>
    </row>
    <row r="7" spans="1:18">
      <c r="A7" s="43"/>
      <c r="B7" s="32">
        <v>2019</v>
      </c>
      <c r="C7" s="92">
        <v>33700</v>
      </c>
      <c r="D7" s="92">
        <v>9600000</v>
      </c>
      <c r="E7" s="92">
        <v>9400000</v>
      </c>
      <c r="F7" s="92">
        <v>1520000</v>
      </c>
      <c r="G7" s="92">
        <v>1450000</v>
      </c>
      <c r="H7" s="1"/>
      <c r="I7" s="1"/>
      <c r="J7" s="1"/>
      <c r="K7" s="1"/>
      <c r="L7" s="1"/>
    </row>
    <row r="8" spans="1:18">
      <c r="A8" s="43"/>
      <c r="B8" s="32">
        <v>2020</v>
      </c>
      <c r="C8" s="92">
        <v>35100</v>
      </c>
      <c r="D8" s="92">
        <v>10200000</v>
      </c>
      <c r="E8" s="92">
        <v>9900000</v>
      </c>
      <c r="F8" s="92">
        <v>1620000</v>
      </c>
      <c r="G8" s="92">
        <v>1490000</v>
      </c>
      <c r="H8" s="1"/>
      <c r="I8" s="1"/>
      <c r="J8" s="1"/>
      <c r="K8" s="1"/>
      <c r="L8" s="1"/>
    </row>
    <row r="9" spans="1:18">
      <c r="A9" s="1"/>
      <c r="B9" s="1"/>
      <c r="C9" s="1"/>
      <c r="D9" s="1"/>
      <c r="E9" s="1"/>
      <c r="F9" s="1"/>
      <c r="G9" s="1"/>
      <c r="H9" s="1"/>
      <c r="I9" s="1"/>
      <c r="J9" s="1"/>
      <c r="K9" s="1"/>
      <c r="L9" s="1"/>
    </row>
    <row r="10" spans="1:18">
      <c r="A10" s="1" t="s">
        <v>1040</v>
      </c>
      <c r="B10" s="435">
        <v>0.25</v>
      </c>
      <c r="C10" s="1" t="s">
        <v>1041</v>
      </c>
      <c r="D10" s="1"/>
      <c r="E10" s="1"/>
      <c r="F10" s="1"/>
      <c r="G10" s="1"/>
      <c r="H10" s="1"/>
      <c r="I10" s="1"/>
      <c r="J10" s="1"/>
      <c r="K10" s="1"/>
      <c r="L10" s="1"/>
    </row>
    <row r="11" spans="1:18">
      <c r="A11" s="43" t="s">
        <v>1042</v>
      </c>
      <c r="B11" s="1"/>
      <c r="C11" s="1"/>
      <c r="D11" s="1"/>
      <c r="E11" s="377">
        <v>0.06</v>
      </c>
      <c r="F11" s="1" t="s">
        <v>1043</v>
      </c>
      <c r="G11" s="1"/>
      <c r="H11" s="1"/>
      <c r="I11" s="1"/>
      <c r="J11" s="1"/>
      <c r="K11" s="1"/>
      <c r="L11" s="1"/>
    </row>
    <row r="12" spans="1:18">
      <c r="A12" s="43"/>
      <c r="B12" s="377">
        <v>0.08</v>
      </c>
      <c r="C12" s="1" t="s">
        <v>1044</v>
      </c>
      <c r="D12" s="1"/>
      <c r="E12" s="1"/>
      <c r="F12" s="1"/>
      <c r="G12" s="231">
        <v>1200000</v>
      </c>
      <c r="H12" s="1" t="s">
        <v>1045</v>
      </c>
      <c r="I12" s="1"/>
      <c r="J12" s="1"/>
      <c r="K12" s="1"/>
      <c r="L12" s="1"/>
    </row>
    <row r="13" spans="1:18">
      <c r="A13" s="1" t="s">
        <v>1046</v>
      </c>
      <c r="B13" s="1"/>
      <c r="C13" s="1"/>
      <c r="D13" s="1"/>
      <c r="E13" s="1"/>
      <c r="F13" s="1"/>
      <c r="G13" s="231">
        <v>37000</v>
      </c>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1" t="s">
        <v>1047</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c r="A20" s="3"/>
      <c r="C20" s="173" t="s">
        <v>1039</v>
      </c>
      <c r="D20" s="173"/>
      <c r="E20" s="908" t="s">
        <v>1048</v>
      </c>
      <c r="G20" s="3"/>
      <c r="H20" s="3"/>
      <c r="I20" s="3"/>
      <c r="J20" s="3"/>
      <c r="K20" s="3"/>
      <c r="L20" s="3"/>
      <c r="M20" s="3"/>
      <c r="N20" s="9"/>
    </row>
    <row r="21" spans="1:14" ht="31.2">
      <c r="A21" s="3"/>
      <c r="B21" s="36" t="s">
        <v>3</v>
      </c>
      <c r="C21" s="36" t="s">
        <v>1049</v>
      </c>
      <c r="D21" s="36" t="s">
        <v>1050</v>
      </c>
      <c r="E21" s="909"/>
      <c r="F21" s="36" t="s">
        <v>1051</v>
      </c>
      <c r="G21" s="3"/>
      <c r="H21" s="3"/>
      <c r="I21" s="3"/>
      <c r="J21" s="3"/>
      <c r="K21" s="3"/>
      <c r="L21" s="3"/>
      <c r="M21" s="3"/>
      <c r="N21" s="9"/>
    </row>
    <row r="22" spans="1:14">
      <c r="A22" s="3"/>
      <c r="B22" s="34">
        <f>B6</f>
        <v>2018</v>
      </c>
      <c r="C22" s="83">
        <f>G6*(1-$B$10)</f>
        <v>1016250</v>
      </c>
      <c r="D22" s="177">
        <f>C22/E6</f>
        <v>0.1168103448275862</v>
      </c>
      <c r="E22" s="177">
        <f>F6/D6</f>
        <v>0.15909090909090909</v>
      </c>
      <c r="F22" s="177">
        <f>D22+E22</f>
        <v>0.27590125391849529</v>
      </c>
      <c r="G22" s="3"/>
      <c r="H22" s="3"/>
      <c r="I22" s="3"/>
      <c r="J22" s="3"/>
      <c r="K22" s="3"/>
      <c r="L22" s="3"/>
      <c r="M22" s="3"/>
      <c r="N22" s="9"/>
    </row>
    <row r="23" spans="1:14">
      <c r="A23" s="3"/>
      <c r="B23" s="34">
        <f>B22+1</f>
        <v>2019</v>
      </c>
      <c r="C23" s="83">
        <f t="shared" ref="C23:C24" si="0">G7*(1-$B$10)</f>
        <v>1087500</v>
      </c>
      <c r="D23" s="177">
        <f>C23/E7</f>
        <v>0.11569148936170212</v>
      </c>
      <c r="E23" s="177">
        <f>F7/D7</f>
        <v>0.15833333333333333</v>
      </c>
      <c r="F23" s="177">
        <f t="shared" ref="F23:F24" si="1">D23+E23</f>
        <v>0.27402482269503547</v>
      </c>
      <c r="G23" s="3"/>
      <c r="H23" s="3"/>
      <c r="I23" s="3"/>
      <c r="J23" s="3"/>
      <c r="K23" s="3"/>
      <c r="L23" s="3"/>
      <c r="M23" s="3"/>
      <c r="N23" s="9"/>
    </row>
    <row r="24" spans="1:14">
      <c r="A24" s="3"/>
      <c r="B24" s="34">
        <f>B23+1</f>
        <v>2020</v>
      </c>
      <c r="C24" s="83">
        <f t="shared" si="0"/>
        <v>1117500</v>
      </c>
      <c r="D24" s="177">
        <f>C24/E8</f>
        <v>0.11287878787878788</v>
      </c>
      <c r="E24" s="177">
        <f>F8/D8</f>
        <v>0.1588235294117647</v>
      </c>
      <c r="F24" s="177">
        <f t="shared" si="1"/>
        <v>0.27170231729055261</v>
      </c>
      <c r="G24" s="3"/>
      <c r="H24" s="3"/>
      <c r="I24" s="3"/>
      <c r="J24" s="3"/>
      <c r="K24" s="3"/>
      <c r="L24" s="3"/>
      <c r="M24" s="3"/>
      <c r="N24" s="9"/>
    </row>
    <row r="26" spans="1:14">
      <c r="A26" s="17" t="s">
        <v>133</v>
      </c>
      <c r="B26" s="1" t="s">
        <v>1052</v>
      </c>
      <c r="C26" s="1"/>
      <c r="D26" s="1"/>
      <c r="E26" s="1"/>
      <c r="F26" s="1"/>
      <c r="G26" s="1"/>
      <c r="H26" s="1"/>
      <c r="I26" s="1"/>
      <c r="J26" s="1"/>
      <c r="K26" s="1"/>
      <c r="L26" s="1"/>
    </row>
    <row r="27" spans="1:14">
      <c r="A27" s="14"/>
      <c r="B27" s="14"/>
      <c r="C27" s="14"/>
      <c r="D27" s="14"/>
      <c r="E27" s="14"/>
      <c r="F27" s="14"/>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ht="46.8">
      <c r="A30" s="3"/>
      <c r="B30" s="36" t="s">
        <v>3</v>
      </c>
      <c r="C30" s="36" t="s">
        <v>1053</v>
      </c>
      <c r="D30" s="36" t="s">
        <v>1048</v>
      </c>
      <c r="E30" s="36" t="s">
        <v>1051</v>
      </c>
      <c r="F30" s="3"/>
      <c r="G30" s="3"/>
      <c r="H30" s="3"/>
      <c r="I30" s="3"/>
      <c r="J30" s="3"/>
      <c r="K30" s="3"/>
      <c r="L30" s="3"/>
    </row>
    <row r="31" spans="1:14">
      <c r="A31" s="3"/>
      <c r="B31" s="34">
        <v>2018</v>
      </c>
      <c r="C31" s="177">
        <f t="shared" ref="C31:E33" si="2">D22</f>
        <v>0.1168103448275862</v>
      </c>
      <c r="D31" s="177">
        <f t="shared" si="2"/>
        <v>0.15909090909090909</v>
      </c>
      <c r="E31" s="177">
        <f t="shared" si="2"/>
        <v>0.27590125391849529</v>
      </c>
      <c r="F31" s="3"/>
      <c r="G31" s="3"/>
      <c r="H31" s="3"/>
      <c r="I31" s="3"/>
      <c r="J31" s="3"/>
      <c r="K31" s="3"/>
      <c r="L31" s="3"/>
    </row>
    <row r="32" spans="1:14">
      <c r="A32" s="3"/>
      <c r="B32" s="34">
        <v>2019</v>
      </c>
      <c r="C32" s="177">
        <f t="shared" si="2"/>
        <v>0.11569148936170212</v>
      </c>
      <c r="D32" s="177">
        <f t="shared" si="2"/>
        <v>0.15833333333333333</v>
      </c>
      <c r="E32" s="177">
        <f t="shared" si="2"/>
        <v>0.27402482269503547</v>
      </c>
      <c r="F32" s="3"/>
      <c r="G32" s="3"/>
      <c r="H32" s="3"/>
      <c r="I32" s="3"/>
      <c r="J32" s="3"/>
      <c r="K32" s="3"/>
      <c r="L32" s="3"/>
    </row>
    <row r="33" spans="1:14">
      <c r="A33" s="3"/>
      <c r="B33" s="35">
        <v>2020</v>
      </c>
      <c r="C33" s="179">
        <f t="shared" si="2"/>
        <v>0.11287878787878788</v>
      </c>
      <c r="D33" s="179">
        <f t="shared" si="2"/>
        <v>0.1588235294117647</v>
      </c>
      <c r="E33" s="179">
        <f t="shared" si="2"/>
        <v>0.27170231729055261</v>
      </c>
      <c r="F33" s="3"/>
      <c r="G33" s="3"/>
      <c r="H33" s="3"/>
      <c r="I33" s="3"/>
      <c r="J33" s="3"/>
      <c r="K33" s="3"/>
      <c r="L33" s="3"/>
    </row>
    <row r="34" spans="1:14">
      <c r="A34" s="3"/>
      <c r="B34" s="2" t="s">
        <v>175</v>
      </c>
      <c r="C34" s="177">
        <f>AVERAGE(C31:C33)</f>
        <v>0.11512687402269206</v>
      </c>
      <c r="D34" s="177">
        <f t="shared" ref="D34:E34" si="3">AVERAGE(D31:D33)</f>
        <v>0.15874925727866904</v>
      </c>
      <c r="E34" s="177">
        <f t="shared" si="3"/>
        <v>0.27387613130136113</v>
      </c>
      <c r="F34" s="3"/>
      <c r="G34" s="3"/>
      <c r="H34" s="3"/>
      <c r="I34" s="3"/>
      <c r="J34" s="3"/>
      <c r="K34" s="3"/>
      <c r="L34" s="3"/>
    </row>
    <row r="35" spans="1:14">
      <c r="A35" s="3"/>
      <c r="C35" s="18"/>
      <c r="D35" s="18"/>
      <c r="E35" s="18"/>
      <c r="F35" s="3"/>
      <c r="G35" s="3"/>
      <c r="H35" s="3"/>
      <c r="I35" s="3"/>
      <c r="J35" s="3"/>
      <c r="K35" s="3"/>
      <c r="L35" s="3"/>
    </row>
    <row r="36" spans="1:14">
      <c r="B36" s="2" t="s">
        <v>1054</v>
      </c>
      <c r="C36" s="177">
        <f>C33</f>
        <v>0.11287878787878788</v>
      </c>
      <c r="D36" s="177">
        <f>D34</f>
        <v>0.15874925727866904</v>
      </c>
      <c r="E36" s="177">
        <f>C36+D36</f>
        <v>0.27162804515745692</v>
      </c>
      <c r="M36" s="3"/>
    </row>
    <row r="37" spans="1:14">
      <c r="M37" s="3"/>
    </row>
    <row r="38" spans="1:14">
      <c r="B38" s="2" t="s">
        <v>496</v>
      </c>
      <c r="C38" s="2" t="s">
        <v>1055</v>
      </c>
      <c r="M38" s="3"/>
    </row>
    <row r="39" spans="1:14">
      <c r="C39" s="2" t="s">
        <v>1056</v>
      </c>
    </row>
    <row r="41" spans="1:14">
      <c r="A41" s="17" t="s">
        <v>18</v>
      </c>
      <c r="B41" s="1" t="s">
        <v>1057</v>
      </c>
      <c r="C41" s="1"/>
      <c r="D41" s="1"/>
      <c r="E41" s="1"/>
      <c r="F41" s="1"/>
      <c r="G41" s="1"/>
      <c r="H41" s="1"/>
      <c r="I41" s="1"/>
      <c r="J41" s="1"/>
      <c r="K41" s="1"/>
      <c r="L41" s="1"/>
    </row>
    <row r="42" spans="1:14">
      <c r="A42" s="14"/>
      <c r="B42" s="14"/>
      <c r="C42" s="14"/>
      <c r="D42" s="14"/>
      <c r="E42" s="14"/>
      <c r="F42" s="14"/>
      <c r="G42" s="1"/>
      <c r="H42" s="1"/>
      <c r="I42" s="1"/>
      <c r="J42" s="1"/>
      <c r="K42" s="1"/>
      <c r="L42" s="1"/>
    </row>
    <row r="43" spans="1:14">
      <c r="A43" s="3"/>
      <c r="B43" s="3"/>
      <c r="C43" s="3"/>
      <c r="D43" s="3"/>
      <c r="E43" s="3"/>
      <c r="F43" s="3"/>
      <c r="G43" s="3"/>
      <c r="H43" s="3"/>
      <c r="I43" s="3"/>
      <c r="J43" s="3"/>
      <c r="K43" s="3"/>
      <c r="L43" s="3"/>
    </row>
    <row r="44" spans="1:14">
      <c r="A44" s="3" t="s">
        <v>20</v>
      </c>
      <c r="B44" s="3"/>
      <c r="C44" s="3"/>
      <c r="D44" s="3"/>
      <c r="E44" s="3"/>
      <c r="F44" s="3"/>
      <c r="G44" s="3"/>
      <c r="H44" s="3"/>
      <c r="I44" s="3"/>
      <c r="J44" s="3"/>
      <c r="K44" s="3"/>
      <c r="L44" s="3"/>
    </row>
    <row r="45" spans="1:14" ht="46.8">
      <c r="A45" s="3"/>
      <c r="B45" s="93" t="s">
        <v>3</v>
      </c>
      <c r="C45" s="93" t="s">
        <v>1058</v>
      </c>
      <c r="D45" s="93" t="s">
        <v>1059</v>
      </c>
      <c r="E45" s="3"/>
      <c r="F45" s="3"/>
      <c r="G45" s="3"/>
      <c r="H45" s="3"/>
      <c r="I45" s="3"/>
      <c r="J45" s="3"/>
      <c r="K45" s="3"/>
      <c r="L45" s="3"/>
    </row>
    <row r="46" spans="1:14">
      <c r="B46" s="94">
        <v>2018</v>
      </c>
      <c r="C46" s="106">
        <f>G6*$B$10</f>
        <v>338750</v>
      </c>
      <c r="D46" s="269">
        <f>C46/C6</f>
        <v>10.423076923076923</v>
      </c>
      <c r="E46" s="3"/>
      <c r="F46" s="3"/>
      <c r="G46" s="3"/>
    </row>
    <row r="47" spans="1:14">
      <c r="B47" s="94">
        <v>2019</v>
      </c>
      <c r="C47" s="106">
        <f t="shared" ref="C47:C48" si="4">G7*$B$10</f>
        <v>362500</v>
      </c>
      <c r="D47" s="269">
        <f t="shared" ref="D47:D48" si="5">C47/C7</f>
        <v>10.756676557863502</v>
      </c>
      <c r="E47" s="3"/>
      <c r="F47" s="3"/>
      <c r="G47" s="3"/>
    </row>
    <row r="48" spans="1:14">
      <c r="B48" s="107">
        <v>2020</v>
      </c>
      <c r="C48" s="110">
        <f t="shared" si="4"/>
        <v>372500</v>
      </c>
      <c r="D48" s="272">
        <f t="shared" si="5"/>
        <v>10.612535612535613</v>
      </c>
      <c r="E48" s="3"/>
      <c r="F48" s="3"/>
      <c r="G48" s="3"/>
      <c r="M48" s="3"/>
      <c r="N48" s="3"/>
    </row>
    <row r="49" spans="2:14">
      <c r="B49" s="94" t="s">
        <v>175</v>
      </c>
      <c r="C49" s="434"/>
      <c r="D49" s="269">
        <f>AVERAGE(D46:D48)</f>
        <v>10.597429697825346</v>
      </c>
      <c r="E49" s="3"/>
      <c r="F49" s="3"/>
      <c r="G49" s="3"/>
      <c r="M49" s="3"/>
      <c r="N49" s="3"/>
    </row>
    <row r="50" spans="2:14">
      <c r="B50" s="94" t="s">
        <v>722</v>
      </c>
      <c r="C50" s="3"/>
      <c r="D50" s="240">
        <f>D49</f>
        <v>10.597429697825346</v>
      </c>
      <c r="E50" s="3"/>
      <c r="F50" s="3"/>
      <c r="G50" s="3"/>
    </row>
    <row r="51" spans="2:14">
      <c r="B51" s="3"/>
      <c r="C51" s="3"/>
      <c r="D51" s="3"/>
      <c r="E51" s="3"/>
      <c r="F51" s="3"/>
      <c r="G51" s="3"/>
    </row>
    <row r="52" spans="2:14">
      <c r="B52" s="3" t="s">
        <v>1060</v>
      </c>
      <c r="C52" s="3"/>
      <c r="D52" s="269">
        <f>G12/G13/5</f>
        <v>6.4864864864864868</v>
      </c>
      <c r="E52" s="3"/>
      <c r="G52" s="3"/>
    </row>
    <row r="53" spans="2:14">
      <c r="B53" s="100" t="s">
        <v>1061</v>
      </c>
      <c r="C53" s="3"/>
      <c r="D53" s="94"/>
      <c r="E53" s="3"/>
      <c r="F53" s="3"/>
      <c r="G53" s="3"/>
    </row>
    <row r="54" spans="2:14">
      <c r="B54" s="3"/>
      <c r="C54" s="3"/>
      <c r="D54" s="94"/>
      <c r="E54" s="3"/>
      <c r="F54" s="3"/>
      <c r="G54" s="3"/>
    </row>
    <row r="55" spans="2:14">
      <c r="B55" s="3" t="s">
        <v>1062</v>
      </c>
      <c r="C55" s="3"/>
      <c r="D55" s="240">
        <f>D50+D52</f>
        <v>17.083916184311832</v>
      </c>
      <c r="E55" s="3"/>
      <c r="F55" s="3"/>
      <c r="G55" s="3"/>
    </row>
    <row r="56" spans="2:14">
      <c r="B56" s="3"/>
      <c r="C56" s="3"/>
      <c r="D56" s="3"/>
      <c r="E56" s="3"/>
      <c r="F56" s="3"/>
      <c r="G56" s="3"/>
    </row>
  </sheetData>
  <mergeCells count="1">
    <mergeCell ref="E20:E21"/>
  </mergeCells>
  <hyperlinks>
    <hyperlink ref="O1" location="TOC!A1" display="Table of Contents" xr:uid="{7309115E-F600-44BD-9D27-A4B0390392B8}"/>
  </hyperlinks>
  <pageMargins left="0.7" right="0.7" top="0.75" bottom="0.75" header="0.3" footer="0.3"/>
  <pageSetup scale="67"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AE13-1A3E-4EE4-B3C0-96F4C810E781}">
  <dimension ref="A1:AG95"/>
  <sheetViews>
    <sheetView zoomScaleNormal="100" workbookViewId="0"/>
  </sheetViews>
  <sheetFormatPr defaultColWidth="8.88671875" defaultRowHeight="15.6"/>
  <cols>
    <col min="1" max="1" width="8.88671875" style="2" customWidth="1"/>
    <col min="2" max="2" width="15" style="2" customWidth="1"/>
    <col min="3" max="3" width="16.88671875" style="2" customWidth="1"/>
    <col min="4" max="4" width="14.6640625" style="2" customWidth="1"/>
    <col min="5" max="5" width="17.77734375" style="2" customWidth="1"/>
    <col min="6" max="7" width="12.6640625" style="2" customWidth="1"/>
    <col min="8" max="8" width="13.33203125" style="2" customWidth="1"/>
    <col min="9" max="9" width="12.6640625" style="2" customWidth="1"/>
    <col min="10" max="12" width="9.6640625" style="2" customWidth="1"/>
    <col min="13" max="32" width="4" style="2" customWidth="1"/>
    <col min="33" max="16384" width="8.88671875" style="2"/>
  </cols>
  <sheetData>
    <row r="1" spans="1:20" ht="17.399999999999999">
      <c r="A1" s="13" t="s">
        <v>1928</v>
      </c>
      <c r="B1" s="1"/>
      <c r="C1" s="1"/>
      <c r="D1" s="1" t="s">
        <v>548</v>
      </c>
      <c r="E1" s="1"/>
      <c r="F1" s="1"/>
      <c r="G1" s="1"/>
      <c r="H1" s="1"/>
      <c r="I1" s="1"/>
      <c r="J1" s="1"/>
      <c r="K1" s="1"/>
      <c r="L1" s="14"/>
      <c r="O1" s="21" t="s">
        <v>2927</v>
      </c>
    </row>
    <row r="2" spans="1:20">
      <c r="A2" s="1"/>
      <c r="B2" s="1"/>
      <c r="C2" s="1"/>
      <c r="D2" s="1"/>
      <c r="E2" s="1"/>
      <c r="F2" s="1"/>
      <c r="G2" s="1"/>
      <c r="H2" s="1"/>
      <c r="I2" s="1"/>
      <c r="J2" s="1"/>
      <c r="K2" s="1"/>
      <c r="L2" s="14"/>
    </row>
    <row r="3" spans="1:20">
      <c r="A3" s="1" t="s">
        <v>1072</v>
      </c>
      <c r="B3" s="1"/>
      <c r="C3" s="1"/>
      <c r="D3" s="1"/>
      <c r="E3" s="1"/>
      <c r="F3" s="1"/>
      <c r="G3" s="1"/>
      <c r="H3" s="1"/>
      <c r="I3" s="1"/>
      <c r="J3" s="1"/>
      <c r="K3" s="1"/>
      <c r="L3" s="14"/>
    </row>
    <row r="4" spans="1:20">
      <c r="A4" s="43"/>
      <c r="B4" s="1"/>
      <c r="C4" s="1"/>
      <c r="D4" s="1"/>
      <c r="E4" s="1"/>
      <c r="F4" s="1"/>
      <c r="G4" s="1"/>
      <c r="H4" s="1"/>
      <c r="I4" s="1"/>
      <c r="J4" s="1"/>
      <c r="K4" s="1"/>
      <c r="L4" s="1"/>
    </row>
    <row r="5" spans="1:20" ht="46.8">
      <c r="A5" s="43"/>
      <c r="B5" s="4" t="s">
        <v>3</v>
      </c>
      <c r="C5" s="4" t="s">
        <v>1073</v>
      </c>
      <c r="D5" s="4" t="s">
        <v>47</v>
      </c>
      <c r="E5" s="1"/>
      <c r="F5" s="1"/>
      <c r="G5" s="1"/>
      <c r="H5" s="1"/>
      <c r="I5" s="1"/>
      <c r="J5" s="1"/>
      <c r="K5" s="1"/>
      <c r="L5" s="1"/>
    </row>
    <row r="6" spans="1:20">
      <c r="A6" s="43"/>
      <c r="B6" s="32">
        <v>2017</v>
      </c>
      <c r="C6" s="92">
        <v>785000</v>
      </c>
      <c r="D6" s="92">
        <v>778650</v>
      </c>
      <c r="E6" s="1"/>
      <c r="F6" s="1"/>
      <c r="G6" s="1"/>
      <c r="H6" s="1"/>
      <c r="I6" s="1"/>
      <c r="J6" s="1"/>
      <c r="K6" s="1"/>
      <c r="L6" s="1"/>
    </row>
    <row r="7" spans="1:20">
      <c r="A7" s="43"/>
      <c r="B7" s="32">
        <v>2018</v>
      </c>
      <c r="C7" s="92">
        <v>792500</v>
      </c>
      <c r="D7" s="92">
        <v>782020</v>
      </c>
      <c r="E7" s="1"/>
      <c r="F7" s="1"/>
      <c r="G7" s="1"/>
      <c r="H7" s="1"/>
      <c r="I7" s="1"/>
      <c r="J7" s="1"/>
      <c r="K7" s="1"/>
      <c r="L7" s="1"/>
    </row>
    <row r="8" spans="1:20">
      <c r="A8" s="43"/>
      <c r="B8" s="32">
        <v>2019</v>
      </c>
      <c r="C8" s="92">
        <v>801240</v>
      </c>
      <c r="D8" s="92">
        <v>789880</v>
      </c>
      <c r="E8" s="1"/>
      <c r="F8" s="1"/>
      <c r="G8" s="1"/>
      <c r="H8" s="1"/>
      <c r="I8" s="1"/>
      <c r="J8" s="1"/>
      <c r="K8" s="1"/>
      <c r="L8" s="1"/>
    </row>
    <row r="9" spans="1:20">
      <c r="A9" s="1"/>
      <c r="B9" s="1"/>
      <c r="C9" s="1"/>
      <c r="D9" s="1"/>
      <c r="E9" s="1"/>
      <c r="F9" s="1"/>
      <c r="G9" s="1"/>
      <c r="H9" s="1"/>
      <c r="I9" s="1"/>
      <c r="J9" s="1"/>
      <c r="K9" s="1"/>
      <c r="L9" s="1"/>
    </row>
    <row r="10" spans="1:20">
      <c r="A10" s="3"/>
      <c r="B10" s="3"/>
      <c r="C10" s="3"/>
      <c r="D10" s="3"/>
      <c r="E10" s="3"/>
      <c r="F10" s="3"/>
      <c r="G10" s="3"/>
      <c r="H10" s="3"/>
      <c r="I10" s="3"/>
      <c r="J10" s="3"/>
      <c r="K10" s="3"/>
      <c r="L10" s="3"/>
    </row>
    <row r="11" spans="1:20">
      <c r="A11" s="17" t="s">
        <v>91</v>
      </c>
      <c r="B11" s="1" t="s">
        <v>1074</v>
      </c>
      <c r="C11" s="1"/>
      <c r="D11" s="1"/>
      <c r="E11" s="1"/>
      <c r="F11" s="1"/>
      <c r="G11" s="1"/>
      <c r="H11" s="1"/>
      <c r="I11" s="1"/>
      <c r="J11" s="1"/>
      <c r="K11" s="1"/>
      <c r="L11" s="1"/>
      <c r="M11" s="9"/>
      <c r="N11" s="9"/>
      <c r="O11" s="9"/>
      <c r="P11" s="9"/>
      <c r="Q11" s="9"/>
      <c r="R11" s="9"/>
    </row>
    <row r="12" spans="1:20">
      <c r="A12" s="3"/>
      <c r="B12" s="3"/>
      <c r="C12" s="3"/>
      <c r="D12" s="3"/>
      <c r="E12" s="3"/>
      <c r="F12" s="3"/>
      <c r="G12" s="3"/>
      <c r="H12" s="3"/>
      <c r="I12" s="3"/>
      <c r="J12" s="3"/>
      <c r="K12" s="3"/>
      <c r="L12" s="3"/>
      <c r="M12" s="3"/>
    </row>
    <row r="13" spans="1:20">
      <c r="A13" s="3" t="s">
        <v>20</v>
      </c>
      <c r="B13" s="3"/>
      <c r="C13" s="3"/>
      <c r="D13" s="3"/>
      <c r="E13" s="3"/>
      <c r="F13" s="3"/>
      <c r="G13" s="3"/>
      <c r="H13" s="3"/>
      <c r="I13" s="3"/>
      <c r="J13" s="3"/>
      <c r="K13" s="3"/>
      <c r="L13" s="3"/>
      <c r="M13" s="3"/>
      <c r="N13" s="9"/>
    </row>
    <row r="14" spans="1:20">
      <c r="B14" s="433" t="s">
        <v>3</v>
      </c>
      <c r="C14" s="433" t="s">
        <v>1075</v>
      </c>
      <c r="M14" s="9"/>
      <c r="N14" s="9"/>
      <c r="O14" s="18"/>
      <c r="P14" s="18"/>
      <c r="Q14" s="18"/>
      <c r="R14" s="18"/>
      <c r="S14" s="18"/>
      <c r="T14" s="18"/>
    </row>
    <row r="15" spans="1:20">
      <c r="B15" s="34">
        <v>2018</v>
      </c>
      <c r="C15" s="83">
        <f>D7-C6+C7</f>
        <v>789520</v>
      </c>
      <c r="D15" s="218"/>
      <c r="M15" s="9"/>
      <c r="N15" s="9"/>
      <c r="O15" s="18"/>
      <c r="P15" s="18"/>
      <c r="Q15" s="18"/>
      <c r="R15" s="18"/>
      <c r="S15" s="18"/>
      <c r="T15" s="18"/>
    </row>
    <row r="16" spans="1:20">
      <c r="M16" s="9"/>
      <c r="N16" s="9"/>
      <c r="O16" s="18"/>
      <c r="P16" s="18"/>
      <c r="Q16" s="18"/>
      <c r="R16" s="18"/>
      <c r="S16" s="18"/>
      <c r="T16" s="18"/>
    </row>
    <row r="17" spans="1:20">
      <c r="A17" s="43"/>
      <c r="B17" s="1"/>
      <c r="C17" s="1"/>
      <c r="D17" s="1"/>
      <c r="E17" s="1"/>
      <c r="F17" s="1"/>
      <c r="G17" s="1"/>
      <c r="H17" s="1"/>
      <c r="I17" s="1"/>
      <c r="J17" s="1"/>
      <c r="K17" s="1"/>
      <c r="L17" s="1"/>
      <c r="M17" s="9"/>
      <c r="N17" s="9"/>
      <c r="O17" s="18"/>
      <c r="P17" s="18"/>
      <c r="Q17" s="18"/>
      <c r="R17" s="18"/>
      <c r="S17" s="18"/>
      <c r="T17" s="18"/>
    </row>
    <row r="18" spans="1:20">
      <c r="A18" s="43" t="s">
        <v>1076</v>
      </c>
      <c r="B18" s="1"/>
      <c r="C18" s="1"/>
      <c r="D18" s="1"/>
      <c r="E18" s="1"/>
      <c r="F18" s="1"/>
      <c r="G18" s="1"/>
      <c r="H18" s="1"/>
      <c r="I18" s="1"/>
      <c r="J18" s="1"/>
      <c r="K18" s="1"/>
      <c r="L18" s="1"/>
      <c r="M18" s="9"/>
      <c r="N18" s="9"/>
    </row>
    <row r="19" spans="1:20">
      <c r="A19" s="43"/>
      <c r="B19" s="1"/>
      <c r="C19" s="1"/>
      <c r="D19" s="1"/>
      <c r="E19" s="1"/>
      <c r="F19" s="1"/>
      <c r="G19" s="1"/>
      <c r="H19" s="1"/>
      <c r="I19" s="1"/>
      <c r="J19" s="1"/>
      <c r="K19" s="1"/>
      <c r="L19" s="1"/>
      <c r="M19" s="9"/>
      <c r="N19" s="9"/>
    </row>
    <row r="20" spans="1:20">
      <c r="A20" s="43"/>
      <c r="B20" s="841" t="s">
        <v>242</v>
      </c>
      <c r="C20" s="841"/>
      <c r="D20" s="1"/>
      <c r="E20" s="1"/>
      <c r="F20" s="1"/>
      <c r="G20" s="1"/>
      <c r="H20" s="1"/>
      <c r="I20" s="1"/>
      <c r="J20" s="1"/>
      <c r="K20" s="1"/>
      <c r="L20" s="1"/>
      <c r="M20" s="9"/>
      <c r="N20" s="9"/>
    </row>
    <row r="21" spans="1:20" ht="46.8">
      <c r="A21" s="43"/>
      <c r="B21" s="4" t="s">
        <v>1077</v>
      </c>
      <c r="C21" s="4" t="s">
        <v>1078</v>
      </c>
      <c r="D21" s="1"/>
      <c r="E21" s="1"/>
      <c r="F21" s="1"/>
      <c r="G21" s="1"/>
      <c r="H21" s="1"/>
      <c r="I21" s="1"/>
      <c r="J21" s="1"/>
      <c r="K21" s="1"/>
      <c r="L21" s="1"/>
      <c r="M21" s="9"/>
      <c r="N21" s="9"/>
    </row>
    <row r="22" spans="1:20">
      <c r="A22" s="43"/>
      <c r="B22" s="442">
        <v>42461</v>
      </c>
      <c r="C22" s="30">
        <v>0.02</v>
      </c>
      <c r="D22" s="1"/>
      <c r="E22" s="1"/>
      <c r="F22" s="1"/>
      <c r="G22" s="1"/>
      <c r="H22" s="1"/>
      <c r="I22" s="1"/>
      <c r="J22" s="1"/>
      <c r="K22" s="1"/>
      <c r="L22" s="1"/>
      <c r="M22" s="9"/>
      <c r="N22" s="9"/>
    </row>
    <row r="23" spans="1:20">
      <c r="A23" s="43"/>
      <c r="B23" s="442">
        <v>42917</v>
      </c>
      <c r="C23" s="30">
        <v>0.04</v>
      </c>
      <c r="D23" s="1"/>
      <c r="E23" s="1"/>
      <c r="F23" s="1"/>
      <c r="G23" s="1"/>
      <c r="H23" s="1"/>
      <c r="I23" s="1"/>
      <c r="J23" s="1"/>
      <c r="K23" s="1"/>
      <c r="L23" s="1"/>
      <c r="M23" s="9"/>
      <c r="N23" s="9"/>
    </row>
    <row r="24" spans="1:20">
      <c r="A24" s="43"/>
      <c r="B24" s="442">
        <v>43374</v>
      </c>
      <c r="C24" s="30">
        <v>7.0000000000000007E-2</v>
      </c>
      <c r="D24" s="1"/>
      <c r="E24" s="1"/>
      <c r="F24" s="1"/>
      <c r="G24" s="1"/>
      <c r="H24" s="1"/>
      <c r="I24" s="1"/>
      <c r="J24" s="1"/>
      <c r="K24" s="1"/>
      <c r="L24" s="1"/>
      <c r="M24" s="9"/>
      <c r="N24" s="9"/>
    </row>
    <row r="25" spans="1:20">
      <c r="A25" s="43"/>
      <c r="B25" s="442">
        <v>43862</v>
      </c>
      <c r="C25" s="30">
        <v>0.03</v>
      </c>
      <c r="D25" s="1"/>
      <c r="E25" s="1"/>
      <c r="F25" s="1"/>
      <c r="G25" s="1"/>
      <c r="H25" s="1"/>
      <c r="I25" s="1"/>
      <c r="J25" s="1"/>
      <c r="K25" s="1"/>
      <c r="L25" s="1"/>
      <c r="M25" s="9"/>
      <c r="N25" s="9"/>
    </row>
    <row r="26" spans="1:20">
      <c r="A26" s="43"/>
      <c r="B26" s="1"/>
      <c r="C26" s="1"/>
      <c r="D26" s="1"/>
      <c r="E26" s="1"/>
      <c r="F26" s="1"/>
      <c r="G26" s="1"/>
      <c r="H26" s="1"/>
      <c r="I26" s="1"/>
      <c r="J26" s="1"/>
      <c r="K26" s="1"/>
      <c r="L26" s="1"/>
      <c r="M26" s="9"/>
      <c r="N26" s="9"/>
    </row>
    <row r="27" spans="1:20">
      <c r="A27" s="43"/>
      <c r="B27" s="1" t="s">
        <v>1079</v>
      </c>
      <c r="C27" s="1"/>
      <c r="D27" s="1"/>
      <c r="E27" s="1"/>
      <c r="F27" s="1"/>
      <c r="G27" s="1"/>
      <c r="H27" s="1"/>
      <c r="I27" s="1"/>
      <c r="J27" s="1"/>
      <c r="K27" s="1"/>
      <c r="L27" s="1"/>
      <c r="M27" s="9"/>
      <c r="N27" s="9"/>
    </row>
    <row r="28" spans="1:20">
      <c r="A28" s="43"/>
      <c r="B28" s="1" t="s">
        <v>1080</v>
      </c>
      <c r="C28" s="1"/>
      <c r="D28" s="1"/>
      <c r="E28" s="1"/>
      <c r="F28" s="1"/>
      <c r="G28" s="1"/>
      <c r="H28" s="1"/>
      <c r="I28" s="1"/>
      <c r="J28" s="1"/>
      <c r="K28" s="1"/>
      <c r="L28" s="1"/>
      <c r="M28" s="9"/>
      <c r="N28" s="9"/>
    </row>
    <row r="29" spans="1:20">
      <c r="A29" s="43"/>
      <c r="B29" s="1" t="s">
        <v>1081</v>
      </c>
      <c r="C29" s="1"/>
      <c r="D29" s="1"/>
      <c r="E29" s="1"/>
      <c r="F29" s="1"/>
      <c r="G29" s="1"/>
      <c r="H29" s="1"/>
      <c r="I29" s="1"/>
      <c r="J29" s="1"/>
      <c r="K29" s="1"/>
      <c r="L29" s="1"/>
      <c r="M29" s="9"/>
      <c r="N29" s="9"/>
    </row>
    <row r="30" spans="1:20">
      <c r="A30" s="43"/>
      <c r="B30" s="1" t="s">
        <v>1082</v>
      </c>
      <c r="C30" s="1"/>
      <c r="D30" s="1"/>
      <c r="E30" s="1"/>
      <c r="F30" s="1"/>
      <c r="G30" s="1"/>
      <c r="H30" s="1"/>
      <c r="I30" s="1"/>
      <c r="J30" s="1"/>
      <c r="K30" s="1"/>
      <c r="L30" s="1"/>
      <c r="M30" s="9"/>
      <c r="N30" s="9"/>
    </row>
    <row r="31" spans="1:20">
      <c r="A31" s="1"/>
      <c r="B31" s="1"/>
      <c r="C31" s="1"/>
      <c r="D31" s="1"/>
      <c r="E31" s="1"/>
      <c r="F31" s="1"/>
      <c r="G31" s="1"/>
      <c r="H31" s="1"/>
      <c r="I31" s="1"/>
      <c r="J31" s="1"/>
      <c r="K31" s="1"/>
      <c r="L31" s="1"/>
      <c r="M31" s="9"/>
      <c r="N31" s="9"/>
    </row>
    <row r="33" spans="1:33">
      <c r="A33" s="17" t="s">
        <v>133</v>
      </c>
      <c r="B33" s="1" t="s">
        <v>1083</v>
      </c>
      <c r="C33" s="1"/>
      <c r="D33" s="1"/>
      <c r="E33" s="1"/>
      <c r="F33" s="1"/>
      <c r="G33" s="1"/>
      <c r="H33" s="1"/>
      <c r="I33" s="1"/>
      <c r="J33" s="1"/>
      <c r="K33" s="1"/>
      <c r="L33" s="1"/>
    </row>
    <row r="34" spans="1:33">
      <c r="A34" s="3"/>
      <c r="B34" s="3"/>
      <c r="C34" s="3"/>
      <c r="D34" s="3"/>
      <c r="E34" s="3"/>
      <c r="F34" s="3"/>
      <c r="G34" s="3"/>
      <c r="H34" s="3"/>
      <c r="I34" s="3"/>
      <c r="J34" s="3"/>
      <c r="K34" s="3"/>
      <c r="L34" s="3"/>
    </row>
    <row r="35" spans="1:33">
      <c r="A35" s="3" t="s">
        <v>20</v>
      </c>
      <c r="B35" s="3"/>
      <c r="C35" s="3"/>
      <c r="D35" s="3"/>
      <c r="E35" s="3"/>
      <c r="F35" s="3"/>
      <c r="G35" s="3"/>
      <c r="H35" s="3"/>
      <c r="I35" s="3"/>
      <c r="J35" s="3"/>
      <c r="K35" s="3"/>
      <c r="L35" s="3"/>
    </row>
    <row r="36" spans="1:33">
      <c r="A36" s="3"/>
      <c r="B36" s="18"/>
      <c r="C36" s="18"/>
      <c r="J36" s="3"/>
      <c r="K36" s="3"/>
      <c r="L36" s="3"/>
      <c r="AG36" s="211"/>
    </row>
    <row r="37" spans="1:33">
      <c r="A37" s="3"/>
      <c r="B37" s="173" t="s">
        <v>242</v>
      </c>
      <c r="C37" s="173"/>
      <c r="J37" s="3"/>
      <c r="K37" s="3"/>
      <c r="L37" s="3"/>
      <c r="AG37" s="211"/>
    </row>
    <row r="38" spans="1:33" ht="19.95" customHeight="1">
      <c r="B38" s="34" t="s">
        <v>243</v>
      </c>
      <c r="C38" s="34" t="s">
        <v>244</v>
      </c>
      <c r="D38" s="34" t="s">
        <v>193</v>
      </c>
      <c r="E38" s="173" t="s">
        <v>194</v>
      </c>
      <c r="F38" s="173"/>
      <c r="G38" s="173"/>
      <c r="H38" s="173"/>
      <c r="I38" s="173"/>
      <c r="M38" s="823">
        <v>2016</v>
      </c>
      <c r="N38" s="823"/>
      <c r="O38" s="823"/>
      <c r="P38" s="823"/>
      <c r="Q38" s="823">
        <f>M38+1</f>
        <v>2017</v>
      </c>
      <c r="R38" s="823"/>
      <c r="S38" s="823"/>
      <c r="T38" s="823"/>
      <c r="U38" s="823">
        <f>Q38+1</f>
        <v>2018</v>
      </c>
      <c r="V38" s="823"/>
      <c r="W38" s="823"/>
      <c r="X38" s="823"/>
      <c r="Y38" s="823">
        <f>U38+1</f>
        <v>2019</v>
      </c>
      <c r="Z38" s="823"/>
      <c r="AA38" s="823"/>
      <c r="AB38" s="823"/>
      <c r="AC38" s="823">
        <f>Y38+1</f>
        <v>2020</v>
      </c>
      <c r="AD38" s="823"/>
      <c r="AE38" s="823"/>
      <c r="AF38" s="823"/>
      <c r="AG38" s="211"/>
    </row>
    <row r="39" spans="1:33" ht="19.95" customHeight="1">
      <c r="B39" s="35" t="s">
        <v>245</v>
      </c>
      <c r="C39" s="35" t="s">
        <v>246</v>
      </c>
      <c r="D39" s="35" t="s">
        <v>196</v>
      </c>
      <c r="E39" s="35">
        <f t="shared" ref="E39:G39" si="0">F39-1</f>
        <v>2017</v>
      </c>
      <c r="F39" s="35">
        <f t="shared" si="0"/>
        <v>2018</v>
      </c>
      <c r="G39" s="35">
        <f t="shared" si="0"/>
        <v>2019</v>
      </c>
      <c r="H39" s="35">
        <f>I39-1</f>
        <v>2020</v>
      </c>
      <c r="I39" s="35">
        <v>2021</v>
      </c>
      <c r="M39" s="115"/>
      <c r="N39" s="116"/>
      <c r="O39" s="116"/>
      <c r="P39" s="117"/>
      <c r="Q39" s="115"/>
      <c r="R39" s="116"/>
      <c r="S39" s="116"/>
      <c r="T39" s="117"/>
      <c r="U39" s="115"/>
      <c r="V39" s="116"/>
      <c r="W39" s="116"/>
      <c r="X39" s="117"/>
      <c r="Y39" s="115"/>
      <c r="Z39" s="116"/>
      <c r="AA39" s="116"/>
      <c r="AB39" s="117"/>
      <c r="AC39" s="115"/>
      <c r="AD39" s="116"/>
      <c r="AE39" s="116"/>
      <c r="AF39" s="117"/>
      <c r="AG39" s="211"/>
    </row>
    <row r="40" spans="1:33" ht="19.95" customHeight="1">
      <c r="B40" s="443"/>
      <c r="C40" s="125">
        <v>0</v>
      </c>
      <c r="D40" s="132">
        <v>1</v>
      </c>
      <c r="E40" s="444">
        <f>0.5*0.25*0.25</f>
        <v>3.125E-2</v>
      </c>
      <c r="F40" s="444">
        <v>0</v>
      </c>
      <c r="G40" s="444">
        <v>0</v>
      </c>
      <c r="H40" s="444">
        <v>0</v>
      </c>
      <c r="I40" s="444">
        <v>0</v>
      </c>
      <c r="M40" s="118"/>
      <c r="N40" s="119" t="s">
        <v>190</v>
      </c>
      <c r="O40" s="119"/>
      <c r="P40" s="120"/>
      <c r="Q40" s="118"/>
      <c r="R40" s="119"/>
      <c r="S40" s="119" t="s">
        <v>191</v>
      </c>
      <c r="T40" s="120"/>
      <c r="U40" s="118"/>
      <c r="V40" s="119"/>
      <c r="W40" s="119" t="s">
        <v>192</v>
      </c>
      <c r="X40" s="120"/>
      <c r="Y40" s="118"/>
      <c r="Z40" s="119"/>
      <c r="AA40" s="119"/>
      <c r="AB40" s="120" t="s">
        <v>250</v>
      </c>
      <c r="AC40" s="118"/>
      <c r="AD40" s="119"/>
      <c r="AE40" s="119"/>
      <c r="AF40" s="120"/>
      <c r="AG40" s="211"/>
    </row>
    <row r="41" spans="1:33" ht="19.95" customHeight="1">
      <c r="B41" s="443">
        <f t="shared" ref="B41:C44" si="1">B22</f>
        <v>42461</v>
      </c>
      <c r="C41" s="125">
        <f t="shared" si="1"/>
        <v>0.02</v>
      </c>
      <c r="D41" s="132">
        <f>D40*(1+C41)</f>
        <v>1.02</v>
      </c>
      <c r="E41" s="444">
        <f>1-E40-E42</f>
        <v>0.84375</v>
      </c>
      <c r="F41" s="444">
        <f>1/8</f>
        <v>0.125</v>
      </c>
      <c r="G41" s="444">
        <v>0</v>
      </c>
      <c r="H41" s="444">
        <v>0</v>
      </c>
      <c r="I41" s="444">
        <v>0</v>
      </c>
      <c r="M41" s="118"/>
      <c r="N41" s="119"/>
      <c r="O41" s="119"/>
      <c r="P41" s="120"/>
      <c r="Q41" s="118"/>
      <c r="R41" s="119"/>
      <c r="S41" s="119"/>
      <c r="T41" s="120"/>
      <c r="U41" s="118"/>
      <c r="V41" s="119"/>
      <c r="W41" s="119"/>
      <c r="X41" s="120"/>
      <c r="Y41" s="118"/>
      <c r="Z41" s="119"/>
      <c r="AA41" s="119"/>
      <c r="AB41" s="120"/>
      <c r="AC41" s="118"/>
      <c r="AD41" s="119"/>
      <c r="AE41" s="119" t="s">
        <v>251</v>
      </c>
      <c r="AF41" s="120"/>
    </row>
    <row r="42" spans="1:33" ht="19.95" customHeight="1">
      <c r="B42" s="443">
        <f t="shared" si="1"/>
        <v>42917</v>
      </c>
      <c r="C42" s="125">
        <f t="shared" si="1"/>
        <v>0.04</v>
      </c>
      <c r="D42" s="132">
        <f t="shared" ref="D42:D44" si="2">D41*(1+C42)</f>
        <v>1.0608</v>
      </c>
      <c r="E42" s="444">
        <f>1/8</f>
        <v>0.125</v>
      </c>
      <c r="F42" s="444">
        <f>1-F41-F43</f>
        <v>0.84375</v>
      </c>
      <c r="G42" s="444">
        <f>9/32</f>
        <v>0.28125</v>
      </c>
      <c r="H42" s="444">
        <v>0</v>
      </c>
      <c r="I42" s="444">
        <v>0</v>
      </c>
      <c r="M42" s="121"/>
      <c r="N42" s="122"/>
      <c r="O42" s="122"/>
      <c r="P42" s="123"/>
      <c r="Q42" s="121"/>
      <c r="R42" s="122"/>
      <c r="S42" s="122"/>
      <c r="T42" s="123"/>
      <c r="U42" s="121"/>
      <c r="V42" s="122"/>
      <c r="W42" s="122"/>
      <c r="X42" s="123"/>
      <c r="Y42" s="121"/>
      <c r="Z42" s="122"/>
      <c r="AA42" s="122"/>
      <c r="AB42" s="123"/>
      <c r="AC42" s="121"/>
      <c r="AD42" s="122"/>
      <c r="AE42" s="122"/>
      <c r="AF42" s="123"/>
    </row>
    <row r="43" spans="1:33">
      <c r="B43" s="443">
        <f t="shared" si="1"/>
        <v>43374</v>
      </c>
      <c r="C43" s="125">
        <f t="shared" si="1"/>
        <v>7.0000000000000007E-2</v>
      </c>
      <c r="D43" s="132">
        <f t="shared" si="2"/>
        <v>1.1350560000000001</v>
      </c>
      <c r="E43" s="444">
        <v>0</v>
      </c>
      <c r="F43" s="444">
        <f>0.5*0.25*0.25</f>
        <v>3.125E-2</v>
      </c>
      <c r="G43" s="444">
        <f>1-G42</f>
        <v>0.71875</v>
      </c>
      <c r="H43" s="444">
        <f>1-H44</f>
        <v>0.57986111111111116</v>
      </c>
      <c r="I43" s="444">
        <f>0.5*(1/12)^2</f>
        <v>3.472222222222222E-3</v>
      </c>
      <c r="M43" s="3"/>
    </row>
    <row r="44" spans="1:33">
      <c r="B44" s="445">
        <f t="shared" si="1"/>
        <v>43862</v>
      </c>
      <c r="C44" s="128">
        <f t="shared" si="1"/>
        <v>0.03</v>
      </c>
      <c r="D44" s="297">
        <f t="shared" si="2"/>
        <v>1.1691076800000002</v>
      </c>
      <c r="E44" s="446">
        <v>0</v>
      </c>
      <c r="F44" s="446">
        <v>0</v>
      </c>
      <c r="G44" s="446">
        <v>0</v>
      </c>
      <c r="H44" s="446">
        <f>0.5*(11/12)^2</f>
        <v>0.42013888888888884</v>
      </c>
      <c r="I44" s="446">
        <f>1-I43</f>
        <v>0.99652777777777779</v>
      </c>
      <c r="M44" s="3"/>
    </row>
    <row r="45" spans="1:33">
      <c r="B45" s="447"/>
      <c r="C45" s="124"/>
      <c r="E45" s="444">
        <f>SUM(E40:E44)</f>
        <v>1</v>
      </c>
      <c r="F45" s="444">
        <f>SUM(F40:F44)</f>
        <v>1</v>
      </c>
      <c r="G45" s="444">
        <f>SUM(G40:G44)</f>
        <v>1</v>
      </c>
      <c r="H45" s="444">
        <f>SUM(H40:H44)</f>
        <v>1</v>
      </c>
      <c r="I45" s="444">
        <f>SUM(I40:I44)</f>
        <v>1</v>
      </c>
      <c r="M45" s="3"/>
    </row>
    <row r="46" spans="1:33">
      <c r="B46" s="447"/>
      <c r="C46" s="448"/>
      <c r="M46" s="3"/>
    </row>
    <row r="47" spans="1:33">
      <c r="B47" s="449" t="s">
        <v>639</v>
      </c>
      <c r="E47" s="132">
        <f>SUMPRODUCT($D$40:$D$44,E40:E44)</f>
        <v>1.024475</v>
      </c>
      <c r="F47" s="132">
        <f>SUMPRODUCT($D$40:$D$44,F40:F44)</f>
        <v>1.0580205</v>
      </c>
      <c r="G47" s="132">
        <f>SUMPRODUCT($D$40:$D$44,G40:G44)</f>
        <v>1.1141715000000001</v>
      </c>
      <c r="H47" s="132">
        <f>SUMPRODUCT($D$40:$D$44,H40:H44)</f>
        <v>1.149362435</v>
      </c>
      <c r="I47" s="132">
        <f>SUMPRODUCT($D$40:$D$44,I40:I44)</f>
        <v>1.1689894450000002</v>
      </c>
      <c r="M47" s="3"/>
    </row>
    <row r="48" spans="1:33">
      <c r="B48" s="448"/>
      <c r="M48" s="3"/>
    </row>
    <row r="49" spans="1:13">
      <c r="B49" s="449" t="s">
        <v>1084</v>
      </c>
      <c r="E49" s="82">
        <f>$D$44/E47</f>
        <v>1.1411773640157155</v>
      </c>
      <c r="F49" s="82">
        <f>$D$44/F47</f>
        <v>1.1049953001855826</v>
      </c>
      <c r="G49" s="82">
        <f>$D$44/G47</f>
        <v>1.0493067539422791</v>
      </c>
      <c r="H49" s="82">
        <f>$D$44/H47</f>
        <v>1.0171793025408911</v>
      </c>
      <c r="I49" s="82">
        <f>$D$44/I47</f>
        <v>1.0001011429149387</v>
      </c>
      <c r="M49" s="3"/>
    </row>
    <row r="50" spans="1:13">
      <c r="B50" s="449"/>
      <c r="E50" s="82"/>
      <c r="F50" s="82"/>
      <c r="G50" s="82"/>
      <c r="H50" s="82"/>
      <c r="I50" s="82"/>
    </row>
    <row r="51" spans="1:13" ht="31.2">
      <c r="B51" s="93" t="s">
        <v>3</v>
      </c>
      <c r="C51" s="93" t="s">
        <v>1085</v>
      </c>
      <c r="D51" s="93" t="s">
        <v>47</v>
      </c>
      <c r="E51" s="93" t="s">
        <v>201</v>
      </c>
      <c r="F51" s="82"/>
      <c r="G51" s="82"/>
      <c r="H51" s="82"/>
      <c r="I51" s="82"/>
    </row>
    <row r="52" spans="1:13">
      <c r="B52" s="268">
        <v>2017</v>
      </c>
      <c r="C52" s="450">
        <f>E49</f>
        <v>1.1411773640157155</v>
      </c>
      <c r="D52" s="305">
        <f>D6</f>
        <v>778650</v>
      </c>
      <c r="E52" s="305">
        <f>C52*D52</f>
        <v>888577.75449083687</v>
      </c>
      <c r="F52" s="82"/>
      <c r="G52" s="82"/>
      <c r="H52" s="82"/>
      <c r="I52" s="82"/>
    </row>
    <row r="53" spans="1:13">
      <c r="B53" s="268">
        <v>2018</v>
      </c>
      <c r="C53" s="450">
        <f>F49</f>
        <v>1.1049953001855826</v>
      </c>
      <c r="D53" s="305">
        <f>D7</f>
        <v>782020</v>
      </c>
      <c r="E53" s="305">
        <f t="shared" ref="E53:E54" si="3">C53*D53</f>
        <v>864128.42465112929</v>
      </c>
      <c r="F53" s="82"/>
      <c r="G53" s="82"/>
      <c r="H53" s="82"/>
      <c r="I53" s="82"/>
    </row>
    <row r="54" spans="1:13">
      <c r="B54" s="268">
        <v>2019</v>
      </c>
      <c r="C54" s="450">
        <f>G49</f>
        <v>1.0493067539422791</v>
      </c>
      <c r="D54" s="305">
        <f>D8</f>
        <v>789880</v>
      </c>
      <c r="E54" s="305">
        <f t="shared" si="3"/>
        <v>828826.41880392749</v>
      </c>
      <c r="F54" s="82"/>
      <c r="G54" s="82"/>
      <c r="H54" s="82"/>
      <c r="I54" s="82"/>
    </row>
    <row r="56" spans="1:13">
      <c r="A56" s="1"/>
      <c r="B56" s="1"/>
      <c r="C56" s="1"/>
      <c r="D56" s="1"/>
      <c r="E56" s="1"/>
      <c r="F56" s="1"/>
      <c r="G56" s="1"/>
      <c r="H56" s="1"/>
      <c r="I56" s="1"/>
      <c r="J56" s="1"/>
      <c r="K56" s="1"/>
      <c r="L56" s="1"/>
    </row>
    <row r="57" spans="1:13">
      <c r="A57" s="831" t="s">
        <v>1086</v>
      </c>
      <c r="B57" s="831"/>
      <c r="C57" s="831"/>
      <c r="D57" s="831"/>
      <c r="E57" s="831"/>
      <c r="F57" s="831"/>
      <c r="G57" s="831"/>
      <c r="H57" s="831"/>
      <c r="I57" s="831"/>
      <c r="J57" s="831"/>
      <c r="K57" s="831"/>
      <c r="L57" s="1"/>
    </row>
    <row r="58" spans="1:13">
      <c r="A58" s="831"/>
      <c r="B58" s="831"/>
      <c r="C58" s="831"/>
      <c r="D58" s="831"/>
      <c r="E58" s="831"/>
      <c r="F58" s="831"/>
      <c r="G58" s="831"/>
      <c r="H58" s="831"/>
      <c r="I58" s="831"/>
      <c r="J58" s="831"/>
      <c r="K58" s="831"/>
      <c r="L58" s="1"/>
    </row>
    <row r="59" spans="1:13">
      <c r="A59" s="1"/>
      <c r="B59" s="1"/>
      <c r="C59" s="1"/>
      <c r="D59" s="1"/>
      <c r="E59" s="1"/>
      <c r="F59" s="1"/>
      <c r="G59" s="1"/>
      <c r="H59" s="1"/>
      <c r="I59" s="1"/>
      <c r="J59" s="1"/>
      <c r="K59" s="1"/>
      <c r="L59" s="1"/>
    </row>
    <row r="60" spans="1:13" ht="18.600000000000001">
      <c r="A60" s="1"/>
      <c r="B60" s="1" t="s">
        <v>1087</v>
      </c>
      <c r="C60" s="1"/>
      <c r="D60" s="451">
        <v>43221</v>
      </c>
      <c r="E60" s="1" t="s">
        <v>1088</v>
      </c>
      <c r="F60" s="1"/>
      <c r="G60" s="1"/>
      <c r="H60" s="231">
        <v>5000</v>
      </c>
      <c r="I60" s="1"/>
      <c r="J60" s="1"/>
      <c r="K60" s="1"/>
      <c r="L60" s="1"/>
    </row>
    <row r="61" spans="1:13">
      <c r="A61" s="1"/>
      <c r="B61" s="1" t="s">
        <v>1089</v>
      </c>
      <c r="C61" s="1"/>
      <c r="D61" s="452">
        <v>43405</v>
      </c>
      <c r="E61" s="1" t="s">
        <v>1088</v>
      </c>
      <c r="F61" s="1"/>
      <c r="G61" s="1"/>
      <c r="H61" s="231">
        <v>7000</v>
      </c>
      <c r="I61" s="1"/>
      <c r="J61" s="1"/>
      <c r="K61" s="1"/>
      <c r="L61" s="1"/>
    </row>
    <row r="62" spans="1:13">
      <c r="A62" s="1"/>
      <c r="B62" s="1" t="s">
        <v>1090</v>
      </c>
      <c r="C62" s="1"/>
      <c r="D62" s="1"/>
      <c r="E62" s="1"/>
      <c r="F62" s="1"/>
      <c r="G62" s="1"/>
      <c r="H62" s="1"/>
      <c r="I62" s="1"/>
      <c r="J62" s="1"/>
      <c r="K62" s="1"/>
      <c r="L62" s="1"/>
    </row>
    <row r="63" spans="1:13">
      <c r="A63" s="1"/>
      <c r="B63" s="1"/>
      <c r="C63" s="1"/>
      <c r="D63" s="1"/>
      <c r="E63" s="1"/>
      <c r="F63" s="1"/>
      <c r="G63" s="1"/>
      <c r="H63" s="1"/>
      <c r="I63" s="1"/>
      <c r="J63" s="1"/>
      <c r="K63" s="1"/>
      <c r="L63" s="1"/>
    </row>
    <row r="65" spans="1:14">
      <c r="A65" s="17" t="s">
        <v>18</v>
      </c>
      <c r="B65" s="831" t="s">
        <v>1091</v>
      </c>
      <c r="C65" s="831"/>
      <c r="D65" s="831"/>
      <c r="E65" s="831"/>
      <c r="F65" s="831"/>
      <c r="G65" s="831"/>
      <c r="H65" s="831"/>
      <c r="I65" s="831"/>
      <c r="J65" s="831"/>
      <c r="K65" s="831"/>
      <c r="L65" s="831"/>
    </row>
    <row r="66" spans="1:14">
      <c r="A66" s="17"/>
      <c r="B66" s="831"/>
      <c r="C66" s="831"/>
      <c r="D66" s="831"/>
      <c r="E66" s="831"/>
      <c r="F66" s="831"/>
      <c r="G66" s="831"/>
      <c r="H66" s="831"/>
      <c r="I66" s="831"/>
      <c r="J66" s="831"/>
      <c r="K66" s="831"/>
      <c r="L66" s="831"/>
    </row>
    <row r="67" spans="1:14">
      <c r="A67" s="14"/>
      <c r="B67" s="14"/>
      <c r="C67" s="14"/>
      <c r="D67" s="14"/>
      <c r="E67" s="14"/>
      <c r="F67" s="14"/>
      <c r="G67" s="1"/>
      <c r="H67" s="1"/>
      <c r="I67" s="1"/>
      <c r="J67" s="1"/>
      <c r="K67" s="1"/>
      <c r="L67" s="1"/>
    </row>
    <row r="68" spans="1:14">
      <c r="A68" s="3"/>
      <c r="B68" s="3"/>
      <c r="C68" s="3"/>
      <c r="D68" s="3"/>
      <c r="E68" s="3"/>
      <c r="F68" s="3"/>
      <c r="G68" s="3"/>
      <c r="H68" s="3"/>
      <c r="I68" s="3"/>
      <c r="J68" s="3"/>
      <c r="K68" s="3"/>
      <c r="L68" s="3"/>
    </row>
    <row r="69" spans="1:14">
      <c r="A69" s="3" t="s">
        <v>20</v>
      </c>
      <c r="B69" s="3"/>
      <c r="C69" s="3"/>
      <c r="D69" s="3"/>
      <c r="E69" s="3"/>
      <c r="F69" s="3"/>
      <c r="G69" s="3"/>
      <c r="H69" s="3"/>
      <c r="I69" s="3"/>
      <c r="J69" s="3"/>
      <c r="K69" s="3"/>
      <c r="L69" s="3"/>
    </row>
    <row r="70" spans="1:14">
      <c r="B70" s="3"/>
      <c r="C70" s="3"/>
      <c r="D70" s="3"/>
      <c r="E70" s="3"/>
      <c r="F70" s="844" t="s">
        <v>1092</v>
      </c>
      <c r="G70" s="844"/>
      <c r="H70" s="3"/>
      <c r="M70" s="3"/>
      <c r="N70" s="3"/>
    </row>
    <row r="71" spans="1:14" ht="46.8">
      <c r="B71" s="107" t="s">
        <v>1093</v>
      </c>
      <c r="C71" s="93" t="s">
        <v>1094</v>
      </c>
      <c r="D71" s="93" t="s">
        <v>1095</v>
      </c>
      <c r="E71" s="93" t="s">
        <v>1096</v>
      </c>
      <c r="F71" s="445">
        <f>B43</f>
        <v>43374</v>
      </c>
      <c r="G71" s="445">
        <f>B44</f>
        <v>43862</v>
      </c>
      <c r="H71" s="93" t="s">
        <v>1097</v>
      </c>
      <c r="M71" s="3"/>
      <c r="N71" s="3"/>
    </row>
    <row r="72" spans="1:14">
      <c r="B72" s="94">
        <v>1</v>
      </c>
      <c r="C72" s="94">
        <v>8</v>
      </c>
      <c r="D72" s="136">
        <f>C72/12</f>
        <v>0.66666666666666663</v>
      </c>
      <c r="E72" s="240">
        <f>D72*H60</f>
        <v>3333.333333333333</v>
      </c>
      <c r="F72" s="125">
        <f>C43</f>
        <v>7.0000000000000007E-2</v>
      </c>
      <c r="G72" s="125">
        <f>C44</f>
        <v>0.03</v>
      </c>
      <c r="H72" s="240">
        <f>E72*(1+F72)*(1+G72)</f>
        <v>3673.6666666666665</v>
      </c>
      <c r="M72" s="3"/>
      <c r="N72" s="3"/>
    </row>
    <row r="73" spans="1:14">
      <c r="B73" s="107">
        <v>2</v>
      </c>
      <c r="C73" s="107">
        <v>2</v>
      </c>
      <c r="D73" s="140">
        <f>C73/12</f>
        <v>0.16666666666666666</v>
      </c>
      <c r="E73" s="370">
        <f>D73*H61</f>
        <v>1166.6666666666665</v>
      </c>
      <c r="F73" s="107" t="s">
        <v>1098</v>
      </c>
      <c r="G73" s="128">
        <f>G72</f>
        <v>0.03</v>
      </c>
      <c r="H73" s="370">
        <f>E73*(1+G73)</f>
        <v>1201.6666666666665</v>
      </c>
    </row>
    <row r="74" spans="1:14">
      <c r="B74" s="62"/>
      <c r="C74" s="62"/>
      <c r="D74" s="62"/>
      <c r="E74" s="240">
        <f>SUM(E72:E73)</f>
        <v>4500</v>
      </c>
      <c r="F74" s="106"/>
      <c r="G74" s="106"/>
      <c r="H74" s="240">
        <f>SUM(H72:H73)</f>
        <v>4875.333333333333</v>
      </c>
    </row>
    <row r="76" spans="1:14">
      <c r="A76" s="17" t="s">
        <v>25</v>
      </c>
      <c r="B76" s="831" t="s">
        <v>1099</v>
      </c>
      <c r="C76" s="831"/>
      <c r="D76" s="831"/>
      <c r="E76" s="831"/>
      <c r="F76" s="831"/>
      <c r="G76" s="831"/>
      <c r="H76" s="831"/>
      <c r="I76" s="831"/>
      <c r="J76" s="831"/>
      <c r="K76" s="831"/>
      <c r="L76" s="831"/>
    </row>
    <row r="77" spans="1:14">
      <c r="A77" s="17"/>
      <c r="B77" s="831"/>
      <c r="C77" s="831"/>
      <c r="D77" s="831"/>
      <c r="E77" s="831"/>
      <c r="F77" s="831"/>
      <c r="G77" s="831"/>
      <c r="H77" s="831"/>
      <c r="I77" s="831"/>
      <c r="J77" s="831"/>
      <c r="K77" s="831"/>
      <c r="L77" s="831"/>
    </row>
    <row r="78" spans="1:14">
      <c r="A78" s="14"/>
      <c r="B78" s="14"/>
      <c r="C78" s="14"/>
      <c r="D78" s="14"/>
      <c r="E78" s="14"/>
      <c r="F78" s="14"/>
      <c r="G78" s="1"/>
      <c r="H78" s="1"/>
      <c r="I78" s="1"/>
      <c r="J78" s="1"/>
      <c r="K78" s="1"/>
      <c r="L78" s="1"/>
    </row>
    <row r="79" spans="1:14">
      <c r="A79" s="3"/>
      <c r="B79" s="3"/>
      <c r="C79" s="3"/>
      <c r="D79" s="3"/>
      <c r="E79" s="3"/>
      <c r="F79" s="3"/>
      <c r="G79" s="3"/>
      <c r="H79" s="3"/>
      <c r="I79" s="3"/>
      <c r="J79" s="3"/>
      <c r="K79" s="3"/>
      <c r="L79" s="3"/>
    </row>
    <row r="80" spans="1:14">
      <c r="A80" s="3" t="s">
        <v>20</v>
      </c>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t="s">
        <v>1100</v>
      </c>
      <c r="B82" s="3"/>
      <c r="C82" s="3"/>
      <c r="D82" s="3"/>
      <c r="E82" s="3"/>
      <c r="F82" s="3"/>
      <c r="G82" s="3"/>
      <c r="H82" s="3"/>
      <c r="I82" s="3"/>
      <c r="J82" s="3"/>
      <c r="K82" s="3"/>
      <c r="L82" s="3"/>
    </row>
    <row r="83" spans="1:12">
      <c r="A83" s="3" t="s">
        <v>1101</v>
      </c>
    </row>
    <row r="84" spans="1:12">
      <c r="A84" s="3" t="s">
        <v>1102</v>
      </c>
    </row>
    <row r="86" spans="1:12">
      <c r="A86" s="1"/>
      <c r="B86" s="1"/>
      <c r="C86" s="1"/>
      <c r="D86" s="1"/>
      <c r="E86" s="1"/>
      <c r="F86" s="1"/>
      <c r="G86" s="1"/>
      <c r="H86" s="1"/>
      <c r="I86" s="1"/>
      <c r="J86" s="1"/>
      <c r="K86" s="1"/>
      <c r="L86" s="1"/>
    </row>
    <row r="87" spans="1:12" ht="15.6" customHeight="1">
      <c r="A87" s="1" t="s">
        <v>1103</v>
      </c>
      <c r="B87" s="1"/>
      <c r="C87" s="1"/>
      <c r="D87" s="1"/>
      <c r="E87" s="1"/>
      <c r="F87" s="1"/>
      <c r="G87" s="1"/>
      <c r="H87" s="1"/>
      <c r="I87" s="1"/>
      <c r="J87" s="1"/>
      <c r="K87" s="1"/>
      <c r="L87" s="1"/>
    </row>
    <row r="88" spans="1:12">
      <c r="A88" s="44"/>
      <c r="B88" s="44"/>
      <c r="C88" s="44"/>
      <c r="D88" s="44"/>
      <c r="E88" s="44"/>
      <c r="F88" s="44"/>
      <c r="G88" s="44"/>
      <c r="H88" s="44"/>
      <c r="I88" s="44"/>
      <c r="J88" s="44"/>
      <c r="K88" s="44"/>
      <c r="L88" s="1"/>
    </row>
    <row r="90" spans="1:12">
      <c r="A90" s="17" t="s">
        <v>147</v>
      </c>
      <c r="B90" s="1" t="s">
        <v>1104</v>
      </c>
      <c r="C90" s="1"/>
      <c r="D90" s="1"/>
      <c r="E90" s="1"/>
      <c r="F90" s="1"/>
      <c r="G90" s="1"/>
      <c r="H90" s="1"/>
      <c r="I90" s="1"/>
      <c r="J90" s="1"/>
      <c r="K90" s="1"/>
      <c r="L90" s="1"/>
    </row>
    <row r="91" spans="1:12">
      <c r="A91" s="14"/>
      <c r="B91" s="14"/>
      <c r="C91" s="14"/>
      <c r="D91" s="14"/>
      <c r="E91" s="14"/>
      <c r="F91" s="14"/>
      <c r="G91" s="1"/>
      <c r="H91" s="1"/>
      <c r="I91" s="1"/>
      <c r="J91" s="1"/>
      <c r="K91" s="1"/>
      <c r="L91" s="1"/>
    </row>
    <row r="92" spans="1:12">
      <c r="A92" s="3"/>
      <c r="B92" s="3"/>
      <c r="C92" s="3"/>
      <c r="D92" s="3"/>
      <c r="E92" s="3"/>
      <c r="F92" s="3"/>
      <c r="G92" s="3"/>
      <c r="H92" s="3"/>
      <c r="I92" s="3"/>
      <c r="J92" s="3"/>
      <c r="K92" s="3"/>
      <c r="L92" s="3"/>
    </row>
    <row r="93" spans="1:12">
      <c r="A93" s="3" t="s">
        <v>20</v>
      </c>
      <c r="B93" s="3"/>
      <c r="C93" s="3"/>
      <c r="D93" s="3"/>
      <c r="E93" s="3"/>
      <c r="F93" s="3"/>
      <c r="G93" s="3"/>
      <c r="H93" s="3"/>
      <c r="I93" s="3"/>
      <c r="J93" s="3"/>
      <c r="K93" s="3"/>
      <c r="L93" s="3"/>
    </row>
    <row r="94" spans="1:12">
      <c r="A94" s="3"/>
      <c r="B94" s="3"/>
      <c r="C94" s="3"/>
      <c r="D94" s="3"/>
      <c r="E94" s="3"/>
      <c r="F94" s="3"/>
      <c r="G94" s="3"/>
      <c r="H94" s="3"/>
      <c r="I94" s="3"/>
      <c r="J94" s="3"/>
      <c r="K94" s="3"/>
      <c r="L94" s="3"/>
    </row>
    <row r="95" spans="1:12">
      <c r="A95" s="3" t="s">
        <v>1105</v>
      </c>
      <c r="B95" s="3"/>
      <c r="C95" s="3"/>
      <c r="D95" s="3"/>
      <c r="E95" s="3"/>
      <c r="F95" s="3"/>
      <c r="G95" s="3"/>
      <c r="H95" s="3"/>
      <c r="I95" s="3"/>
      <c r="J95" s="3"/>
      <c r="K95" s="3"/>
      <c r="L95" s="3"/>
    </row>
  </sheetData>
  <mergeCells count="10">
    <mergeCell ref="M38:P38"/>
    <mergeCell ref="Q38:T38"/>
    <mergeCell ref="U38:X38"/>
    <mergeCell ref="Y38:AB38"/>
    <mergeCell ref="AC38:AF38"/>
    <mergeCell ref="A57:K58"/>
    <mergeCell ref="B65:L66"/>
    <mergeCell ref="F70:G70"/>
    <mergeCell ref="B76:L77"/>
    <mergeCell ref="B20:C20"/>
  </mergeCells>
  <hyperlinks>
    <hyperlink ref="O1" location="TOC!A1" display="Table of Contents" xr:uid="{450898D0-CCA9-4F80-B333-6A4A13CC59BD}"/>
  </hyperlinks>
  <pageMargins left="0.7" right="0.7" top="0.75" bottom="0.75" header="0.3" footer="0.3"/>
  <pageSetup orientation="portrait"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A5A6-A38A-42A8-AA54-DAA428AE6829}">
  <dimension ref="A1:R101"/>
  <sheetViews>
    <sheetView zoomScaleNormal="100" workbookViewId="0"/>
  </sheetViews>
  <sheetFormatPr defaultColWidth="8.88671875" defaultRowHeight="15.6"/>
  <cols>
    <col min="1" max="1" width="8.88671875" style="2" customWidth="1"/>
    <col min="2" max="2" width="10.6640625" style="2" customWidth="1"/>
    <col min="3" max="3" width="14.33203125" style="2" customWidth="1"/>
    <col min="4" max="4" width="15.33203125" style="2" customWidth="1"/>
    <col min="5" max="12" width="14.33203125" style="2" customWidth="1"/>
    <col min="13" max="16384" width="8.88671875" style="2"/>
  </cols>
  <sheetData>
    <row r="1" spans="1:15" ht="17.399999999999999">
      <c r="A1" s="13" t="s">
        <v>1929</v>
      </c>
      <c r="B1" s="1"/>
      <c r="C1" s="1"/>
      <c r="D1" s="1" t="s">
        <v>240</v>
      </c>
      <c r="E1" s="1"/>
      <c r="F1" s="1"/>
      <c r="G1" s="1"/>
      <c r="H1" s="1"/>
      <c r="I1" s="1"/>
      <c r="J1" s="1"/>
      <c r="K1" s="1"/>
      <c r="L1" s="14"/>
      <c r="O1" s="21" t="s">
        <v>2927</v>
      </c>
    </row>
    <row r="2" spans="1:15">
      <c r="A2" s="1"/>
      <c r="B2" s="1"/>
      <c r="C2" s="1"/>
      <c r="D2" s="1"/>
      <c r="E2" s="1"/>
      <c r="F2" s="1"/>
      <c r="G2" s="1"/>
      <c r="H2" s="1"/>
      <c r="I2" s="1"/>
      <c r="J2" s="1"/>
      <c r="K2" s="1"/>
      <c r="L2" s="14"/>
    </row>
    <row r="3" spans="1:15">
      <c r="A3" s="1" t="s">
        <v>1106</v>
      </c>
      <c r="B3" s="1"/>
      <c r="C3" s="1"/>
      <c r="D3" s="1"/>
      <c r="E3" s="1"/>
      <c r="F3" s="1"/>
      <c r="G3" s="1"/>
      <c r="H3" s="1"/>
      <c r="I3" s="1"/>
      <c r="J3" s="1"/>
      <c r="K3" s="1"/>
      <c r="L3" s="14"/>
    </row>
    <row r="4" spans="1:15">
      <c r="A4" s="43"/>
      <c r="B4" s="1"/>
      <c r="C4" s="1"/>
      <c r="D4" s="1"/>
      <c r="E4" s="1"/>
      <c r="F4" s="1"/>
      <c r="G4" s="1"/>
      <c r="H4" s="1"/>
      <c r="I4" s="1"/>
      <c r="J4" s="1"/>
      <c r="K4" s="1"/>
      <c r="L4" s="1"/>
    </row>
    <row r="5" spans="1:15" ht="16.2" customHeight="1">
      <c r="A5" s="43"/>
      <c r="B5" s="23" t="s">
        <v>53</v>
      </c>
      <c r="C5" s="813" t="s">
        <v>88</v>
      </c>
      <c r="D5" s="829"/>
      <c r="E5" s="829"/>
      <c r="F5" s="829"/>
      <c r="G5" s="188"/>
      <c r="H5" s="23" t="s">
        <v>53</v>
      </c>
      <c r="I5" s="813" t="s">
        <v>550</v>
      </c>
      <c r="J5" s="829"/>
      <c r="K5" s="829"/>
      <c r="L5" s="829"/>
    </row>
    <row r="6" spans="1:15">
      <c r="A6" s="43"/>
      <c r="B6" s="24" t="s">
        <v>55</v>
      </c>
      <c r="C6" s="39">
        <v>12</v>
      </c>
      <c r="D6" s="5">
        <v>24</v>
      </c>
      <c r="E6" s="5">
        <v>36</v>
      </c>
      <c r="F6" s="5">
        <v>48</v>
      </c>
      <c r="G6" s="188"/>
      <c r="H6" s="24" t="s">
        <v>55</v>
      </c>
      <c r="I6" s="39">
        <v>12</v>
      </c>
      <c r="J6" s="5">
        <v>24</v>
      </c>
      <c r="K6" s="5">
        <v>36</v>
      </c>
      <c r="L6" s="5">
        <v>48</v>
      </c>
    </row>
    <row r="7" spans="1:15">
      <c r="A7" s="43"/>
      <c r="B7" s="25">
        <v>2018</v>
      </c>
      <c r="C7" s="7">
        <v>1196</v>
      </c>
      <c r="D7" s="7">
        <v>1525</v>
      </c>
      <c r="E7" s="7">
        <v>1638</v>
      </c>
      <c r="F7" s="7">
        <v>1723</v>
      </c>
      <c r="G7" s="188"/>
      <c r="H7" s="25">
        <v>2018</v>
      </c>
      <c r="I7" s="7">
        <v>230</v>
      </c>
      <c r="J7" s="7">
        <v>250</v>
      </c>
      <c r="K7" s="7">
        <v>260</v>
      </c>
      <c r="L7" s="7">
        <v>265</v>
      </c>
    </row>
    <row r="8" spans="1:15">
      <c r="A8" s="43"/>
      <c r="B8" s="6">
        <v>2019</v>
      </c>
      <c r="C8" s="7">
        <v>1269</v>
      </c>
      <c r="D8" s="7">
        <v>1607</v>
      </c>
      <c r="E8" s="7">
        <v>1908</v>
      </c>
      <c r="F8" s="6"/>
      <c r="G8" s="188"/>
      <c r="H8" s="6">
        <v>2019</v>
      </c>
      <c r="I8" s="7">
        <v>235</v>
      </c>
      <c r="J8" s="7">
        <v>255</v>
      </c>
      <c r="K8" s="7">
        <v>265</v>
      </c>
      <c r="L8" s="6"/>
    </row>
    <row r="9" spans="1:15">
      <c r="A9" s="1"/>
      <c r="B9" s="6">
        <v>2020</v>
      </c>
      <c r="C9" s="7">
        <v>1294</v>
      </c>
      <c r="D9" s="7">
        <v>1707</v>
      </c>
      <c r="E9" s="6"/>
      <c r="F9" s="6"/>
      <c r="G9" s="188"/>
      <c r="H9" s="6">
        <v>2020</v>
      </c>
      <c r="I9" s="7">
        <v>231</v>
      </c>
      <c r="J9" s="7">
        <v>251</v>
      </c>
      <c r="K9" s="6"/>
      <c r="L9" s="6"/>
    </row>
    <row r="10" spans="1:15">
      <c r="A10" s="1"/>
      <c r="B10" s="6">
        <v>2021</v>
      </c>
      <c r="C10" s="7">
        <v>1451</v>
      </c>
      <c r="D10" s="6"/>
      <c r="E10" s="6"/>
      <c r="F10" s="6"/>
      <c r="G10" s="188"/>
      <c r="H10" s="6">
        <v>2021</v>
      </c>
      <c r="I10" s="7">
        <v>234</v>
      </c>
      <c r="J10" s="6"/>
      <c r="K10" s="6"/>
      <c r="L10" s="6"/>
    </row>
    <row r="11" spans="1:15">
      <c r="A11" s="43"/>
      <c r="B11" s="1"/>
      <c r="C11" s="1"/>
      <c r="D11" s="1"/>
      <c r="E11" s="1"/>
      <c r="F11" s="1"/>
      <c r="G11" s="1"/>
      <c r="H11" s="1"/>
      <c r="I11" s="1"/>
      <c r="J11" s="1"/>
      <c r="K11" s="1"/>
      <c r="L11" s="1"/>
    </row>
    <row r="12" spans="1:15">
      <c r="A12" s="1" t="s">
        <v>1107</v>
      </c>
      <c r="B12" s="1"/>
      <c r="C12" s="1"/>
      <c r="D12" s="1"/>
      <c r="E12" s="1"/>
      <c r="F12" s="1"/>
      <c r="G12" s="1"/>
      <c r="H12" s="1"/>
      <c r="I12" s="1"/>
      <c r="J12" s="1"/>
      <c r="K12" s="1"/>
      <c r="L12" s="1"/>
    </row>
    <row r="13" spans="1:15">
      <c r="A13" s="1"/>
      <c r="B13" s="1"/>
      <c r="C13" s="1"/>
      <c r="D13" s="1"/>
      <c r="E13" s="1"/>
      <c r="F13" s="1"/>
      <c r="G13" s="1"/>
      <c r="H13" s="1"/>
      <c r="I13" s="1"/>
      <c r="J13" s="1"/>
      <c r="K13" s="1"/>
      <c r="L13" s="1"/>
    </row>
    <row r="14" spans="1:15" ht="15.6" customHeight="1">
      <c r="A14" s="1"/>
      <c r="B14" s="23" t="s">
        <v>1108</v>
      </c>
      <c r="C14" s="829" t="s">
        <v>941</v>
      </c>
      <c r="D14" s="811" t="s">
        <v>97</v>
      </c>
      <c r="E14" s="845" t="s">
        <v>1109</v>
      </c>
      <c r="F14" s="879"/>
      <c r="G14" s="813" t="s">
        <v>1110</v>
      </c>
      <c r="H14" s="911" t="s">
        <v>1111</v>
      </c>
      <c r="I14" s="911" t="s">
        <v>1112</v>
      </c>
      <c r="J14" s="911" t="s">
        <v>1113</v>
      </c>
      <c r="K14" s="1"/>
      <c r="L14" s="1"/>
    </row>
    <row r="15" spans="1:15">
      <c r="A15" s="1"/>
      <c r="B15" s="24" t="s">
        <v>1114</v>
      </c>
      <c r="C15" s="829"/>
      <c r="D15" s="811"/>
      <c r="E15" s="880" t="s">
        <v>1115</v>
      </c>
      <c r="F15" s="882"/>
      <c r="G15" s="813"/>
      <c r="H15" s="912"/>
      <c r="I15" s="912"/>
      <c r="J15" s="912"/>
      <c r="K15" s="1"/>
      <c r="L15" s="1"/>
    </row>
    <row r="16" spans="1:15">
      <c r="A16" s="1"/>
      <c r="B16" s="6">
        <v>1</v>
      </c>
      <c r="C16" s="6">
        <v>1020</v>
      </c>
      <c r="D16" s="453">
        <v>43602</v>
      </c>
      <c r="E16" s="825" t="s">
        <v>101</v>
      </c>
      <c r="F16" s="825"/>
      <c r="G16" s="453">
        <v>43217</v>
      </c>
      <c r="H16" s="6">
        <v>10</v>
      </c>
      <c r="I16" s="6">
        <v>5</v>
      </c>
      <c r="J16" s="6"/>
      <c r="K16" s="1"/>
      <c r="L16" s="1"/>
    </row>
    <row r="17" spans="1:18">
      <c r="A17" s="1"/>
      <c r="B17" s="6">
        <v>2</v>
      </c>
      <c r="C17" s="6">
        <v>1377</v>
      </c>
      <c r="D17" s="453">
        <v>43772</v>
      </c>
      <c r="E17" s="825" t="s">
        <v>1116</v>
      </c>
      <c r="F17" s="825"/>
      <c r="G17" s="453">
        <v>43723</v>
      </c>
      <c r="H17" s="6"/>
      <c r="I17" s="6">
        <v>50</v>
      </c>
      <c r="J17" s="6">
        <v>25</v>
      </c>
      <c r="K17" s="1"/>
      <c r="L17" s="1"/>
    </row>
    <row r="18" spans="1:18">
      <c r="A18" s="1"/>
      <c r="B18" s="6">
        <v>3</v>
      </c>
      <c r="C18" s="6">
        <v>1944</v>
      </c>
      <c r="D18" s="453">
        <v>44198</v>
      </c>
      <c r="E18" s="825" t="s">
        <v>1117</v>
      </c>
      <c r="F18" s="825"/>
      <c r="G18" s="453">
        <v>43723</v>
      </c>
      <c r="H18" s="6">
        <v>-25</v>
      </c>
      <c r="I18" s="6">
        <v>10</v>
      </c>
      <c r="J18" s="6">
        <v>5</v>
      </c>
      <c r="K18" s="1"/>
      <c r="L18" s="1"/>
    </row>
    <row r="19" spans="1:18">
      <c r="A19" s="1"/>
      <c r="B19" s="6">
        <v>4</v>
      </c>
      <c r="C19" s="6">
        <v>2135</v>
      </c>
      <c r="D19" s="453">
        <v>44255</v>
      </c>
      <c r="E19" s="825" t="s">
        <v>1118</v>
      </c>
      <c r="F19" s="825"/>
      <c r="G19" s="453">
        <v>43836</v>
      </c>
      <c r="H19" s="6">
        <v>65</v>
      </c>
      <c r="I19" s="6"/>
      <c r="J19" s="6"/>
      <c r="K19" s="1"/>
      <c r="L19" s="1"/>
    </row>
    <row r="20" spans="1:18">
      <c r="A20" s="1"/>
      <c r="B20" s="6">
        <v>5</v>
      </c>
      <c r="C20" s="6">
        <v>2260</v>
      </c>
      <c r="D20" s="453">
        <v>44310</v>
      </c>
      <c r="E20" s="825" t="s">
        <v>101</v>
      </c>
      <c r="F20" s="825"/>
      <c r="G20" s="453">
        <v>43134</v>
      </c>
      <c r="H20" s="6">
        <v>20</v>
      </c>
      <c r="I20" s="6"/>
      <c r="J20" s="6"/>
      <c r="K20" s="1"/>
      <c r="L20" s="1"/>
    </row>
    <row r="21" spans="1:18">
      <c r="A21" s="1"/>
      <c r="B21" s="6">
        <v>6</v>
      </c>
      <c r="C21" s="6">
        <v>2260</v>
      </c>
      <c r="D21" s="453">
        <v>44352</v>
      </c>
      <c r="E21" s="825" t="s">
        <v>1117</v>
      </c>
      <c r="F21" s="825"/>
      <c r="G21" s="453">
        <v>43134</v>
      </c>
      <c r="H21" s="6">
        <v>-20</v>
      </c>
      <c r="I21" s="6"/>
      <c r="J21" s="6">
        <v>20</v>
      </c>
      <c r="K21" s="1"/>
      <c r="L21" s="1"/>
    </row>
    <row r="22" spans="1:18">
      <c r="A22" s="1"/>
      <c r="B22" s="1"/>
      <c r="C22" s="1"/>
      <c r="D22" s="1"/>
      <c r="E22" s="1"/>
      <c r="F22" s="1"/>
      <c r="G22" s="1"/>
      <c r="H22" s="1"/>
      <c r="I22" s="1"/>
      <c r="J22" s="1"/>
      <c r="K22" s="1"/>
      <c r="L22" s="1"/>
    </row>
    <row r="24" spans="1:18">
      <c r="A24" s="17" t="s">
        <v>91</v>
      </c>
      <c r="B24" s="1" t="s">
        <v>1119</v>
      </c>
      <c r="C24" s="1"/>
      <c r="D24" s="1"/>
      <c r="E24" s="1"/>
      <c r="F24" s="1"/>
      <c r="G24" s="1"/>
      <c r="H24" s="1"/>
      <c r="I24" s="1"/>
      <c r="J24" s="1"/>
      <c r="K24" s="1"/>
      <c r="L24" s="1"/>
      <c r="M24" s="9"/>
      <c r="N24" s="9"/>
      <c r="O24" s="9"/>
      <c r="P24" s="9"/>
      <c r="Q24" s="9"/>
      <c r="R24" s="9"/>
    </row>
    <row r="25" spans="1:18">
      <c r="A25" s="14"/>
      <c r="B25" s="14"/>
      <c r="C25" s="14"/>
      <c r="D25" s="14"/>
      <c r="E25" s="14"/>
      <c r="F25" s="14"/>
      <c r="G25" s="1"/>
      <c r="H25" s="1"/>
      <c r="I25" s="1"/>
      <c r="J25" s="1"/>
      <c r="K25" s="1"/>
      <c r="L25" s="1"/>
    </row>
    <row r="26" spans="1:18">
      <c r="A26" s="3"/>
      <c r="B26" s="3"/>
      <c r="C26" s="3"/>
      <c r="D26" s="3"/>
      <c r="E26" s="3"/>
      <c r="F26" s="3"/>
      <c r="G26" s="3"/>
      <c r="H26" s="3"/>
      <c r="I26" s="3"/>
      <c r="J26" s="3"/>
      <c r="K26" s="3"/>
      <c r="L26" s="3"/>
      <c r="M26" s="3"/>
    </row>
    <row r="27" spans="1:18">
      <c r="A27" s="3" t="s">
        <v>20</v>
      </c>
      <c r="B27" s="3"/>
      <c r="C27" s="3"/>
      <c r="D27" s="3"/>
      <c r="E27" s="3"/>
      <c r="F27" s="3"/>
      <c r="G27" s="3"/>
      <c r="H27" s="3"/>
      <c r="I27" s="3"/>
      <c r="J27" s="3"/>
      <c r="K27" s="3"/>
      <c r="L27" s="3"/>
      <c r="M27" s="3"/>
      <c r="N27" s="9"/>
    </row>
    <row r="28" spans="1:18">
      <c r="A28" s="3"/>
      <c r="B28" s="3"/>
      <c r="C28" s="3"/>
      <c r="D28" s="3"/>
      <c r="E28" s="3"/>
      <c r="F28" s="3"/>
      <c r="G28" s="3"/>
      <c r="H28" s="3"/>
      <c r="I28" s="3"/>
      <c r="J28" s="3"/>
      <c r="K28" s="3"/>
      <c r="L28" s="3"/>
      <c r="M28" s="3"/>
      <c r="N28" s="9"/>
    </row>
    <row r="29" spans="1:18" ht="15.6" customHeight="1">
      <c r="A29" s="3"/>
      <c r="B29" s="81" t="s">
        <v>53</v>
      </c>
      <c r="C29" s="910" t="s">
        <v>1120</v>
      </c>
      <c r="D29" s="910"/>
      <c r="E29" s="910"/>
      <c r="F29" s="910"/>
      <c r="G29" s="315"/>
      <c r="H29" s="81" t="s">
        <v>53</v>
      </c>
      <c r="I29" s="910" t="s">
        <v>1121</v>
      </c>
      <c r="J29" s="910"/>
      <c r="K29" s="910"/>
      <c r="L29" s="910"/>
      <c r="M29" s="3"/>
      <c r="N29" s="9"/>
    </row>
    <row r="30" spans="1:18">
      <c r="A30" s="3"/>
      <c r="B30" s="84" t="s">
        <v>55</v>
      </c>
      <c r="C30" s="84">
        <v>12</v>
      </c>
      <c r="D30" s="84">
        <v>24</v>
      </c>
      <c r="E30" s="84">
        <v>36</v>
      </c>
      <c r="F30" s="84">
        <v>48</v>
      </c>
      <c r="G30" s="315"/>
      <c r="H30" s="84" t="s">
        <v>55</v>
      </c>
      <c r="I30" s="84">
        <v>12</v>
      </c>
      <c r="J30" s="84">
        <v>24</v>
      </c>
      <c r="K30" s="84">
        <v>36</v>
      </c>
      <c r="L30" s="84">
        <v>48</v>
      </c>
      <c r="M30" s="3"/>
      <c r="N30" s="9"/>
    </row>
    <row r="31" spans="1:18">
      <c r="A31" s="3"/>
      <c r="B31" s="81">
        <v>2018</v>
      </c>
      <c r="C31" s="454"/>
      <c r="D31" s="454">
        <v>15</v>
      </c>
      <c r="E31" s="454"/>
      <c r="F31" s="454">
        <f>20-20+20</f>
        <v>20</v>
      </c>
      <c r="G31" s="315"/>
      <c r="H31" s="81">
        <v>2018</v>
      </c>
      <c r="I31" s="454"/>
      <c r="J31" s="454">
        <v>1</v>
      </c>
      <c r="K31" s="454"/>
      <c r="L31" s="454">
        <v>1</v>
      </c>
      <c r="M31" s="3"/>
      <c r="N31" s="9"/>
    </row>
    <row r="32" spans="1:18">
      <c r="A32" s="3"/>
      <c r="B32" s="81">
        <v>2019</v>
      </c>
      <c r="C32" s="454">
        <v>75</v>
      </c>
      <c r="D32" s="454"/>
      <c r="E32" s="454">
        <f>-25+15</f>
        <v>-10</v>
      </c>
      <c r="F32" s="81"/>
      <c r="G32" s="315"/>
      <c r="H32" s="81">
        <v>2019</v>
      </c>
      <c r="I32" s="454">
        <v>1</v>
      </c>
      <c r="J32" s="454"/>
      <c r="K32" s="454"/>
      <c r="L32" s="81"/>
      <c r="M32" s="3"/>
      <c r="N32" s="9"/>
    </row>
    <row r="33" spans="1:14">
      <c r="A33" s="3"/>
      <c r="B33" s="81">
        <v>2020</v>
      </c>
      <c r="C33" s="454"/>
      <c r="D33" s="454">
        <v>65</v>
      </c>
      <c r="E33" s="81"/>
      <c r="F33" s="81"/>
      <c r="G33" s="315"/>
      <c r="H33" s="81">
        <v>2020</v>
      </c>
      <c r="I33" s="454"/>
      <c r="J33" s="454"/>
      <c r="K33" s="81"/>
      <c r="L33" s="81"/>
      <c r="M33" s="3"/>
      <c r="N33" s="9"/>
    </row>
    <row r="34" spans="1:14">
      <c r="A34" s="3"/>
      <c r="B34" s="81">
        <v>2021</v>
      </c>
      <c r="C34" s="454"/>
      <c r="D34" s="81"/>
      <c r="E34" s="81"/>
      <c r="F34" s="81"/>
      <c r="G34" s="315"/>
      <c r="H34" s="81">
        <v>2021</v>
      </c>
      <c r="I34" s="454"/>
      <c r="J34" s="81"/>
      <c r="K34" s="81"/>
      <c r="L34" s="81"/>
      <c r="M34" s="3"/>
      <c r="N34" s="9"/>
    </row>
    <row r="35" spans="1:14">
      <c r="A35" s="3"/>
      <c r="B35" s="455"/>
      <c r="C35" s="455"/>
      <c r="D35" s="455"/>
      <c r="E35" s="455"/>
      <c r="F35" s="455"/>
      <c r="G35" s="456"/>
      <c r="H35" s="455"/>
      <c r="I35" s="455"/>
      <c r="J35" s="455"/>
      <c r="K35" s="455"/>
      <c r="L35" s="455"/>
      <c r="M35" s="3"/>
      <c r="N35" s="9"/>
    </row>
    <row r="36" spans="1:14" ht="15.6" customHeight="1">
      <c r="A36" s="3"/>
      <c r="B36" s="81" t="s">
        <v>53</v>
      </c>
      <c r="C36" s="910" t="s">
        <v>1122</v>
      </c>
      <c r="D36" s="910"/>
      <c r="E36" s="910"/>
      <c r="F36" s="910"/>
      <c r="G36" s="315"/>
      <c r="H36" s="81" t="s">
        <v>53</v>
      </c>
      <c r="I36" s="910" t="s">
        <v>1123</v>
      </c>
      <c r="J36" s="910"/>
      <c r="K36" s="910"/>
      <c r="L36" s="910"/>
      <c r="M36" s="3"/>
      <c r="N36" s="9"/>
    </row>
    <row r="37" spans="1:14">
      <c r="A37" s="3"/>
      <c r="B37" s="84" t="s">
        <v>55</v>
      </c>
      <c r="C37" s="84">
        <v>12</v>
      </c>
      <c r="D37" s="84">
        <v>24</v>
      </c>
      <c r="E37" s="84">
        <v>36</v>
      </c>
      <c r="F37" s="84">
        <v>48</v>
      </c>
      <c r="G37" s="315"/>
      <c r="H37" s="84" t="s">
        <v>55</v>
      </c>
      <c r="I37" s="84">
        <v>12</v>
      </c>
      <c r="J37" s="84">
        <v>24</v>
      </c>
      <c r="K37" s="84">
        <v>36</v>
      </c>
      <c r="L37" s="84">
        <v>48</v>
      </c>
      <c r="M37" s="3"/>
      <c r="N37" s="9"/>
    </row>
    <row r="38" spans="1:14">
      <c r="A38" s="3"/>
      <c r="B38" s="81">
        <v>2018</v>
      </c>
      <c r="C38" s="454">
        <f>C31</f>
        <v>0</v>
      </c>
      <c r="D38" s="454">
        <f>C38+D31</f>
        <v>15</v>
      </c>
      <c r="E38" s="454">
        <f>D38+E31</f>
        <v>15</v>
      </c>
      <c r="F38" s="454">
        <f>E38+F31</f>
        <v>35</v>
      </c>
      <c r="G38" s="315"/>
      <c r="H38" s="81">
        <v>2018</v>
      </c>
      <c r="I38" s="454">
        <f>I31</f>
        <v>0</v>
      </c>
      <c r="J38" s="454">
        <f>I38+J31</f>
        <v>1</v>
      </c>
      <c r="K38" s="454">
        <f>J38+K31</f>
        <v>1</v>
      </c>
      <c r="L38" s="454">
        <f>K38+L31</f>
        <v>2</v>
      </c>
      <c r="M38" s="3"/>
      <c r="N38" s="9"/>
    </row>
    <row r="39" spans="1:14">
      <c r="A39" s="3"/>
      <c r="B39" s="81">
        <v>2019</v>
      </c>
      <c r="C39" s="454">
        <f t="shared" ref="C39:C41" si="0">C32</f>
        <v>75</v>
      </c>
      <c r="D39" s="454">
        <f t="shared" ref="D39:E40" si="1">C39+D32</f>
        <v>75</v>
      </c>
      <c r="E39" s="454">
        <f t="shared" si="1"/>
        <v>65</v>
      </c>
      <c r="F39" s="81"/>
      <c r="G39" s="315"/>
      <c r="H39" s="81">
        <v>2019</v>
      </c>
      <c r="I39" s="454">
        <f t="shared" ref="I39:I41" si="2">I32</f>
        <v>1</v>
      </c>
      <c r="J39" s="454">
        <f t="shared" ref="J39:K40" si="3">I39+J32</f>
        <v>1</v>
      </c>
      <c r="K39" s="454">
        <f t="shared" si="3"/>
        <v>1</v>
      </c>
      <c r="L39" s="81"/>
      <c r="M39" s="3"/>
      <c r="N39" s="9"/>
    </row>
    <row r="40" spans="1:14">
      <c r="A40" s="3"/>
      <c r="B40" s="81">
        <v>2020</v>
      </c>
      <c r="C40" s="454">
        <f t="shared" si="0"/>
        <v>0</v>
      </c>
      <c r="D40" s="454">
        <f t="shared" si="1"/>
        <v>65</v>
      </c>
      <c r="E40" s="81"/>
      <c r="F40" s="81"/>
      <c r="G40" s="315"/>
      <c r="H40" s="81">
        <v>2020</v>
      </c>
      <c r="I40" s="454">
        <f t="shared" si="2"/>
        <v>0</v>
      </c>
      <c r="J40" s="454">
        <f t="shared" si="3"/>
        <v>0</v>
      </c>
      <c r="K40" s="81"/>
      <c r="L40" s="81"/>
      <c r="M40" s="3"/>
      <c r="N40" s="9"/>
    </row>
    <row r="41" spans="1:14">
      <c r="A41" s="3"/>
      <c r="B41" s="81">
        <v>2021</v>
      </c>
      <c r="C41" s="454">
        <f t="shared" si="0"/>
        <v>0</v>
      </c>
      <c r="D41" s="81"/>
      <c r="E41" s="81"/>
      <c r="F41" s="81"/>
      <c r="G41" s="315"/>
      <c r="H41" s="81">
        <v>2021</v>
      </c>
      <c r="I41" s="454">
        <f t="shared" si="2"/>
        <v>0</v>
      </c>
      <c r="J41" s="81"/>
      <c r="K41" s="81"/>
      <c r="L41" s="81"/>
      <c r="M41" s="3"/>
      <c r="N41" s="9"/>
    </row>
    <row r="42" spans="1:14">
      <c r="A42" s="3"/>
      <c r="B42" s="3"/>
      <c r="C42" s="3"/>
      <c r="D42" s="3"/>
      <c r="E42" s="3"/>
      <c r="F42" s="3"/>
      <c r="G42" s="3"/>
      <c r="H42" s="3"/>
      <c r="I42" s="3"/>
      <c r="J42" s="3"/>
      <c r="K42" s="3"/>
      <c r="L42" s="3"/>
      <c r="M42" s="3"/>
      <c r="N42" s="9"/>
    </row>
    <row r="43" spans="1:14" ht="15.6" customHeight="1">
      <c r="A43" s="3"/>
      <c r="B43" s="81" t="s">
        <v>53</v>
      </c>
      <c r="C43" s="910" t="s">
        <v>88</v>
      </c>
      <c r="D43" s="910"/>
      <c r="E43" s="910"/>
      <c r="F43" s="910"/>
      <c r="G43" s="315"/>
      <c r="H43" s="81" t="s">
        <v>53</v>
      </c>
      <c r="I43" s="910" t="s">
        <v>550</v>
      </c>
      <c r="J43" s="910"/>
      <c r="K43" s="910"/>
      <c r="L43" s="910"/>
      <c r="M43" s="3"/>
      <c r="N43" s="9"/>
    </row>
    <row r="44" spans="1:14">
      <c r="B44" s="84" t="s">
        <v>55</v>
      </c>
      <c r="C44" s="84">
        <v>12</v>
      </c>
      <c r="D44" s="84">
        <v>24</v>
      </c>
      <c r="E44" s="84">
        <v>36</v>
      </c>
      <c r="F44" s="84">
        <v>48</v>
      </c>
      <c r="G44" s="315"/>
      <c r="H44" s="84" t="s">
        <v>55</v>
      </c>
      <c r="I44" s="84">
        <v>12</v>
      </c>
      <c r="J44" s="84">
        <v>24</v>
      </c>
      <c r="K44" s="84">
        <v>36</v>
      </c>
      <c r="L44" s="84">
        <v>48</v>
      </c>
      <c r="M44" s="9"/>
      <c r="N44" s="9"/>
    </row>
    <row r="45" spans="1:14">
      <c r="B45" s="81">
        <v>2018</v>
      </c>
      <c r="C45" s="454">
        <f>C38+C7</f>
        <v>1196</v>
      </c>
      <c r="D45" s="454">
        <f t="shared" ref="D45:E47" si="4">D38+D7</f>
        <v>1540</v>
      </c>
      <c r="E45" s="454">
        <f t="shared" si="4"/>
        <v>1653</v>
      </c>
      <c r="F45" s="454">
        <f>F38+F7</f>
        <v>1758</v>
      </c>
      <c r="G45" s="315"/>
      <c r="H45" s="81">
        <v>2018</v>
      </c>
      <c r="I45" s="454">
        <f>I38+I7</f>
        <v>230</v>
      </c>
      <c r="J45" s="454">
        <f t="shared" ref="J45:K45" si="5">J38+J7</f>
        <v>251</v>
      </c>
      <c r="K45" s="454">
        <f t="shared" si="5"/>
        <v>261</v>
      </c>
      <c r="L45" s="454">
        <f>L38+L7</f>
        <v>267</v>
      </c>
      <c r="M45" s="9"/>
      <c r="N45" s="9"/>
    </row>
    <row r="46" spans="1:14">
      <c r="B46" s="81">
        <v>2019</v>
      </c>
      <c r="C46" s="454">
        <f t="shared" ref="C46:C48" si="6">C39+C8</f>
        <v>1344</v>
      </c>
      <c r="D46" s="454">
        <f t="shared" si="4"/>
        <v>1682</v>
      </c>
      <c r="E46" s="454">
        <f t="shared" si="4"/>
        <v>1973</v>
      </c>
      <c r="F46" s="81"/>
      <c r="G46" s="315"/>
      <c r="H46" s="81">
        <v>2019</v>
      </c>
      <c r="I46" s="454">
        <f t="shared" ref="I46:K48" si="7">I39+I8</f>
        <v>236</v>
      </c>
      <c r="J46" s="454">
        <f t="shared" si="7"/>
        <v>256</v>
      </c>
      <c r="K46" s="454">
        <f t="shared" si="7"/>
        <v>266</v>
      </c>
      <c r="L46" s="81"/>
      <c r="M46" s="9"/>
      <c r="N46" s="9"/>
    </row>
    <row r="47" spans="1:14">
      <c r="B47" s="81">
        <v>2020</v>
      </c>
      <c r="C47" s="454">
        <f t="shared" si="6"/>
        <v>1294</v>
      </c>
      <c r="D47" s="454">
        <f t="shared" si="4"/>
        <v>1772</v>
      </c>
      <c r="E47" s="81"/>
      <c r="F47" s="81"/>
      <c r="G47" s="315"/>
      <c r="H47" s="81">
        <v>2020</v>
      </c>
      <c r="I47" s="454">
        <f t="shared" si="7"/>
        <v>231</v>
      </c>
      <c r="J47" s="454">
        <f t="shared" si="7"/>
        <v>251</v>
      </c>
      <c r="K47" s="81"/>
      <c r="L47" s="81"/>
      <c r="M47" s="9"/>
      <c r="N47" s="9"/>
    </row>
    <row r="48" spans="1:14">
      <c r="B48" s="81">
        <v>2021</v>
      </c>
      <c r="C48" s="454">
        <f t="shared" si="6"/>
        <v>1451</v>
      </c>
      <c r="D48" s="81"/>
      <c r="E48" s="81"/>
      <c r="F48" s="81"/>
      <c r="G48" s="315"/>
      <c r="H48" s="81">
        <v>2021</v>
      </c>
      <c r="I48" s="454">
        <f t="shared" si="7"/>
        <v>234</v>
      </c>
      <c r="J48" s="81"/>
      <c r="K48" s="81"/>
      <c r="L48" s="81"/>
      <c r="M48" s="9"/>
      <c r="N48" s="9"/>
    </row>
    <row r="50" spans="1:12">
      <c r="A50" s="17" t="s">
        <v>133</v>
      </c>
      <c r="B50" s="1" t="s">
        <v>1124</v>
      </c>
      <c r="C50" s="1"/>
      <c r="D50" s="1"/>
      <c r="E50" s="1"/>
      <c r="F50" s="1"/>
      <c r="G50" s="1"/>
      <c r="H50" s="1"/>
      <c r="I50" s="1"/>
      <c r="J50" s="1"/>
      <c r="K50" s="1"/>
      <c r="L50" s="1"/>
    </row>
    <row r="51" spans="1:12">
      <c r="A51" s="14"/>
      <c r="B51" s="14"/>
      <c r="C51" s="14"/>
      <c r="D51" s="14"/>
      <c r="E51" s="14"/>
      <c r="F51" s="14"/>
      <c r="G51" s="1"/>
      <c r="H51" s="1"/>
      <c r="I51" s="1"/>
      <c r="J51" s="1"/>
      <c r="K51" s="1"/>
      <c r="L51" s="1"/>
    </row>
    <row r="52" spans="1:12">
      <c r="A52" s="3"/>
      <c r="B52" s="3"/>
      <c r="C52" s="3"/>
      <c r="D52" s="3"/>
      <c r="E52" s="3"/>
      <c r="F52" s="3"/>
      <c r="G52" s="3"/>
      <c r="H52" s="3"/>
      <c r="I52" s="3"/>
      <c r="J52" s="3"/>
      <c r="K52" s="3"/>
      <c r="L52" s="3"/>
    </row>
    <row r="53" spans="1:12">
      <c r="A53" s="3" t="s">
        <v>20</v>
      </c>
      <c r="B53" s="3"/>
      <c r="C53" s="3"/>
      <c r="D53" s="3"/>
      <c r="E53" s="3"/>
      <c r="F53" s="3"/>
      <c r="G53" s="3"/>
      <c r="H53" s="3"/>
      <c r="I53" s="3"/>
      <c r="J53" s="3"/>
      <c r="K53" s="3"/>
      <c r="L53" s="3"/>
    </row>
    <row r="54" spans="1:12">
      <c r="A54" s="3"/>
      <c r="B54" s="2" t="s">
        <v>1125</v>
      </c>
      <c r="C54" s="457"/>
      <c r="E54" s="458">
        <f>(C48+D47+E46+F45)-(C47+D46+E45)</f>
        <v>2325</v>
      </c>
      <c r="F54" s="457"/>
      <c r="H54" s="3"/>
      <c r="I54" s="3"/>
      <c r="J54" s="3"/>
      <c r="K54" s="3"/>
      <c r="L54" s="3"/>
    </row>
    <row r="56" spans="1:12">
      <c r="A56" s="1"/>
      <c r="B56" s="1"/>
      <c r="C56" s="1"/>
      <c r="D56" s="1"/>
      <c r="E56" s="1"/>
      <c r="F56" s="1"/>
      <c r="G56" s="1"/>
      <c r="H56" s="1"/>
      <c r="I56" s="1"/>
      <c r="J56" s="1"/>
      <c r="K56" s="1"/>
      <c r="L56" s="1"/>
    </row>
    <row r="57" spans="1:12">
      <c r="A57" s="1" t="s">
        <v>1126</v>
      </c>
      <c r="B57" s="1"/>
      <c r="C57" s="1"/>
      <c r="D57" s="1"/>
      <c r="E57" s="1"/>
      <c r="F57" s="1"/>
      <c r="G57" s="437">
        <v>800000</v>
      </c>
      <c r="H57" s="1"/>
      <c r="I57" s="1"/>
      <c r="J57" s="1"/>
      <c r="K57" s="1"/>
      <c r="L57" s="1"/>
    </row>
    <row r="58" spans="1:12">
      <c r="A58" s="1"/>
      <c r="B58" s="1"/>
      <c r="C58" s="1"/>
      <c r="D58" s="1"/>
      <c r="E58" s="1"/>
      <c r="F58" s="1"/>
      <c r="G58" s="251"/>
      <c r="H58" s="1"/>
      <c r="I58" s="1"/>
      <c r="J58" s="1"/>
      <c r="K58" s="1"/>
      <c r="L58" s="1"/>
    </row>
    <row r="60" spans="1:12">
      <c r="A60" s="17" t="s">
        <v>18</v>
      </c>
      <c r="B60" s="1" t="s">
        <v>1127</v>
      </c>
      <c r="C60" s="1"/>
      <c r="D60" s="1"/>
      <c r="E60" s="1"/>
      <c r="F60" s="1"/>
      <c r="G60" s="1"/>
      <c r="H60" s="1"/>
      <c r="I60" s="1"/>
      <c r="J60" s="1"/>
      <c r="K60" s="1"/>
      <c r="L60" s="1"/>
    </row>
    <row r="61" spans="1:12">
      <c r="A61" s="14"/>
      <c r="B61" s="14"/>
      <c r="C61" s="14"/>
      <c r="D61" s="14"/>
      <c r="E61" s="14"/>
      <c r="F61" s="14"/>
      <c r="G61" s="1"/>
      <c r="H61" s="1"/>
      <c r="I61" s="1"/>
      <c r="J61" s="1"/>
      <c r="K61" s="1"/>
      <c r="L61" s="1"/>
    </row>
    <row r="62" spans="1:12">
      <c r="A62" s="3"/>
      <c r="B62" s="3"/>
      <c r="C62" s="3"/>
      <c r="D62" s="3"/>
      <c r="E62" s="3"/>
      <c r="F62" s="3"/>
      <c r="G62" s="3"/>
      <c r="H62" s="3"/>
      <c r="I62" s="3"/>
      <c r="J62" s="3"/>
      <c r="K62" s="3"/>
      <c r="L62" s="3"/>
    </row>
    <row r="63" spans="1:12">
      <c r="A63" s="3" t="s">
        <v>20</v>
      </c>
      <c r="B63" s="3"/>
      <c r="C63" s="3"/>
      <c r="D63" s="3"/>
      <c r="E63" s="3"/>
      <c r="F63" s="3"/>
      <c r="G63" s="3"/>
      <c r="H63" s="3"/>
      <c r="I63" s="3"/>
      <c r="J63" s="3"/>
      <c r="K63" s="3"/>
      <c r="L63" s="3"/>
    </row>
    <row r="64" spans="1:12">
      <c r="A64" s="3"/>
      <c r="B64" s="3"/>
      <c r="C64" s="3"/>
      <c r="D64" s="3"/>
      <c r="E64" s="3"/>
      <c r="F64" s="3"/>
      <c r="G64" s="3"/>
      <c r="H64" s="3"/>
      <c r="I64" s="3"/>
      <c r="J64" s="3"/>
      <c r="K64" s="3"/>
      <c r="L64" s="3"/>
    </row>
    <row r="65" spans="1:12">
      <c r="A65" s="3"/>
      <c r="B65" s="98" t="s">
        <v>1128</v>
      </c>
      <c r="C65" s="457"/>
      <c r="E65" s="458">
        <f>C48-G57/1000</f>
        <v>651</v>
      </c>
      <c r="F65" s="3"/>
      <c r="G65" s="3"/>
      <c r="H65" s="3"/>
      <c r="I65" s="3"/>
      <c r="J65" s="3"/>
      <c r="K65" s="3"/>
      <c r="L65" s="3"/>
    </row>
    <row r="67" spans="1:12">
      <c r="A67" s="1"/>
      <c r="B67" s="1"/>
      <c r="C67" s="1"/>
      <c r="D67" s="1"/>
      <c r="E67" s="1"/>
      <c r="F67" s="1"/>
      <c r="G67" s="1"/>
      <c r="H67" s="1"/>
      <c r="I67" s="1"/>
      <c r="J67" s="1"/>
      <c r="K67" s="1"/>
      <c r="L67" s="1"/>
    </row>
    <row r="68" spans="1:12">
      <c r="A68" s="1" t="s">
        <v>1129</v>
      </c>
      <c r="B68" s="1"/>
      <c r="C68" s="1"/>
      <c r="D68" s="1"/>
      <c r="E68" s="1"/>
      <c r="F68" s="1"/>
      <c r="G68" s="1"/>
      <c r="H68" s="1"/>
      <c r="I68" s="1"/>
      <c r="J68" s="1"/>
      <c r="K68" s="1"/>
      <c r="L68" s="1"/>
    </row>
    <row r="69" spans="1:12">
      <c r="A69" s="1"/>
      <c r="B69" s="1"/>
      <c r="C69" s="1"/>
      <c r="D69" s="1"/>
      <c r="E69" s="1"/>
      <c r="F69" s="1"/>
      <c r="G69" s="1"/>
      <c r="H69" s="1"/>
      <c r="I69" s="1"/>
      <c r="J69" s="1"/>
      <c r="K69" s="1"/>
      <c r="L69" s="1"/>
    </row>
    <row r="71" spans="1:12">
      <c r="A71" s="17" t="s">
        <v>25</v>
      </c>
      <c r="B71" s="1" t="s">
        <v>1130</v>
      </c>
      <c r="C71" s="1"/>
      <c r="D71" s="1"/>
      <c r="E71" s="1"/>
      <c r="F71" s="1"/>
      <c r="G71" s="1"/>
      <c r="H71" s="1"/>
      <c r="I71" s="1"/>
      <c r="J71" s="1"/>
      <c r="K71" s="1"/>
      <c r="L71" s="1"/>
    </row>
    <row r="72" spans="1:12">
      <c r="A72" s="17"/>
      <c r="B72" s="1"/>
      <c r="C72" s="1"/>
      <c r="D72" s="1"/>
      <c r="E72" s="1"/>
      <c r="F72" s="1"/>
      <c r="G72" s="1"/>
      <c r="H72" s="1"/>
      <c r="I72" s="1"/>
      <c r="J72" s="1"/>
      <c r="K72" s="1"/>
      <c r="L72" s="1"/>
    </row>
    <row r="73" spans="1:12">
      <c r="A73" s="17"/>
      <c r="B73" s="1" t="s">
        <v>73</v>
      </c>
      <c r="C73" s="831" t="s">
        <v>1131</v>
      </c>
      <c r="D73" s="831"/>
      <c r="E73" s="831"/>
      <c r="F73" s="831"/>
      <c r="G73" s="831"/>
      <c r="H73" s="831"/>
      <c r="I73" s="831"/>
      <c r="J73" s="831"/>
      <c r="K73" s="831"/>
      <c r="L73" s="1"/>
    </row>
    <row r="74" spans="1:12">
      <c r="A74" s="17"/>
      <c r="B74" s="1"/>
      <c r="C74" s="831"/>
      <c r="D74" s="831"/>
      <c r="E74" s="831"/>
      <c r="F74" s="831"/>
      <c r="G74" s="831"/>
      <c r="H74" s="831"/>
      <c r="I74" s="831"/>
      <c r="J74" s="831"/>
      <c r="K74" s="831"/>
      <c r="L74" s="1"/>
    </row>
    <row r="75" spans="1:12">
      <c r="A75" s="17"/>
      <c r="B75" s="1"/>
      <c r="C75" s="1"/>
      <c r="D75" s="1"/>
      <c r="E75" s="1"/>
      <c r="F75" s="1"/>
      <c r="G75" s="1"/>
      <c r="H75" s="1"/>
      <c r="I75" s="1"/>
      <c r="J75" s="1"/>
      <c r="K75" s="1"/>
      <c r="L75" s="1"/>
    </row>
    <row r="76" spans="1:12">
      <c r="A76" s="17"/>
      <c r="B76" s="1" t="s">
        <v>75</v>
      </c>
      <c r="C76" s="1" t="s">
        <v>1132</v>
      </c>
      <c r="D76" s="1"/>
      <c r="E76" s="1"/>
      <c r="F76" s="1"/>
      <c r="G76" s="1"/>
      <c r="H76" s="1"/>
      <c r="I76" s="1"/>
      <c r="J76" s="1"/>
      <c r="K76" s="1"/>
      <c r="L76" s="1"/>
    </row>
    <row r="77" spans="1:12">
      <c r="A77" s="14"/>
      <c r="B77" s="14"/>
      <c r="C77" s="14"/>
      <c r="D77" s="14"/>
      <c r="E77" s="14"/>
      <c r="F77" s="14"/>
      <c r="G77" s="1"/>
      <c r="H77" s="1"/>
      <c r="I77" s="1"/>
      <c r="J77" s="1"/>
      <c r="K77" s="1"/>
      <c r="L77" s="1"/>
    </row>
    <row r="78" spans="1:12">
      <c r="A78" s="3"/>
      <c r="B78" s="3"/>
      <c r="C78" s="3"/>
      <c r="D78" s="3"/>
      <c r="E78" s="3"/>
      <c r="F78" s="3"/>
      <c r="G78" s="3"/>
      <c r="H78" s="3"/>
      <c r="I78" s="3"/>
      <c r="J78" s="3"/>
      <c r="K78" s="3"/>
      <c r="L78" s="3"/>
    </row>
    <row r="79" spans="1:12">
      <c r="A79" s="3" t="s">
        <v>20</v>
      </c>
      <c r="B79" s="3"/>
      <c r="C79" s="3"/>
      <c r="D79" s="3"/>
      <c r="E79" s="3"/>
      <c r="F79" s="3"/>
      <c r="G79" s="3"/>
      <c r="H79" s="3"/>
      <c r="I79" s="3"/>
      <c r="J79" s="3"/>
      <c r="K79" s="3"/>
      <c r="L79" s="3"/>
    </row>
    <row r="80" spans="1:12">
      <c r="A80" s="3"/>
      <c r="B80" s="3"/>
      <c r="C80" s="3"/>
      <c r="D80" s="3"/>
      <c r="E80" s="3"/>
      <c r="F80" s="3"/>
      <c r="G80" s="3"/>
      <c r="H80" s="3"/>
      <c r="I80" s="3"/>
      <c r="J80" s="3"/>
      <c r="K80" s="3"/>
      <c r="L80" s="3"/>
    </row>
    <row r="81" spans="1:13">
      <c r="A81" s="3"/>
      <c r="B81" s="3" t="s">
        <v>73</v>
      </c>
      <c r="C81" s="3" t="s">
        <v>1133</v>
      </c>
      <c r="D81" s="3"/>
      <c r="E81" s="3"/>
      <c r="F81" s="3"/>
      <c r="G81" s="3"/>
      <c r="H81" s="3"/>
      <c r="I81" s="3"/>
      <c r="J81" s="3"/>
      <c r="K81" s="3"/>
      <c r="L81" s="3"/>
    </row>
    <row r="82" spans="1:13">
      <c r="M82" s="3"/>
    </row>
    <row r="83" spans="1:13">
      <c r="B83" s="2" t="s">
        <v>75</v>
      </c>
      <c r="C83" s="2" t="s">
        <v>1134</v>
      </c>
      <c r="M83" s="3"/>
    </row>
    <row r="84" spans="1:13">
      <c r="C84" s="2" t="s">
        <v>1135</v>
      </c>
    </row>
    <row r="85" spans="1:13">
      <c r="C85" s="2" t="s">
        <v>1136</v>
      </c>
    </row>
    <row r="86" spans="1:13">
      <c r="C86" s="2" t="s">
        <v>1137</v>
      </c>
    </row>
    <row r="88" spans="1:13">
      <c r="A88" s="1"/>
      <c r="B88" s="1"/>
      <c r="C88" s="1"/>
      <c r="D88" s="1"/>
      <c r="E88" s="1"/>
      <c r="F88" s="1"/>
      <c r="G88" s="1"/>
      <c r="H88" s="1"/>
      <c r="I88" s="1"/>
      <c r="J88" s="1"/>
      <c r="K88" s="1"/>
      <c r="L88" s="1"/>
    </row>
    <row r="89" spans="1:13">
      <c r="A89" s="831" t="s">
        <v>1138</v>
      </c>
      <c r="B89" s="831"/>
      <c r="C89" s="831"/>
      <c r="D89" s="831"/>
      <c r="E89" s="831"/>
      <c r="F89" s="831"/>
      <c r="G89" s="831"/>
      <c r="H89" s="831"/>
      <c r="I89" s="831"/>
      <c r="J89" s="831"/>
      <c r="K89" s="831"/>
      <c r="L89" s="831"/>
    </row>
    <row r="90" spans="1:13">
      <c r="A90" s="831"/>
      <c r="B90" s="831"/>
      <c r="C90" s="831"/>
      <c r="D90" s="831"/>
      <c r="E90" s="831"/>
      <c r="F90" s="831"/>
      <c r="G90" s="831"/>
      <c r="H90" s="831"/>
      <c r="I90" s="831"/>
      <c r="J90" s="831"/>
      <c r="K90" s="831"/>
      <c r="L90" s="831"/>
    </row>
    <row r="91" spans="1:13">
      <c r="A91" s="44"/>
      <c r="B91" s="44"/>
      <c r="C91" s="44"/>
      <c r="D91" s="44"/>
      <c r="E91" s="44"/>
      <c r="F91" s="44"/>
      <c r="G91" s="44"/>
      <c r="H91" s="44"/>
      <c r="I91" s="44"/>
      <c r="J91" s="44"/>
      <c r="K91" s="44"/>
      <c r="L91" s="44"/>
    </row>
    <row r="93" spans="1:13">
      <c r="A93" s="17" t="s">
        <v>147</v>
      </c>
      <c r="B93" s="1" t="s">
        <v>1139</v>
      </c>
      <c r="C93" s="1"/>
      <c r="D93" s="1"/>
      <c r="E93" s="1"/>
      <c r="F93" s="1"/>
      <c r="G93" s="1"/>
      <c r="H93" s="1"/>
      <c r="I93" s="1"/>
      <c r="J93" s="1"/>
      <c r="K93" s="1"/>
      <c r="L93" s="1"/>
    </row>
    <row r="94" spans="1:13">
      <c r="A94" s="14"/>
      <c r="B94" s="14"/>
      <c r="C94" s="14"/>
      <c r="D94" s="14"/>
      <c r="E94" s="14"/>
      <c r="F94" s="14"/>
      <c r="G94" s="1"/>
      <c r="H94" s="1"/>
      <c r="I94" s="1"/>
      <c r="J94" s="1"/>
      <c r="K94" s="1"/>
      <c r="L94" s="1"/>
    </row>
    <row r="95" spans="1:13">
      <c r="A95" s="3"/>
      <c r="B95" s="3"/>
      <c r="C95" s="3"/>
      <c r="D95" s="3"/>
      <c r="E95" s="3"/>
      <c r="F95" s="3"/>
      <c r="G95" s="3"/>
      <c r="H95" s="3"/>
      <c r="I95" s="3"/>
      <c r="J95" s="3"/>
      <c r="K95" s="3"/>
      <c r="L95" s="3"/>
    </row>
    <row r="96" spans="1:13">
      <c r="A96" s="3" t="s">
        <v>20</v>
      </c>
      <c r="B96" s="3"/>
      <c r="C96" s="3"/>
      <c r="D96" s="3"/>
      <c r="E96" s="3"/>
      <c r="F96" s="3"/>
      <c r="G96" s="3"/>
      <c r="H96" s="3"/>
      <c r="I96" s="3"/>
      <c r="J96" s="3"/>
      <c r="K96" s="3"/>
      <c r="L96" s="3"/>
    </row>
    <row r="97" spans="1:12">
      <c r="A97" s="3"/>
      <c r="B97" s="416" t="s">
        <v>775</v>
      </c>
      <c r="C97" s="3"/>
      <c r="D97" s="3"/>
      <c r="E97" s="3"/>
      <c r="F97" s="3"/>
      <c r="G97" s="3"/>
      <c r="H97" s="3"/>
      <c r="I97" s="3"/>
      <c r="J97" s="3"/>
      <c r="K97" s="3"/>
      <c r="L97" s="3"/>
    </row>
    <row r="98" spans="1:12">
      <c r="A98" s="3"/>
      <c r="B98" s="417" t="s">
        <v>1140</v>
      </c>
      <c r="C98" s="3"/>
      <c r="D98" s="3"/>
      <c r="E98" s="3"/>
      <c r="F98" s="3"/>
      <c r="G98" s="3"/>
      <c r="H98" s="3"/>
      <c r="I98" s="3"/>
      <c r="J98" s="3"/>
      <c r="K98" s="3"/>
      <c r="L98" s="3"/>
    </row>
    <row r="99" spans="1:12">
      <c r="B99" s="417" t="s">
        <v>1141</v>
      </c>
    </row>
    <row r="100" spans="1:12">
      <c r="B100" s="417" t="s">
        <v>1142</v>
      </c>
    </row>
    <row r="101" spans="1:12">
      <c r="B101" s="417" t="s">
        <v>1143</v>
      </c>
    </row>
  </sheetData>
  <mergeCells count="24">
    <mergeCell ref="E21:F21"/>
    <mergeCell ref="C5:F5"/>
    <mergeCell ref="I5:L5"/>
    <mergeCell ref="C14:C15"/>
    <mergeCell ref="D14:D15"/>
    <mergeCell ref="E14:F14"/>
    <mergeCell ref="G14:G15"/>
    <mergeCell ref="H14:H15"/>
    <mergeCell ref="I14:I15"/>
    <mergeCell ref="J14:J15"/>
    <mergeCell ref="E15:F15"/>
    <mergeCell ref="E16:F16"/>
    <mergeCell ref="E17:F17"/>
    <mergeCell ref="E18:F18"/>
    <mergeCell ref="E19:F19"/>
    <mergeCell ref="E20:F20"/>
    <mergeCell ref="C73:K74"/>
    <mergeCell ref="A89:L90"/>
    <mergeCell ref="C29:F29"/>
    <mergeCell ref="I29:L29"/>
    <mergeCell ref="C36:F36"/>
    <mergeCell ref="I36:L36"/>
    <mergeCell ref="C43:F43"/>
    <mergeCell ref="I43:L43"/>
  </mergeCells>
  <hyperlinks>
    <hyperlink ref="O1" location="TOC!A1" display="Table of Contents" xr:uid="{86842F4A-5C39-48A8-AFA4-44C435ED9DD3}"/>
  </hyperlinks>
  <pageMargins left="0.7" right="0.7" top="0.75" bottom="0.75" header="0.3" footer="0.3"/>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CCBB-F873-4E3C-8739-09ABB697725D}">
  <dimension ref="A1:R161"/>
  <sheetViews>
    <sheetView zoomScaleNormal="100" workbookViewId="0"/>
  </sheetViews>
  <sheetFormatPr defaultColWidth="8.88671875" defaultRowHeight="15.6"/>
  <cols>
    <col min="1" max="1" width="8.88671875" style="2" customWidth="1"/>
    <col min="2" max="8" width="12.6640625" style="2" customWidth="1"/>
    <col min="9" max="16384" width="8.88671875" style="2"/>
  </cols>
  <sheetData>
    <row r="1" spans="1:15" ht="17.399999999999999">
      <c r="A1" s="13" t="s">
        <v>1930</v>
      </c>
      <c r="B1" s="1"/>
      <c r="C1" s="1"/>
      <c r="D1" s="1" t="s">
        <v>240</v>
      </c>
      <c r="E1" s="1"/>
      <c r="F1" s="1"/>
      <c r="G1" s="1"/>
      <c r="H1" s="1"/>
      <c r="I1" s="1"/>
      <c r="J1" s="1"/>
      <c r="K1" s="1"/>
      <c r="L1" s="14"/>
      <c r="O1" s="21" t="s">
        <v>2927</v>
      </c>
    </row>
    <row r="2" spans="1:15">
      <c r="A2" s="1"/>
      <c r="B2" s="1"/>
      <c r="C2" s="1"/>
      <c r="D2" s="1"/>
      <c r="E2" s="1"/>
      <c r="F2" s="1"/>
      <c r="G2" s="1"/>
      <c r="H2" s="1"/>
      <c r="I2" s="1"/>
      <c r="J2" s="1"/>
      <c r="K2" s="1"/>
      <c r="L2" s="14"/>
    </row>
    <row r="3" spans="1:15">
      <c r="A3" s="1" t="s">
        <v>575</v>
      </c>
      <c r="B3" s="1"/>
      <c r="C3" s="1"/>
      <c r="D3" s="1"/>
      <c r="E3" s="1"/>
      <c r="F3" s="1"/>
      <c r="G3" s="1"/>
      <c r="H3" s="1"/>
      <c r="I3" s="1"/>
      <c r="J3" s="1"/>
      <c r="K3" s="1"/>
      <c r="L3" s="14"/>
    </row>
    <row r="4" spans="1:15">
      <c r="A4" s="43"/>
      <c r="B4" s="1"/>
      <c r="C4" s="1"/>
      <c r="D4" s="1"/>
      <c r="E4" s="1"/>
      <c r="F4" s="1"/>
      <c r="G4" s="1"/>
      <c r="H4" s="1"/>
      <c r="I4" s="1"/>
      <c r="J4" s="1"/>
      <c r="K4" s="1"/>
      <c r="L4" s="1"/>
    </row>
    <row r="5" spans="1:15">
      <c r="A5" s="43"/>
      <c r="B5" s="163" t="s">
        <v>53</v>
      </c>
      <c r="C5" s="841" t="s">
        <v>59</v>
      </c>
      <c r="D5" s="841"/>
      <c r="E5" s="841"/>
      <c r="F5" s="841"/>
      <c r="G5" s="841"/>
      <c r="H5" s="841"/>
      <c r="I5" s="1"/>
      <c r="J5" s="1"/>
      <c r="K5" s="1"/>
      <c r="L5" s="1"/>
    </row>
    <row r="6" spans="1:15">
      <c r="A6" s="43"/>
      <c r="B6" s="166" t="s">
        <v>55</v>
      </c>
      <c r="C6" s="27">
        <v>12</v>
      </c>
      <c r="D6" s="27">
        <v>24</v>
      </c>
      <c r="E6" s="27">
        <v>36</v>
      </c>
      <c r="F6" s="27">
        <v>48</v>
      </c>
      <c r="G6" s="27">
        <v>60</v>
      </c>
      <c r="H6" s="27">
        <v>72</v>
      </c>
      <c r="I6" s="1"/>
      <c r="J6" s="1"/>
      <c r="K6" s="1"/>
      <c r="L6" s="1"/>
    </row>
    <row r="7" spans="1:15">
      <c r="A7" s="43"/>
      <c r="B7" s="32">
        <v>2016</v>
      </c>
      <c r="C7" s="92">
        <v>30847710</v>
      </c>
      <c r="D7" s="92">
        <v>36970980</v>
      </c>
      <c r="E7" s="92">
        <v>39804500</v>
      </c>
      <c r="F7" s="92">
        <v>49934760</v>
      </c>
      <c r="G7" s="92">
        <v>50877310</v>
      </c>
      <c r="H7" s="92">
        <v>43481120</v>
      </c>
      <c r="I7" s="1"/>
      <c r="J7" s="1"/>
      <c r="K7" s="1"/>
      <c r="L7" s="1"/>
    </row>
    <row r="8" spans="1:15">
      <c r="A8" s="43"/>
      <c r="B8" s="32">
        <v>2017</v>
      </c>
      <c r="C8" s="92">
        <v>34029400</v>
      </c>
      <c r="D8" s="92">
        <v>38856540</v>
      </c>
      <c r="E8" s="92">
        <v>45646070</v>
      </c>
      <c r="F8" s="92">
        <v>51501360</v>
      </c>
      <c r="G8" s="92">
        <v>46739030</v>
      </c>
      <c r="H8" s="32"/>
      <c r="I8" s="1"/>
      <c r="J8" s="1"/>
      <c r="K8" s="1"/>
      <c r="L8" s="1"/>
    </row>
    <row r="9" spans="1:15">
      <c r="A9" s="1"/>
      <c r="B9" s="32">
        <v>2018</v>
      </c>
      <c r="C9" s="92">
        <v>38734090</v>
      </c>
      <c r="D9" s="92">
        <v>40177840</v>
      </c>
      <c r="E9" s="92">
        <v>47328140</v>
      </c>
      <c r="F9" s="92">
        <v>47597670</v>
      </c>
      <c r="G9" s="32"/>
      <c r="H9" s="32"/>
      <c r="I9" s="1"/>
      <c r="J9" s="1"/>
      <c r="K9" s="1"/>
      <c r="L9" s="1"/>
    </row>
    <row r="10" spans="1:15">
      <c r="A10" s="1"/>
      <c r="B10" s="32">
        <v>2019</v>
      </c>
      <c r="C10" s="92">
        <v>39000910</v>
      </c>
      <c r="D10" s="92">
        <v>39002570</v>
      </c>
      <c r="E10" s="92">
        <v>40849280</v>
      </c>
      <c r="F10" s="32"/>
      <c r="G10" s="32"/>
      <c r="H10" s="32"/>
      <c r="I10" s="1"/>
      <c r="J10" s="1"/>
      <c r="K10" s="1"/>
      <c r="L10" s="1"/>
    </row>
    <row r="11" spans="1:15">
      <c r="A11" s="43"/>
      <c r="B11" s="32">
        <v>2020</v>
      </c>
      <c r="C11" s="92">
        <v>41845080</v>
      </c>
      <c r="D11" s="92">
        <v>39427380</v>
      </c>
      <c r="E11" s="32"/>
      <c r="F11" s="32"/>
      <c r="G11" s="32"/>
      <c r="H11" s="32"/>
      <c r="I11" s="1"/>
      <c r="J11" s="1"/>
      <c r="K11" s="1"/>
      <c r="L11" s="1"/>
    </row>
    <row r="12" spans="1:15">
      <c r="A12" s="1"/>
      <c r="B12" s="32">
        <v>2021</v>
      </c>
      <c r="C12" s="92">
        <v>42482430</v>
      </c>
      <c r="D12" s="32"/>
      <c r="E12" s="32"/>
      <c r="F12" s="32"/>
      <c r="G12" s="32"/>
      <c r="H12" s="32"/>
      <c r="I12" s="1"/>
      <c r="J12" s="1"/>
      <c r="K12" s="1"/>
      <c r="L12" s="1"/>
    </row>
    <row r="13" spans="1:15">
      <c r="A13" s="1"/>
      <c r="B13" s="1"/>
      <c r="C13" s="1"/>
      <c r="D13" s="1"/>
      <c r="E13" s="1"/>
      <c r="F13" s="1"/>
      <c r="G13" s="1"/>
      <c r="H13" s="1"/>
      <c r="I13" s="1"/>
      <c r="J13" s="1"/>
      <c r="K13" s="1"/>
      <c r="L13" s="1"/>
    </row>
    <row r="14" spans="1:15">
      <c r="A14" s="1"/>
      <c r="B14" s="163" t="s">
        <v>53</v>
      </c>
      <c r="C14" s="841" t="s">
        <v>324</v>
      </c>
      <c r="D14" s="841"/>
      <c r="E14" s="841"/>
      <c r="F14" s="841"/>
      <c r="G14" s="841"/>
      <c r="H14" s="841"/>
      <c r="I14" s="1"/>
      <c r="J14" s="1"/>
      <c r="K14" s="1"/>
      <c r="L14" s="1"/>
    </row>
    <row r="15" spans="1:15">
      <c r="A15" s="1"/>
      <c r="B15" s="166" t="s">
        <v>55</v>
      </c>
      <c r="C15" s="27">
        <v>12</v>
      </c>
      <c r="D15" s="27">
        <v>24</v>
      </c>
      <c r="E15" s="27">
        <v>36</v>
      </c>
      <c r="F15" s="27">
        <v>48</v>
      </c>
      <c r="G15" s="27">
        <v>60</v>
      </c>
      <c r="H15" s="27">
        <v>72</v>
      </c>
      <c r="I15" s="1"/>
      <c r="J15" s="1"/>
      <c r="K15" s="1"/>
      <c r="L15" s="1"/>
    </row>
    <row r="16" spans="1:15">
      <c r="A16" s="1"/>
      <c r="B16" s="32">
        <v>2016</v>
      </c>
      <c r="C16" s="92">
        <v>10450640</v>
      </c>
      <c r="D16" s="92">
        <v>17578750</v>
      </c>
      <c r="E16" s="92">
        <v>24478180</v>
      </c>
      <c r="F16" s="92">
        <v>28746870</v>
      </c>
      <c r="G16" s="92">
        <v>31182590</v>
      </c>
      <c r="H16" s="92">
        <v>37359990</v>
      </c>
      <c r="I16" s="1"/>
      <c r="J16" s="1"/>
      <c r="K16" s="1"/>
      <c r="L16" s="1"/>
    </row>
    <row r="17" spans="1:12">
      <c r="A17" s="1"/>
      <c r="B17" s="32">
        <v>2017</v>
      </c>
      <c r="C17" s="92">
        <v>10463190</v>
      </c>
      <c r="D17" s="92">
        <v>18205500</v>
      </c>
      <c r="E17" s="92">
        <v>24401580</v>
      </c>
      <c r="F17" s="92">
        <v>30144600</v>
      </c>
      <c r="G17" s="92">
        <v>36751040</v>
      </c>
      <c r="H17" s="32"/>
      <c r="I17" s="1"/>
      <c r="J17" s="1"/>
      <c r="K17" s="1"/>
      <c r="L17" s="1"/>
    </row>
    <row r="18" spans="1:12">
      <c r="A18" s="1"/>
      <c r="B18" s="32">
        <v>2018</v>
      </c>
      <c r="C18" s="92">
        <v>10407100</v>
      </c>
      <c r="D18" s="92">
        <v>18712370</v>
      </c>
      <c r="E18" s="92">
        <v>26582760</v>
      </c>
      <c r="F18" s="92">
        <v>35904160</v>
      </c>
      <c r="G18" s="32"/>
      <c r="H18" s="32"/>
      <c r="I18" s="1"/>
      <c r="J18" s="1"/>
      <c r="K18" s="1"/>
      <c r="L18" s="1"/>
    </row>
    <row r="19" spans="1:12">
      <c r="A19" s="1"/>
      <c r="B19" s="32">
        <v>2019</v>
      </c>
      <c r="C19" s="92">
        <v>10849930</v>
      </c>
      <c r="D19" s="92">
        <v>20766690</v>
      </c>
      <c r="E19" s="92">
        <v>33573290</v>
      </c>
      <c r="F19" s="32"/>
      <c r="G19" s="32"/>
      <c r="H19" s="32"/>
      <c r="I19" s="1"/>
      <c r="J19" s="1"/>
      <c r="K19" s="1"/>
      <c r="L19" s="1"/>
    </row>
    <row r="20" spans="1:12">
      <c r="A20" s="1"/>
      <c r="B20" s="32">
        <v>2020</v>
      </c>
      <c r="C20" s="92">
        <v>11502420</v>
      </c>
      <c r="D20" s="92">
        <v>23964040</v>
      </c>
      <c r="E20" s="32"/>
      <c r="F20" s="32"/>
      <c r="G20" s="32"/>
      <c r="H20" s="32"/>
      <c r="I20" s="1"/>
      <c r="J20" s="1"/>
      <c r="K20" s="1"/>
      <c r="L20" s="1"/>
    </row>
    <row r="21" spans="1:12">
      <c r="A21" s="1"/>
      <c r="B21" s="32">
        <v>2021</v>
      </c>
      <c r="C21" s="92">
        <v>12921930</v>
      </c>
      <c r="D21" s="32"/>
      <c r="E21" s="32"/>
      <c r="F21" s="32"/>
      <c r="G21" s="32"/>
      <c r="H21" s="32"/>
      <c r="I21" s="1"/>
      <c r="J21" s="1"/>
      <c r="K21" s="1"/>
      <c r="L21" s="1"/>
    </row>
    <row r="22" spans="1:12">
      <c r="A22" s="1"/>
      <c r="B22" s="1"/>
      <c r="C22" s="1"/>
      <c r="D22" s="1"/>
      <c r="E22" s="1"/>
      <c r="F22" s="1"/>
      <c r="G22" s="1"/>
      <c r="H22" s="1"/>
      <c r="I22" s="1"/>
      <c r="J22" s="1"/>
      <c r="K22" s="1"/>
      <c r="L22" s="1"/>
    </row>
    <row r="23" spans="1:12">
      <c r="A23" s="1"/>
      <c r="B23" s="163" t="s">
        <v>53</v>
      </c>
      <c r="C23" s="841" t="s">
        <v>550</v>
      </c>
      <c r="D23" s="841"/>
      <c r="E23" s="841"/>
      <c r="F23" s="841"/>
      <c r="G23" s="841"/>
      <c r="H23" s="841"/>
      <c r="I23" s="1"/>
      <c r="J23" s="1"/>
      <c r="K23" s="1"/>
      <c r="L23" s="1"/>
    </row>
    <row r="24" spans="1:12">
      <c r="A24" s="1"/>
      <c r="B24" s="166" t="s">
        <v>55</v>
      </c>
      <c r="C24" s="27">
        <v>12</v>
      </c>
      <c r="D24" s="27">
        <v>24</v>
      </c>
      <c r="E24" s="27">
        <v>36</v>
      </c>
      <c r="F24" s="27">
        <v>48</v>
      </c>
      <c r="G24" s="27">
        <v>60</v>
      </c>
      <c r="H24" s="27">
        <v>72</v>
      </c>
      <c r="I24" s="1"/>
      <c r="J24" s="1"/>
      <c r="K24" s="1"/>
      <c r="L24" s="1"/>
    </row>
    <row r="25" spans="1:12">
      <c r="A25" s="1"/>
      <c r="B25" s="32">
        <v>2016</v>
      </c>
      <c r="C25" s="92">
        <v>3272</v>
      </c>
      <c r="D25" s="92">
        <v>3548</v>
      </c>
      <c r="E25" s="92">
        <v>3546</v>
      </c>
      <c r="F25" s="92">
        <v>3733</v>
      </c>
      <c r="G25" s="92">
        <v>3726</v>
      </c>
      <c r="H25" s="92">
        <v>3735</v>
      </c>
      <c r="I25" s="1"/>
      <c r="J25" s="1"/>
      <c r="K25" s="1"/>
      <c r="L25" s="1"/>
    </row>
    <row r="26" spans="1:12">
      <c r="A26" s="1"/>
      <c r="B26" s="32">
        <v>2017</v>
      </c>
      <c r="C26" s="92">
        <v>3275</v>
      </c>
      <c r="D26" s="92">
        <v>3513</v>
      </c>
      <c r="E26" s="92">
        <v>3608</v>
      </c>
      <c r="F26" s="92">
        <v>3693</v>
      </c>
      <c r="G26" s="92">
        <v>3722</v>
      </c>
      <c r="H26" s="32"/>
      <c r="I26" s="1"/>
      <c r="J26" s="1"/>
      <c r="K26" s="1"/>
      <c r="L26" s="1"/>
    </row>
    <row r="27" spans="1:12">
      <c r="A27" s="1"/>
      <c r="B27" s="32">
        <v>2018</v>
      </c>
      <c r="C27" s="92">
        <v>3391</v>
      </c>
      <c r="D27" s="92">
        <v>3470</v>
      </c>
      <c r="E27" s="92">
        <v>3610</v>
      </c>
      <c r="F27" s="92">
        <v>3671</v>
      </c>
      <c r="G27" s="32"/>
      <c r="H27" s="32"/>
      <c r="I27" s="1"/>
      <c r="J27" s="1"/>
      <c r="K27" s="1"/>
      <c r="L27" s="1"/>
    </row>
    <row r="28" spans="1:12">
      <c r="A28" s="1"/>
      <c r="B28" s="32">
        <v>2019</v>
      </c>
      <c r="C28" s="92">
        <v>3271</v>
      </c>
      <c r="D28" s="92">
        <v>3417</v>
      </c>
      <c r="E28" s="92">
        <v>3576</v>
      </c>
      <c r="F28" s="32"/>
      <c r="G28" s="32"/>
      <c r="H28" s="32"/>
      <c r="I28" s="1"/>
      <c r="J28" s="1"/>
      <c r="K28" s="1"/>
      <c r="L28" s="1"/>
    </row>
    <row r="29" spans="1:12">
      <c r="A29" s="1"/>
      <c r="B29" s="32">
        <v>2020</v>
      </c>
      <c r="C29" s="92">
        <v>3344</v>
      </c>
      <c r="D29" s="92">
        <v>3477</v>
      </c>
      <c r="E29" s="32"/>
      <c r="F29" s="32"/>
      <c r="G29" s="32"/>
      <c r="H29" s="32"/>
      <c r="I29" s="1"/>
      <c r="J29" s="1"/>
      <c r="K29" s="1"/>
      <c r="L29" s="1"/>
    </row>
    <row r="30" spans="1:12">
      <c r="A30" s="1"/>
      <c r="B30" s="32">
        <v>2021</v>
      </c>
      <c r="C30" s="92">
        <v>3290</v>
      </c>
      <c r="D30" s="32"/>
      <c r="E30" s="32"/>
      <c r="F30" s="32"/>
      <c r="G30" s="32"/>
      <c r="H30" s="32"/>
      <c r="I30" s="1"/>
      <c r="J30" s="1"/>
      <c r="K30" s="1"/>
      <c r="L30" s="1"/>
    </row>
    <row r="31" spans="1:12">
      <c r="A31" s="1"/>
      <c r="B31" s="1"/>
      <c r="C31" s="1"/>
      <c r="D31" s="1"/>
      <c r="E31" s="1"/>
      <c r="F31" s="1"/>
      <c r="G31" s="1"/>
      <c r="H31" s="1"/>
      <c r="I31" s="1"/>
      <c r="J31" s="1"/>
      <c r="K31" s="1"/>
      <c r="L31" s="1"/>
    </row>
    <row r="32" spans="1:12">
      <c r="A32" s="1"/>
      <c r="B32" s="163" t="s">
        <v>53</v>
      </c>
      <c r="C32" s="853" t="s">
        <v>551</v>
      </c>
      <c r="D32" s="841"/>
      <c r="E32" s="841"/>
      <c r="F32" s="841"/>
      <c r="G32" s="841"/>
      <c r="H32" s="841"/>
      <c r="I32" s="1"/>
      <c r="J32" s="1"/>
      <c r="K32" s="1"/>
      <c r="L32" s="1"/>
    </row>
    <row r="33" spans="1:12">
      <c r="A33" s="1"/>
      <c r="B33" s="166" t="s">
        <v>55</v>
      </c>
      <c r="C33" s="193">
        <v>12</v>
      </c>
      <c r="D33" s="27">
        <v>24</v>
      </c>
      <c r="E33" s="27">
        <v>36</v>
      </c>
      <c r="F33" s="27">
        <v>48</v>
      </c>
      <c r="G33" s="27">
        <v>60</v>
      </c>
      <c r="H33" s="27">
        <v>72</v>
      </c>
      <c r="I33" s="1"/>
      <c r="J33" s="1"/>
      <c r="K33" s="1"/>
      <c r="L33" s="1"/>
    </row>
    <row r="34" spans="1:12">
      <c r="A34" s="1"/>
      <c r="B34" s="197">
        <v>2016</v>
      </c>
      <c r="C34" s="92">
        <v>1993</v>
      </c>
      <c r="D34" s="92">
        <v>2497</v>
      </c>
      <c r="E34" s="92">
        <v>2881</v>
      </c>
      <c r="F34" s="92">
        <v>2922</v>
      </c>
      <c r="G34" s="92">
        <v>3021</v>
      </c>
      <c r="H34" s="92">
        <v>3548</v>
      </c>
      <c r="I34" s="1"/>
      <c r="J34" s="1"/>
      <c r="K34" s="1"/>
      <c r="L34" s="1"/>
    </row>
    <row r="35" spans="1:12">
      <c r="A35" s="1"/>
      <c r="B35" s="32">
        <v>2017</v>
      </c>
      <c r="C35" s="92">
        <v>1879</v>
      </c>
      <c r="D35" s="92">
        <v>2456</v>
      </c>
      <c r="E35" s="92">
        <v>2726</v>
      </c>
      <c r="F35" s="92">
        <v>2921</v>
      </c>
      <c r="G35" s="92">
        <v>3414</v>
      </c>
      <c r="H35" s="32"/>
      <c r="I35" s="1"/>
      <c r="J35" s="1"/>
      <c r="K35" s="1"/>
      <c r="L35" s="1"/>
    </row>
    <row r="36" spans="1:12">
      <c r="A36" s="1"/>
      <c r="B36" s="32">
        <v>2018</v>
      </c>
      <c r="C36" s="92">
        <v>1801</v>
      </c>
      <c r="D36" s="92">
        <v>2425</v>
      </c>
      <c r="E36" s="92">
        <v>2796</v>
      </c>
      <c r="F36" s="92">
        <v>3307</v>
      </c>
      <c r="G36" s="32"/>
      <c r="H36" s="32"/>
      <c r="I36" s="1"/>
      <c r="J36" s="1"/>
      <c r="K36" s="1"/>
      <c r="L36" s="1"/>
    </row>
    <row r="37" spans="1:12">
      <c r="A37" s="1"/>
      <c r="B37" s="32">
        <v>2019</v>
      </c>
      <c r="C37" s="92">
        <v>1780</v>
      </c>
      <c r="D37" s="92">
        <v>2579</v>
      </c>
      <c r="E37" s="92">
        <v>3328</v>
      </c>
      <c r="F37" s="32"/>
      <c r="G37" s="32"/>
      <c r="H37" s="32"/>
      <c r="I37" s="1"/>
      <c r="J37" s="1"/>
      <c r="K37" s="1"/>
      <c r="L37" s="1"/>
    </row>
    <row r="38" spans="1:12">
      <c r="A38" s="1"/>
      <c r="B38" s="32">
        <v>2020</v>
      </c>
      <c r="C38" s="92">
        <v>1803</v>
      </c>
      <c r="D38" s="92">
        <v>2863</v>
      </c>
      <c r="E38" s="32"/>
      <c r="F38" s="32"/>
      <c r="G38" s="32"/>
      <c r="H38" s="32"/>
      <c r="I38" s="1"/>
      <c r="J38" s="1"/>
      <c r="K38" s="1"/>
      <c r="L38" s="1"/>
    </row>
    <row r="39" spans="1:12">
      <c r="A39" s="1"/>
      <c r="B39" s="32">
        <v>2021</v>
      </c>
      <c r="C39" s="92">
        <v>1968</v>
      </c>
      <c r="D39" s="32"/>
      <c r="E39" s="32"/>
      <c r="F39" s="32"/>
      <c r="G39" s="32"/>
      <c r="H39" s="32"/>
      <c r="I39" s="1"/>
      <c r="J39" s="1"/>
      <c r="K39" s="1"/>
      <c r="L39" s="1"/>
    </row>
    <row r="40" spans="1:12">
      <c r="A40" s="1"/>
      <c r="B40" s="1"/>
      <c r="C40" s="1"/>
      <c r="D40" s="1"/>
      <c r="E40" s="1"/>
      <c r="F40" s="1"/>
      <c r="G40" s="1"/>
      <c r="H40" s="1"/>
      <c r="I40" s="1"/>
      <c r="J40" s="1"/>
      <c r="K40" s="1"/>
      <c r="L40" s="1"/>
    </row>
    <row r="41" spans="1:12">
      <c r="A41" s="1"/>
      <c r="B41" s="163" t="s">
        <v>53</v>
      </c>
      <c r="C41" s="834" t="s">
        <v>797</v>
      </c>
      <c r="D41" s="852"/>
      <c r="E41" s="1"/>
      <c r="F41" s="1"/>
      <c r="G41" s="1"/>
      <c r="H41" s="1"/>
      <c r="I41" s="1"/>
      <c r="J41" s="1"/>
      <c r="K41" s="1"/>
      <c r="L41" s="1"/>
    </row>
    <row r="42" spans="1:12">
      <c r="A42" s="1"/>
      <c r="B42" s="166" t="s">
        <v>55</v>
      </c>
      <c r="C42" s="836" t="s">
        <v>528</v>
      </c>
      <c r="D42" s="854"/>
      <c r="E42" s="1"/>
      <c r="F42" s="1"/>
      <c r="G42" s="1"/>
      <c r="H42" s="1"/>
      <c r="I42" s="1"/>
      <c r="J42" s="1"/>
      <c r="K42" s="1"/>
      <c r="L42" s="1"/>
    </row>
    <row r="43" spans="1:12">
      <c r="A43" s="1"/>
      <c r="B43" s="32">
        <v>2016</v>
      </c>
      <c r="C43" s="913">
        <v>3735</v>
      </c>
      <c r="D43" s="913"/>
      <c r="E43" s="1"/>
      <c r="F43" s="1"/>
      <c r="G43" s="1"/>
      <c r="H43" s="1"/>
      <c r="I43" s="1"/>
      <c r="J43" s="1"/>
      <c r="K43" s="1"/>
      <c r="L43" s="1"/>
    </row>
    <row r="44" spans="1:12">
      <c r="A44" s="1"/>
      <c r="B44" s="32">
        <v>2017</v>
      </c>
      <c r="C44" s="913">
        <v>3731</v>
      </c>
      <c r="D44" s="913"/>
      <c r="E44" s="1"/>
      <c r="F44" s="1"/>
      <c r="G44" s="1"/>
      <c r="H44" s="1"/>
      <c r="I44" s="1"/>
      <c r="J44" s="1"/>
      <c r="K44" s="1"/>
      <c r="L44" s="1"/>
    </row>
    <row r="45" spans="1:12">
      <c r="A45" s="1"/>
      <c r="B45" s="32">
        <v>2018</v>
      </c>
      <c r="C45" s="913">
        <v>3691</v>
      </c>
      <c r="D45" s="913"/>
      <c r="E45" s="1"/>
      <c r="F45" s="1"/>
      <c r="G45" s="1"/>
      <c r="H45" s="1"/>
      <c r="I45" s="1"/>
      <c r="J45" s="1"/>
      <c r="K45" s="1"/>
      <c r="L45" s="1"/>
    </row>
    <row r="46" spans="1:12">
      <c r="A46" s="1"/>
      <c r="B46" s="32">
        <v>2019</v>
      </c>
      <c r="C46" s="913">
        <v>3707</v>
      </c>
      <c r="D46" s="913"/>
      <c r="E46" s="1"/>
      <c r="F46" s="1"/>
      <c r="G46" s="1"/>
      <c r="H46" s="1"/>
      <c r="I46" s="1"/>
      <c r="J46" s="1"/>
      <c r="K46" s="1"/>
      <c r="L46" s="1"/>
    </row>
    <row r="47" spans="1:12">
      <c r="A47" s="1"/>
      <c r="B47" s="32">
        <v>2020</v>
      </c>
      <c r="C47" s="913">
        <v>3707</v>
      </c>
      <c r="D47" s="913"/>
      <c r="E47" s="1"/>
      <c r="F47" s="1"/>
      <c r="G47" s="1"/>
      <c r="H47" s="1"/>
      <c r="I47" s="1"/>
      <c r="J47" s="1"/>
      <c r="K47" s="1"/>
      <c r="L47" s="1"/>
    </row>
    <row r="48" spans="1:12">
      <c r="A48" s="1"/>
      <c r="B48" s="32">
        <v>2021</v>
      </c>
      <c r="C48" s="913">
        <v>3693</v>
      </c>
      <c r="D48" s="913"/>
      <c r="E48" s="1"/>
      <c r="F48" s="1"/>
      <c r="G48" s="1"/>
      <c r="H48" s="1"/>
      <c r="I48" s="1"/>
      <c r="J48" s="1"/>
      <c r="K48" s="1"/>
      <c r="L48" s="1"/>
    </row>
    <row r="49" spans="1:18">
      <c r="A49" s="1"/>
      <c r="B49" s="1"/>
      <c r="C49" s="1"/>
      <c r="D49" s="1"/>
      <c r="E49" s="1"/>
      <c r="F49" s="1"/>
      <c r="G49" s="1"/>
      <c r="H49" s="1"/>
      <c r="I49" s="1"/>
      <c r="J49" s="1"/>
      <c r="K49" s="1"/>
      <c r="L49" s="1"/>
    </row>
    <row r="50" spans="1:18">
      <c r="A50" s="1"/>
      <c r="B50" s="204" t="s">
        <v>1144</v>
      </c>
      <c r="C50" s="1"/>
      <c r="D50" s="1"/>
      <c r="E50" s="1"/>
      <c r="F50" s="1"/>
      <c r="G50" s="1"/>
      <c r="H50" s="1"/>
      <c r="I50" s="1"/>
      <c r="J50" s="1"/>
      <c r="K50" s="1"/>
      <c r="L50" s="1"/>
    </row>
    <row r="51" spans="1:18">
      <c r="A51" s="1"/>
      <c r="B51" s="1" t="s">
        <v>1145</v>
      </c>
      <c r="C51" s="1"/>
      <c r="D51" s="1"/>
      <c r="E51" s="377">
        <v>0.05</v>
      </c>
      <c r="F51" s="1"/>
      <c r="G51" s="1"/>
      <c r="H51" s="1"/>
      <c r="I51" s="1"/>
      <c r="J51" s="1"/>
      <c r="K51" s="1"/>
      <c r="L51" s="1"/>
    </row>
    <row r="52" spans="1:18">
      <c r="A52" s="1"/>
      <c r="B52" s="1"/>
      <c r="C52" s="1"/>
      <c r="D52" s="1"/>
      <c r="E52" s="1"/>
      <c r="F52" s="1"/>
      <c r="G52" s="1"/>
      <c r="H52" s="1"/>
      <c r="I52" s="1"/>
      <c r="J52" s="1"/>
      <c r="K52" s="1"/>
      <c r="L52" s="1"/>
    </row>
    <row r="53" spans="1:18">
      <c r="A53" s="1" t="s">
        <v>1146</v>
      </c>
      <c r="B53" s="1"/>
      <c r="C53" s="1"/>
      <c r="D53" s="1"/>
      <c r="E53" s="1"/>
      <c r="F53" s="1"/>
      <c r="G53" s="1"/>
      <c r="H53" s="1"/>
      <c r="I53" s="1"/>
      <c r="J53" s="1"/>
      <c r="K53" s="1"/>
      <c r="L53" s="1"/>
    </row>
    <row r="54" spans="1:18">
      <c r="A54" s="1"/>
      <c r="B54" s="1"/>
      <c r="C54" s="1"/>
      <c r="D54" s="1"/>
      <c r="E54" s="1"/>
      <c r="F54" s="1"/>
      <c r="G54" s="1"/>
      <c r="H54" s="1"/>
      <c r="I54" s="1"/>
      <c r="J54" s="1"/>
      <c r="K54" s="1"/>
      <c r="L54" s="1"/>
    </row>
    <row r="56" spans="1:18">
      <c r="A56" s="17" t="s">
        <v>91</v>
      </c>
      <c r="B56" s="1" t="s">
        <v>1147</v>
      </c>
      <c r="C56" s="1"/>
      <c r="D56" s="1"/>
      <c r="E56" s="1"/>
      <c r="F56" s="1"/>
      <c r="G56" s="1"/>
      <c r="H56" s="1"/>
      <c r="I56" s="1"/>
      <c r="J56" s="1"/>
      <c r="K56" s="1"/>
      <c r="L56" s="1"/>
      <c r="M56" s="9"/>
      <c r="N56" s="9"/>
      <c r="O56" s="9"/>
      <c r="P56" s="9"/>
      <c r="Q56" s="9"/>
      <c r="R56" s="9"/>
    </row>
    <row r="57" spans="1:18">
      <c r="A57" s="14"/>
      <c r="B57" s="14"/>
      <c r="C57" s="14"/>
      <c r="D57" s="14"/>
      <c r="E57" s="14"/>
      <c r="F57" s="14"/>
      <c r="G57" s="1"/>
      <c r="H57" s="1"/>
      <c r="I57" s="1"/>
      <c r="J57" s="1"/>
      <c r="K57" s="1"/>
      <c r="L57" s="1"/>
    </row>
    <row r="58" spans="1:18">
      <c r="A58" s="3"/>
      <c r="B58" s="3"/>
      <c r="C58" s="3"/>
      <c r="D58" s="3"/>
      <c r="E58" s="3"/>
      <c r="F58" s="3"/>
      <c r="G58" s="3"/>
      <c r="H58" s="3"/>
      <c r="I58" s="3"/>
      <c r="J58" s="3"/>
      <c r="K58" s="3"/>
      <c r="L58" s="3"/>
      <c r="M58" s="3"/>
    </row>
    <row r="59" spans="1:18">
      <c r="A59" s="3" t="s">
        <v>20</v>
      </c>
      <c r="B59" s="3"/>
      <c r="C59" s="3"/>
      <c r="D59" s="3"/>
      <c r="E59" s="3"/>
      <c r="F59" s="3"/>
      <c r="G59" s="3"/>
      <c r="H59" s="3"/>
      <c r="I59" s="3"/>
      <c r="J59" s="3"/>
      <c r="K59" s="3"/>
      <c r="L59" s="3"/>
      <c r="M59" s="3"/>
      <c r="N59" s="9"/>
    </row>
    <row r="60" spans="1:18">
      <c r="A60" s="3"/>
      <c r="B60" s="3"/>
      <c r="C60" s="3"/>
      <c r="D60" s="3"/>
      <c r="E60" s="3"/>
      <c r="F60" s="3"/>
      <c r="G60" s="3"/>
      <c r="H60" s="3"/>
      <c r="I60" s="3"/>
      <c r="J60" s="3"/>
      <c r="K60" s="3"/>
      <c r="L60" s="3"/>
      <c r="M60" s="3"/>
      <c r="N60" s="9"/>
    </row>
    <row r="61" spans="1:18" ht="15.6" customHeight="1">
      <c r="A61" s="3"/>
      <c r="B61" s="3" t="s">
        <v>1148</v>
      </c>
      <c r="C61" s="3"/>
      <c r="D61" s="3"/>
      <c r="E61" s="3"/>
      <c r="F61" s="3"/>
      <c r="G61" s="3"/>
      <c r="H61" s="3"/>
      <c r="I61" s="3"/>
      <c r="J61" s="3"/>
      <c r="K61" s="3"/>
      <c r="L61" s="3"/>
      <c r="M61" s="3"/>
      <c r="N61" s="9"/>
    </row>
    <row r="62" spans="1:18">
      <c r="A62" s="3"/>
      <c r="B62" s="3"/>
      <c r="C62" s="3"/>
      <c r="D62" s="3"/>
      <c r="E62" s="3"/>
      <c r="F62" s="3"/>
      <c r="G62" s="3"/>
      <c r="H62" s="3"/>
      <c r="I62" s="3"/>
      <c r="J62" s="3"/>
      <c r="K62" s="3"/>
      <c r="L62" s="3"/>
      <c r="M62" s="3"/>
      <c r="N62" s="9"/>
    </row>
    <row r="63" spans="1:18">
      <c r="A63" s="3"/>
      <c r="B63" s="94" t="s">
        <v>53</v>
      </c>
      <c r="C63" s="844" t="s">
        <v>1149</v>
      </c>
      <c r="D63" s="844"/>
      <c r="E63" s="844"/>
      <c r="F63" s="844"/>
      <c r="G63" s="844"/>
      <c r="H63" s="844"/>
      <c r="I63" s="3"/>
      <c r="J63" s="3"/>
      <c r="K63" s="3"/>
      <c r="L63" s="3"/>
      <c r="M63" s="3"/>
      <c r="N63" s="9"/>
    </row>
    <row r="64" spans="1:18">
      <c r="A64" s="3"/>
      <c r="B64" s="107" t="s">
        <v>55</v>
      </c>
      <c r="C64" s="107">
        <v>12</v>
      </c>
      <c r="D64" s="107">
        <v>24</v>
      </c>
      <c r="E64" s="107">
        <v>36</v>
      </c>
      <c r="F64" s="107">
        <v>48</v>
      </c>
      <c r="G64" s="107">
        <v>60</v>
      </c>
      <c r="H64" s="107">
        <v>72</v>
      </c>
      <c r="I64" s="3"/>
      <c r="J64" s="3"/>
      <c r="K64" s="3"/>
      <c r="L64" s="3"/>
      <c r="M64" s="3"/>
      <c r="N64" s="9"/>
    </row>
    <row r="65" spans="1:14">
      <c r="A65" s="3"/>
      <c r="B65" s="94">
        <v>2016</v>
      </c>
      <c r="C65" s="106">
        <f>(C7-C16)/(C25-C34)</f>
        <v>15947.670054730257</v>
      </c>
      <c r="D65" s="106">
        <f t="shared" ref="D65:H65" si="0">(D7-D16)/(D25-D34)</f>
        <v>18451.217887725976</v>
      </c>
      <c r="E65" s="106">
        <f t="shared" si="0"/>
        <v>23047.097744360901</v>
      </c>
      <c r="F65" s="106">
        <f t="shared" si="0"/>
        <v>26125.635018495683</v>
      </c>
      <c r="G65" s="106">
        <f t="shared" si="0"/>
        <v>27935.773049645391</v>
      </c>
      <c r="H65" s="106">
        <f t="shared" si="0"/>
        <v>32733.315508021391</v>
      </c>
      <c r="I65" s="3"/>
      <c r="J65" s="3"/>
      <c r="K65" s="3"/>
      <c r="L65" s="3"/>
      <c r="M65" s="3"/>
      <c r="N65" s="9"/>
    </row>
    <row r="66" spans="1:14">
      <c r="A66" s="3"/>
      <c r="B66" s="94">
        <v>2017</v>
      </c>
      <c r="C66" s="106">
        <f t="shared" ref="C66:G70" si="1">(C8-C17)/(C26-C35)</f>
        <v>16881.239255014327</v>
      </c>
      <c r="D66" s="106">
        <f t="shared" si="1"/>
        <v>19537.407757805107</v>
      </c>
      <c r="E66" s="106">
        <f t="shared" si="1"/>
        <v>24086.723356009072</v>
      </c>
      <c r="F66" s="106">
        <f t="shared" si="1"/>
        <v>27664.19689119171</v>
      </c>
      <c r="G66" s="106">
        <f t="shared" si="1"/>
        <v>32428.538961038961</v>
      </c>
      <c r="H66" s="106"/>
      <c r="I66" s="3"/>
      <c r="J66" s="3"/>
      <c r="K66" s="3"/>
      <c r="L66" s="3"/>
      <c r="M66" s="3"/>
      <c r="N66" s="9"/>
    </row>
    <row r="67" spans="1:14">
      <c r="A67" s="3"/>
      <c r="B67" s="94">
        <v>2018</v>
      </c>
      <c r="C67" s="106">
        <f t="shared" si="1"/>
        <v>17815.716981132075</v>
      </c>
      <c r="D67" s="106">
        <f t="shared" si="1"/>
        <v>20541.119617224882</v>
      </c>
      <c r="E67" s="106">
        <f t="shared" si="1"/>
        <v>25485.724815724814</v>
      </c>
      <c r="F67" s="106">
        <f t="shared" si="1"/>
        <v>32125.027472527472</v>
      </c>
      <c r="G67" s="106"/>
      <c r="H67" s="106"/>
      <c r="I67" s="3"/>
      <c r="J67" s="3"/>
      <c r="K67" s="3"/>
      <c r="L67" s="3"/>
      <c r="M67" s="3"/>
      <c r="N67" s="9"/>
    </row>
    <row r="68" spans="1:14">
      <c r="A68" s="3"/>
      <c r="B68" s="94">
        <v>2019</v>
      </c>
      <c r="C68" s="106">
        <f t="shared" si="1"/>
        <v>18880.603621730381</v>
      </c>
      <c r="D68" s="106">
        <f t="shared" si="1"/>
        <v>21761.193317422436</v>
      </c>
      <c r="E68" s="106">
        <f t="shared" si="1"/>
        <v>29338.669354838708</v>
      </c>
      <c r="F68" s="106"/>
      <c r="G68" s="106"/>
      <c r="H68" s="106"/>
      <c r="I68" s="3"/>
      <c r="J68" s="3"/>
      <c r="K68" s="3"/>
      <c r="L68" s="3"/>
      <c r="M68" s="3"/>
      <c r="N68" s="9"/>
    </row>
    <row r="69" spans="1:14">
      <c r="A69" s="3"/>
      <c r="B69" s="94">
        <v>2020</v>
      </c>
      <c r="C69" s="106">
        <f t="shared" si="1"/>
        <v>19690.240103828684</v>
      </c>
      <c r="D69" s="106">
        <f t="shared" si="1"/>
        <v>25184.592833876221</v>
      </c>
      <c r="E69" s="106"/>
      <c r="F69" s="106"/>
      <c r="G69" s="106"/>
      <c r="H69" s="106"/>
      <c r="I69" s="3"/>
      <c r="J69" s="3"/>
      <c r="K69" s="3"/>
      <c r="L69" s="3"/>
      <c r="M69" s="3"/>
      <c r="N69" s="9"/>
    </row>
    <row r="70" spans="1:14">
      <c r="A70" s="3"/>
      <c r="B70" s="94">
        <v>2021</v>
      </c>
      <c r="C70" s="106">
        <f t="shared" si="1"/>
        <v>22360.438729198184</v>
      </c>
      <c r="D70" s="106"/>
      <c r="E70" s="106"/>
      <c r="F70" s="106"/>
      <c r="G70" s="106"/>
      <c r="H70" s="106"/>
      <c r="I70" s="3"/>
      <c r="J70" s="3"/>
      <c r="K70" s="3"/>
      <c r="L70" s="3"/>
      <c r="M70" s="3"/>
      <c r="N70" s="9"/>
    </row>
    <row r="71" spans="1:14">
      <c r="A71" s="3"/>
      <c r="B71" s="3"/>
      <c r="C71" s="3"/>
      <c r="D71" s="3"/>
      <c r="E71" s="3"/>
      <c r="F71" s="3"/>
      <c r="G71" s="3"/>
      <c r="H71" s="3"/>
      <c r="I71" s="3"/>
      <c r="J71" s="3"/>
      <c r="K71" s="3"/>
      <c r="L71" s="3"/>
      <c r="M71" s="3"/>
      <c r="N71" s="9"/>
    </row>
    <row r="72" spans="1:14">
      <c r="A72" s="3"/>
      <c r="B72" s="94" t="s">
        <v>53</v>
      </c>
      <c r="C72" s="844" t="s">
        <v>1150</v>
      </c>
      <c r="D72" s="844"/>
      <c r="E72" s="844"/>
      <c r="F72" s="844"/>
      <c r="G72" s="844"/>
      <c r="H72" s="3"/>
      <c r="I72" s="3"/>
      <c r="J72" s="3"/>
      <c r="K72" s="3"/>
      <c r="L72" s="3"/>
      <c r="M72" s="3"/>
      <c r="N72" s="9"/>
    </row>
    <row r="73" spans="1:14">
      <c r="A73" s="3"/>
      <c r="B73" s="107" t="s">
        <v>55</v>
      </c>
      <c r="C73" s="107">
        <f>C64</f>
        <v>12</v>
      </c>
      <c r="D73" s="107">
        <f t="shared" ref="D73:G73" si="2">D64</f>
        <v>24</v>
      </c>
      <c r="E73" s="107">
        <f t="shared" si="2"/>
        <v>36</v>
      </c>
      <c r="F73" s="107">
        <f t="shared" si="2"/>
        <v>48</v>
      </c>
      <c r="G73" s="107">
        <f t="shared" si="2"/>
        <v>60</v>
      </c>
      <c r="H73" s="3"/>
      <c r="I73" s="3"/>
      <c r="J73" s="3"/>
      <c r="K73" s="3"/>
      <c r="L73" s="3"/>
      <c r="M73" s="3"/>
      <c r="N73" s="9"/>
    </row>
    <row r="74" spans="1:14">
      <c r="A74" s="3"/>
      <c r="B74" s="94" t="str">
        <f>B65&amp;"-"&amp;B66</f>
        <v>2016-2017</v>
      </c>
      <c r="C74" s="136">
        <f>C66/C65-1</f>
        <v>5.8539535686416011E-2</v>
      </c>
      <c r="D74" s="136">
        <f t="shared" ref="D74:G74" si="3">D66/D65-1</f>
        <v>5.8868193779321176E-2</v>
      </c>
      <c r="E74" s="136">
        <f t="shared" si="3"/>
        <v>4.5108743112895588E-2</v>
      </c>
      <c r="F74" s="136">
        <f t="shared" si="3"/>
        <v>5.889088902936912E-2</v>
      </c>
      <c r="G74" s="136">
        <f t="shared" si="3"/>
        <v>0.16082482855975955</v>
      </c>
      <c r="H74" s="3"/>
      <c r="I74" s="3"/>
      <c r="J74" s="3"/>
      <c r="K74" s="3"/>
      <c r="L74" s="3"/>
      <c r="M74" s="3"/>
      <c r="N74" s="9"/>
    </row>
    <row r="75" spans="1:14">
      <c r="A75" s="3"/>
      <c r="B75" s="94" t="str">
        <f t="shared" ref="B75:B78" si="4">B66&amp;"-"&amp;B67</f>
        <v>2017-2018</v>
      </c>
      <c r="C75" s="136">
        <f t="shared" ref="C75:F78" si="5">C67/C66-1</f>
        <v>5.5355990872540728E-2</v>
      </c>
      <c r="D75" s="136">
        <f t="shared" si="5"/>
        <v>5.1373850198668025E-2</v>
      </c>
      <c r="E75" s="136">
        <f t="shared" si="5"/>
        <v>5.8081850280674363E-2</v>
      </c>
      <c r="F75" s="136">
        <f t="shared" si="5"/>
        <v>0.16124923484607256</v>
      </c>
      <c r="G75" s="136"/>
      <c r="H75" s="3"/>
      <c r="I75" s="3"/>
      <c r="J75" s="3"/>
      <c r="K75" s="3"/>
      <c r="L75" s="3"/>
      <c r="M75" s="3"/>
      <c r="N75" s="9"/>
    </row>
    <row r="76" spans="1:14">
      <c r="B76" s="94" t="str">
        <f t="shared" si="4"/>
        <v>2018-2019</v>
      </c>
      <c r="C76" s="136">
        <f t="shared" si="5"/>
        <v>5.9772314621190148E-2</v>
      </c>
      <c r="D76" s="136">
        <f t="shared" si="5"/>
        <v>5.939665037413322E-2</v>
      </c>
      <c r="E76" s="136">
        <f t="shared" si="5"/>
        <v>0.15118049680645562</v>
      </c>
      <c r="F76" s="136"/>
      <c r="G76" s="136"/>
      <c r="H76" s="3"/>
      <c r="I76" s="3"/>
      <c r="J76" s="3"/>
      <c r="K76" s="3"/>
      <c r="M76" s="9"/>
      <c r="N76" s="9"/>
    </row>
    <row r="77" spans="1:14">
      <c r="B77" s="94" t="str">
        <f t="shared" si="4"/>
        <v>2019-2020</v>
      </c>
      <c r="C77" s="136">
        <f t="shared" si="5"/>
        <v>4.2881917247945545E-2</v>
      </c>
      <c r="D77" s="136">
        <f t="shared" si="5"/>
        <v>0.15731671818350801</v>
      </c>
      <c r="E77" s="136"/>
      <c r="F77" s="136"/>
      <c r="G77" s="136"/>
      <c r="H77" s="3"/>
      <c r="I77" s="3"/>
      <c r="J77" s="3"/>
      <c r="K77" s="3"/>
      <c r="M77" s="9"/>
      <c r="N77" s="9"/>
    </row>
    <row r="78" spans="1:14">
      <c r="B78" s="94" t="str">
        <f t="shared" si="4"/>
        <v>2020-2021</v>
      </c>
      <c r="C78" s="136">
        <f t="shared" si="5"/>
        <v>0.13561026230707518</v>
      </c>
      <c r="D78" s="136"/>
      <c r="E78" s="136"/>
      <c r="F78" s="136"/>
      <c r="G78" s="136"/>
      <c r="H78" s="3"/>
      <c r="I78" s="3"/>
      <c r="J78" s="3"/>
      <c r="K78" s="3"/>
      <c r="M78" s="9"/>
      <c r="N78" s="9"/>
    </row>
    <row r="79" spans="1:14">
      <c r="C79" s="459"/>
      <c r="D79" s="459"/>
      <c r="E79" s="459"/>
      <c r="F79" s="459"/>
      <c r="G79" s="459"/>
      <c r="H79" s="3"/>
      <c r="I79" s="3"/>
      <c r="J79" s="3"/>
      <c r="K79" s="3"/>
      <c r="M79" s="9"/>
      <c r="N79" s="9"/>
    </row>
    <row r="80" spans="1:14">
      <c r="B80" s="274" t="s">
        <v>1151</v>
      </c>
      <c r="C80" s="3"/>
      <c r="D80" s="3"/>
      <c r="E80" s="3"/>
      <c r="F80" s="3"/>
      <c r="G80" s="3"/>
      <c r="H80" s="3"/>
      <c r="I80" s="3"/>
      <c r="J80" s="3"/>
      <c r="K80" s="3"/>
      <c r="M80" s="9"/>
      <c r="N80" s="9"/>
    </row>
    <row r="82" spans="1:13">
      <c r="A82" s="17" t="s">
        <v>133</v>
      </c>
      <c r="B82" s="831" t="s">
        <v>1152</v>
      </c>
      <c r="C82" s="831"/>
      <c r="D82" s="831"/>
      <c r="E82" s="831"/>
      <c r="F82" s="831"/>
      <c r="G82" s="831"/>
      <c r="H82" s="831"/>
      <c r="I82" s="831"/>
      <c r="J82" s="831"/>
      <c r="K82" s="831"/>
      <c r="L82" s="1"/>
    </row>
    <row r="83" spans="1:13">
      <c r="A83" s="17"/>
      <c r="B83" s="831"/>
      <c r="C83" s="831"/>
      <c r="D83" s="831"/>
      <c r="E83" s="831"/>
      <c r="F83" s="831"/>
      <c r="G83" s="831"/>
      <c r="H83" s="831"/>
      <c r="I83" s="831"/>
      <c r="J83" s="831"/>
      <c r="K83" s="831"/>
      <c r="L83" s="1"/>
    </row>
    <row r="84" spans="1:13">
      <c r="A84" s="14"/>
      <c r="B84" s="14"/>
      <c r="C84" s="14"/>
      <c r="D84" s="14"/>
      <c r="E84" s="14"/>
      <c r="F84" s="14"/>
      <c r="G84" s="1"/>
      <c r="H84" s="1"/>
      <c r="I84" s="1"/>
      <c r="J84" s="1"/>
      <c r="K84" s="1"/>
      <c r="L84" s="1"/>
    </row>
    <row r="85" spans="1:13">
      <c r="A85" s="3"/>
      <c r="B85" s="3"/>
      <c r="C85" s="3"/>
      <c r="D85" s="3"/>
      <c r="E85" s="3"/>
      <c r="F85" s="3"/>
      <c r="G85" s="3"/>
      <c r="H85" s="3"/>
      <c r="I85" s="3"/>
      <c r="J85" s="3"/>
      <c r="K85" s="3"/>
      <c r="L85" s="3"/>
    </row>
    <row r="86" spans="1:13">
      <c r="A86" s="3" t="s">
        <v>20</v>
      </c>
      <c r="B86" s="3"/>
      <c r="C86" s="3"/>
      <c r="D86" s="3"/>
      <c r="E86" s="3"/>
      <c r="F86" s="3"/>
      <c r="G86" s="3"/>
      <c r="H86" s="3"/>
      <c r="I86" s="3"/>
      <c r="J86" s="3"/>
      <c r="K86" s="3"/>
      <c r="L86" s="3"/>
    </row>
    <row r="87" spans="1:13">
      <c r="A87" s="3"/>
      <c r="B87" s="416" t="s">
        <v>1153</v>
      </c>
      <c r="C87" s="3"/>
      <c r="D87" s="3"/>
      <c r="E87" s="3"/>
      <c r="F87" s="3"/>
      <c r="G87" s="3"/>
      <c r="H87" s="3"/>
      <c r="I87" s="3"/>
      <c r="J87" s="3"/>
      <c r="K87" s="3"/>
      <c r="L87" s="3"/>
    </row>
    <row r="88" spans="1:13">
      <c r="A88" s="3"/>
      <c r="C88" s="416" t="s">
        <v>1154</v>
      </c>
      <c r="D88" s="3"/>
      <c r="E88" s="3"/>
      <c r="F88" s="3"/>
      <c r="G88" s="3"/>
      <c r="H88" s="3"/>
      <c r="I88" s="3"/>
      <c r="J88" s="3"/>
      <c r="K88" s="3"/>
      <c r="L88" s="3"/>
    </row>
    <row r="89" spans="1:13">
      <c r="C89" s="416" t="s">
        <v>1155</v>
      </c>
      <c r="M89" s="3"/>
    </row>
    <row r="90" spans="1:13">
      <c r="C90" s="416" t="s">
        <v>1156</v>
      </c>
      <c r="M90" s="3"/>
    </row>
    <row r="92" spans="1:13">
      <c r="A92" s="1"/>
      <c r="B92" s="1"/>
      <c r="C92" s="1"/>
      <c r="D92" s="1"/>
      <c r="E92" s="1"/>
      <c r="F92" s="1"/>
      <c r="G92" s="1"/>
      <c r="H92" s="1"/>
      <c r="I92" s="1"/>
      <c r="J92" s="1"/>
      <c r="K92" s="1"/>
      <c r="L92" s="1"/>
    </row>
    <row r="93" spans="1:13">
      <c r="A93" s="1" t="s">
        <v>1157</v>
      </c>
      <c r="B93" s="1"/>
      <c r="C93" s="1"/>
      <c r="D93" s="1"/>
      <c r="E93" s="1"/>
      <c r="F93" s="1"/>
      <c r="G93" s="1"/>
      <c r="H93" s="1"/>
      <c r="I93" s="1"/>
      <c r="J93" s="1"/>
      <c r="K93" s="1"/>
      <c r="L93" s="1"/>
    </row>
    <row r="94" spans="1:13">
      <c r="A94" s="1"/>
      <c r="B94" s="1"/>
      <c r="C94" s="1"/>
      <c r="D94" s="1"/>
      <c r="E94" s="1"/>
      <c r="F94" s="1"/>
      <c r="G94" s="1"/>
      <c r="H94" s="1"/>
      <c r="I94" s="1"/>
      <c r="J94" s="1"/>
      <c r="K94" s="1"/>
      <c r="L94" s="1"/>
    </row>
    <row r="96" spans="1:13">
      <c r="A96" s="17" t="s">
        <v>18</v>
      </c>
      <c r="B96" s="1" t="s">
        <v>1158</v>
      </c>
      <c r="C96" s="1"/>
      <c r="D96" s="1"/>
      <c r="E96" s="1"/>
      <c r="F96" s="1"/>
      <c r="G96" s="1"/>
      <c r="H96" s="1"/>
      <c r="I96" s="1"/>
      <c r="J96" s="1"/>
      <c r="K96" s="1"/>
      <c r="L96" s="1"/>
    </row>
    <row r="97" spans="1:12">
      <c r="A97" s="14"/>
      <c r="B97" s="14"/>
      <c r="C97" s="14"/>
      <c r="D97" s="14"/>
      <c r="E97" s="14"/>
      <c r="F97" s="14"/>
      <c r="G97" s="1"/>
      <c r="H97" s="1"/>
      <c r="I97" s="1"/>
      <c r="J97" s="1"/>
      <c r="K97" s="1"/>
      <c r="L97" s="1"/>
    </row>
    <row r="98" spans="1:12">
      <c r="A98" s="3"/>
      <c r="B98" s="3"/>
      <c r="C98" s="3"/>
      <c r="D98" s="3"/>
      <c r="E98" s="3"/>
      <c r="F98" s="3"/>
      <c r="G98" s="3"/>
      <c r="H98" s="3"/>
      <c r="I98" s="3"/>
      <c r="J98" s="3"/>
      <c r="K98" s="3"/>
      <c r="L98" s="3"/>
    </row>
    <row r="99" spans="1:12">
      <c r="A99" s="3" t="s">
        <v>20</v>
      </c>
      <c r="B99" s="3"/>
      <c r="C99" s="3"/>
      <c r="D99" s="3"/>
      <c r="E99" s="3"/>
      <c r="F99" s="3"/>
      <c r="G99" s="3"/>
      <c r="H99" s="3"/>
      <c r="I99" s="3"/>
      <c r="J99" s="3"/>
      <c r="K99" s="3"/>
      <c r="L99" s="3"/>
    </row>
    <row r="100" spans="1:12">
      <c r="A100" s="3"/>
      <c r="B100" s="3" t="s">
        <v>1159</v>
      </c>
      <c r="C100" s="3"/>
      <c r="D100" s="3"/>
      <c r="E100" s="3"/>
      <c r="F100" s="3"/>
      <c r="G100" s="3"/>
      <c r="H100" s="3"/>
      <c r="I100" s="3"/>
      <c r="J100" s="3"/>
      <c r="K100" s="3"/>
      <c r="L100" s="3"/>
    </row>
    <row r="101" spans="1:12">
      <c r="A101" s="3"/>
      <c r="B101" s="3"/>
      <c r="C101" s="3"/>
      <c r="D101" s="3"/>
      <c r="E101" s="3"/>
      <c r="F101" s="3"/>
      <c r="G101" s="3"/>
      <c r="H101" s="3"/>
      <c r="I101" s="3"/>
      <c r="J101" s="3"/>
      <c r="K101" s="3"/>
      <c r="L101" s="3"/>
    </row>
    <row r="102" spans="1:12">
      <c r="A102" s="3"/>
      <c r="B102" s="94" t="s">
        <v>53</v>
      </c>
      <c r="C102" s="844" t="s">
        <v>1160</v>
      </c>
      <c r="D102" s="844"/>
      <c r="E102" s="844"/>
      <c r="F102" s="844"/>
      <c r="G102" s="844"/>
      <c r="H102" s="844"/>
      <c r="I102" s="3"/>
      <c r="J102" s="3"/>
      <c r="K102" s="3"/>
      <c r="L102" s="3"/>
    </row>
    <row r="103" spans="1:12">
      <c r="B103" s="107" t="s">
        <v>55</v>
      </c>
      <c r="C103" s="107">
        <v>12</v>
      </c>
      <c r="D103" s="107">
        <v>24</v>
      </c>
      <c r="E103" s="107">
        <v>36</v>
      </c>
      <c r="F103" s="107">
        <v>48</v>
      </c>
      <c r="G103" s="107">
        <v>60</v>
      </c>
      <c r="H103" s="107">
        <v>72</v>
      </c>
    </row>
    <row r="104" spans="1:12">
      <c r="B104" s="94">
        <v>2016</v>
      </c>
      <c r="C104" s="311">
        <f>C34/$C43</f>
        <v>0.53360107095046849</v>
      </c>
      <c r="D104" s="311">
        <f t="shared" ref="D104:H104" si="6">D34/$C43</f>
        <v>0.66854082998661313</v>
      </c>
      <c r="E104" s="311">
        <f t="shared" si="6"/>
        <v>0.7713520749665328</v>
      </c>
      <c r="F104" s="311">
        <f t="shared" si="6"/>
        <v>0.78232931726907629</v>
      </c>
      <c r="G104" s="311">
        <f t="shared" si="6"/>
        <v>0.80883534136546187</v>
      </c>
      <c r="H104" s="311">
        <f t="shared" si="6"/>
        <v>0.94993306559571622</v>
      </c>
    </row>
    <row r="105" spans="1:12">
      <c r="B105" s="94">
        <v>2017</v>
      </c>
      <c r="C105" s="311">
        <f t="shared" ref="C105:G109" si="7">C35/$C44</f>
        <v>0.50361833288662561</v>
      </c>
      <c r="D105" s="311">
        <f t="shared" si="7"/>
        <v>0.6582685607075851</v>
      </c>
      <c r="E105" s="311">
        <f t="shared" si="7"/>
        <v>0.73063521844009649</v>
      </c>
      <c r="F105" s="311">
        <f t="shared" si="7"/>
        <v>0.78290002680246584</v>
      </c>
      <c r="G105" s="311">
        <f t="shared" si="7"/>
        <v>0.91503618332886627</v>
      </c>
      <c r="H105" s="311"/>
    </row>
    <row r="106" spans="1:12">
      <c r="B106" s="94">
        <v>2018</v>
      </c>
      <c r="C106" s="311">
        <f t="shared" si="7"/>
        <v>0.48794364670820917</v>
      </c>
      <c r="D106" s="311">
        <f t="shared" si="7"/>
        <v>0.65700352208073698</v>
      </c>
      <c r="E106" s="311">
        <f t="shared" si="7"/>
        <v>0.75751828772690333</v>
      </c>
      <c r="F106" s="311">
        <f t="shared" si="7"/>
        <v>0.89596315361690604</v>
      </c>
      <c r="G106" s="311"/>
      <c r="H106" s="311"/>
    </row>
    <row r="107" spans="1:12">
      <c r="B107" s="94">
        <v>2019</v>
      </c>
      <c r="C107" s="311">
        <f t="shared" si="7"/>
        <v>0.48017264634475315</v>
      </c>
      <c r="D107" s="311">
        <f t="shared" si="7"/>
        <v>0.69571081737253848</v>
      </c>
      <c r="E107" s="311">
        <f t="shared" si="7"/>
        <v>0.89776099271648235</v>
      </c>
      <c r="F107" s="311"/>
      <c r="G107" s="311"/>
      <c r="H107" s="311"/>
    </row>
    <row r="108" spans="1:12">
      <c r="B108" s="94">
        <v>2020</v>
      </c>
      <c r="C108" s="311">
        <f t="shared" si="7"/>
        <v>0.48637712435932018</v>
      </c>
      <c r="D108" s="311">
        <f t="shared" si="7"/>
        <v>0.77232263285675751</v>
      </c>
      <c r="E108" s="311"/>
      <c r="F108" s="311"/>
      <c r="G108" s="311"/>
      <c r="H108" s="311"/>
    </row>
    <row r="109" spans="1:12">
      <c r="B109" s="94">
        <v>2021</v>
      </c>
      <c r="C109" s="311">
        <f t="shared" si="7"/>
        <v>0.53290008123476851</v>
      </c>
      <c r="D109" s="311"/>
      <c r="E109" s="311"/>
      <c r="F109" s="311"/>
      <c r="G109" s="311"/>
      <c r="H109" s="311"/>
    </row>
    <row r="110" spans="1:12">
      <c r="B110" s="3"/>
      <c r="C110" s="3"/>
      <c r="D110" s="3"/>
      <c r="E110" s="3"/>
      <c r="F110" s="3"/>
      <c r="G110" s="3"/>
      <c r="H110" s="3"/>
    </row>
    <row r="111" spans="1:12">
      <c r="B111" s="3" t="s">
        <v>1161</v>
      </c>
      <c r="C111" s="3"/>
      <c r="D111" s="3"/>
      <c r="E111" s="3"/>
      <c r="F111" s="3"/>
      <c r="G111" s="3"/>
      <c r="H111" s="3"/>
    </row>
    <row r="113" spans="1:12">
      <c r="A113" s="17" t="s">
        <v>25</v>
      </c>
      <c r="B113" s="1" t="s">
        <v>1162</v>
      </c>
      <c r="C113" s="1"/>
      <c r="D113" s="1"/>
      <c r="E113" s="1"/>
      <c r="F113" s="1"/>
      <c r="G113" s="1"/>
      <c r="H113" s="1"/>
      <c r="I113" s="1"/>
      <c r="J113" s="1"/>
      <c r="K113" s="1"/>
      <c r="L113" s="1"/>
    </row>
    <row r="114" spans="1:12">
      <c r="A114" s="14"/>
      <c r="B114" s="14"/>
      <c r="C114" s="14"/>
      <c r="D114" s="14"/>
      <c r="E114" s="14"/>
      <c r="F114" s="14"/>
      <c r="G114" s="1"/>
      <c r="H114" s="1"/>
      <c r="I114" s="1"/>
      <c r="J114" s="1"/>
      <c r="K114" s="1"/>
      <c r="L114" s="1"/>
    </row>
    <row r="115" spans="1:12">
      <c r="A115" s="3"/>
      <c r="B115" s="3"/>
      <c r="C115" s="3"/>
      <c r="D115" s="3"/>
      <c r="E115" s="3"/>
      <c r="F115" s="3"/>
      <c r="G115" s="3"/>
      <c r="H115" s="3"/>
      <c r="I115" s="3"/>
      <c r="J115" s="3"/>
      <c r="K115" s="3"/>
      <c r="L115" s="3"/>
    </row>
    <row r="116" spans="1:12">
      <c r="A116" s="3" t="s">
        <v>20</v>
      </c>
      <c r="B116" s="3"/>
      <c r="C116" s="3"/>
      <c r="D116" s="3"/>
      <c r="E116" s="3"/>
      <c r="F116" s="3"/>
      <c r="G116" s="3"/>
      <c r="H116" s="3"/>
      <c r="I116" s="3"/>
      <c r="J116" s="3"/>
      <c r="K116" s="3"/>
      <c r="L116" s="3"/>
    </row>
    <row r="117" spans="1:12">
      <c r="A117" s="3"/>
      <c r="B117" s="3" t="s">
        <v>1163</v>
      </c>
      <c r="C117" s="3"/>
      <c r="D117" s="3"/>
      <c r="E117" s="3"/>
      <c r="F117" s="3"/>
      <c r="G117" s="3"/>
      <c r="H117" s="3"/>
      <c r="I117" s="3"/>
      <c r="J117" s="3"/>
      <c r="K117" s="3"/>
      <c r="L117" s="3"/>
    </row>
    <row r="118" spans="1:12">
      <c r="A118" s="3"/>
      <c r="B118" s="3"/>
      <c r="C118" s="3"/>
      <c r="D118" s="3"/>
      <c r="E118" s="3"/>
      <c r="F118" s="3"/>
      <c r="G118" s="3"/>
      <c r="H118" s="3"/>
      <c r="I118" s="3"/>
      <c r="J118" s="3"/>
      <c r="K118" s="3"/>
      <c r="L118" s="3"/>
    </row>
    <row r="119" spans="1:12">
      <c r="A119" s="3"/>
      <c r="B119" s="3"/>
      <c r="C119" s="460">
        <f>C103</f>
        <v>12</v>
      </c>
      <c r="D119" s="460">
        <f t="shared" ref="D119:H119" si="8">D103</f>
        <v>24</v>
      </c>
      <c r="E119" s="460">
        <f t="shared" si="8"/>
        <v>36</v>
      </c>
      <c r="F119" s="460">
        <f t="shared" si="8"/>
        <v>48</v>
      </c>
      <c r="G119" s="460">
        <f t="shared" si="8"/>
        <v>60</v>
      </c>
      <c r="H119" s="460">
        <f t="shared" si="8"/>
        <v>72</v>
      </c>
      <c r="I119" s="3"/>
      <c r="J119" s="3"/>
      <c r="K119" s="3"/>
      <c r="L119" s="3"/>
    </row>
    <row r="120" spans="1:12">
      <c r="B120" s="3"/>
      <c r="C120" s="461">
        <f>C109</f>
        <v>0.53290008123476851</v>
      </c>
      <c r="D120" s="461">
        <f>D108</f>
        <v>0.77232263285675751</v>
      </c>
      <c r="E120" s="461">
        <f>E107</f>
        <v>0.89776099271648235</v>
      </c>
      <c r="F120" s="461">
        <f>F106</f>
        <v>0.89596315361690604</v>
      </c>
      <c r="G120" s="461">
        <f>G105</f>
        <v>0.91503618332886627</v>
      </c>
      <c r="H120" s="461">
        <f>H104</f>
        <v>0.94993306559571622</v>
      </c>
    </row>
    <row r="122" spans="1:12">
      <c r="A122" s="17" t="s">
        <v>147</v>
      </c>
      <c r="B122" s="831" t="s">
        <v>1164</v>
      </c>
      <c r="C122" s="831"/>
      <c r="D122" s="831"/>
      <c r="E122" s="831"/>
      <c r="F122" s="831"/>
      <c r="G122" s="831"/>
      <c r="H122" s="831"/>
      <c r="I122" s="831"/>
      <c r="J122" s="831"/>
      <c r="K122" s="831"/>
      <c r="L122" s="1"/>
    </row>
    <row r="123" spans="1:12">
      <c r="A123" s="17"/>
      <c r="B123" s="831"/>
      <c r="C123" s="831"/>
      <c r="D123" s="831"/>
      <c r="E123" s="831"/>
      <c r="F123" s="831"/>
      <c r="G123" s="831"/>
      <c r="H123" s="831"/>
      <c r="I123" s="831"/>
      <c r="J123" s="831"/>
      <c r="K123" s="831"/>
      <c r="L123" s="1"/>
    </row>
    <row r="124" spans="1:12">
      <c r="A124" s="14"/>
      <c r="B124" s="14"/>
      <c r="C124" s="14"/>
      <c r="D124" s="14"/>
      <c r="E124" s="14"/>
      <c r="F124" s="14"/>
      <c r="G124" s="1"/>
      <c r="H124" s="1"/>
      <c r="I124" s="1"/>
      <c r="J124" s="1"/>
      <c r="K124" s="1"/>
      <c r="L124" s="1"/>
    </row>
    <row r="125" spans="1:12">
      <c r="A125" s="3"/>
      <c r="B125" s="3"/>
      <c r="C125" s="3"/>
      <c r="D125" s="3"/>
      <c r="E125" s="3"/>
      <c r="F125" s="3"/>
      <c r="G125" s="3"/>
      <c r="H125" s="3"/>
      <c r="I125" s="3"/>
      <c r="J125" s="3"/>
      <c r="K125" s="3"/>
      <c r="L125" s="3"/>
    </row>
    <row r="126" spans="1:12">
      <c r="A126" s="3" t="s">
        <v>20</v>
      </c>
      <c r="B126" s="3"/>
      <c r="C126" s="3"/>
      <c r="D126" s="3"/>
      <c r="E126" s="3"/>
      <c r="F126" s="3"/>
      <c r="G126" s="3"/>
      <c r="H126" s="3"/>
      <c r="I126" s="3"/>
      <c r="J126" s="3"/>
      <c r="K126" s="3"/>
      <c r="L126" s="3"/>
    </row>
    <row r="127" spans="1:12">
      <c r="A127" s="3"/>
      <c r="B127" s="94" t="s">
        <v>53</v>
      </c>
      <c r="C127" s="844" t="s">
        <v>1165</v>
      </c>
      <c r="D127" s="844"/>
      <c r="E127" s="844"/>
      <c r="F127" s="844"/>
      <c r="G127" s="844"/>
      <c r="H127" s="844"/>
      <c r="I127" s="3"/>
      <c r="J127" s="3"/>
      <c r="K127" s="3"/>
      <c r="L127" s="3"/>
    </row>
    <row r="128" spans="1:12">
      <c r="A128" s="3"/>
      <c r="B128" s="107" t="s">
        <v>55</v>
      </c>
      <c r="C128" s="107">
        <v>12</v>
      </c>
      <c r="D128" s="107">
        <v>24</v>
      </c>
      <c r="E128" s="107">
        <v>36</v>
      </c>
      <c r="F128" s="107">
        <v>48</v>
      </c>
      <c r="G128" s="107">
        <v>60</v>
      </c>
      <c r="H128" s="107">
        <v>72</v>
      </c>
      <c r="I128" s="3"/>
      <c r="J128" s="3"/>
      <c r="K128" s="3"/>
      <c r="L128" s="3"/>
    </row>
    <row r="129" spans="2:8">
      <c r="B129" s="94">
        <v>2016</v>
      </c>
      <c r="C129" s="106">
        <f t="shared" ref="C129:F132" si="9">C130/(1+$E$51)</f>
        <v>17519.988838041507</v>
      </c>
      <c r="D129" s="106">
        <f t="shared" si="9"/>
        <v>20719.426851055858</v>
      </c>
      <c r="E129" s="106">
        <f t="shared" si="9"/>
        <v>25343.845679592876</v>
      </c>
      <c r="F129" s="106">
        <f t="shared" si="9"/>
        <v>29138.346913857113</v>
      </c>
      <c r="G129" s="106">
        <f>G130/(1+$E$51)</f>
        <v>30884.322820037105</v>
      </c>
      <c r="H129" s="186">
        <f>H65</f>
        <v>32733.315508021391</v>
      </c>
    </row>
    <row r="130" spans="2:8">
      <c r="B130" s="94">
        <v>2017</v>
      </c>
      <c r="C130" s="106">
        <f t="shared" si="9"/>
        <v>18395.988279943584</v>
      </c>
      <c r="D130" s="106">
        <f t="shared" si="9"/>
        <v>21755.398193608653</v>
      </c>
      <c r="E130" s="106">
        <f t="shared" si="9"/>
        <v>26611.037963572522</v>
      </c>
      <c r="F130" s="106">
        <f t="shared" si="9"/>
        <v>30595.264259549971</v>
      </c>
      <c r="G130" s="186">
        <f>G66</f>
        <v>32428.538961038961</v>
      </c>
      <c r="H130" s="106"/>
    </row>
    <row r="131" spans="2:8">
      <c r="B131" s="94">
        <v>2018</v>
      </c>
      <c r="C131" s="106">
        <f t="shared" si="9"/>
        <v>19315.787693940765</v>
      </c>
      <c r="D131" s="106">
        <f t="shared" si="9"/>
        <v>22843.168103289085</v>
      </c>
      <c r="E131" s="106">
        <f t="shared" si="9"/>
        <v>27941.589861751148</v>
      </c>
      <c r="F131" s="186">
        <f>F67</f>
        <v>32125.027472527472</v>
      </c>
      <c r="G131" s="106"/>
      <c r="H131" s="106"/>
    </row>
    <row r="132" spans="2:8">
      <c r="B132" s="94">
        <v>2019</v>
      </c>
      <c r="C132" s="106">
        <f t="shared" si="9"/>
        <v>20281.577078637805</v>
      </c>
      <c r="D132" s="106">
        <f t="shared" si="9"/>
        <v>23985.326508453541</v>
      </c>
      <c r="E132" s="186">
        <f>E68</f>
        <v>29338.669354838708</v>
      </c>
      <c r="F132" s="106"/>
      <c r="G132" s="106"/>
      <c r="H132" s="106"/>
    </row>
    <row r="133" spans="2:8">
      <c r="B133" s="94">
        <v>2020</v>
      </c>
      <c r="C133" s="106">
        <f>C134/(1+$E$51)</f>
        <v>21295.655932569698</v>
      </c>
      <c r="D133" s="186">
        <f>D69</f>
        <v>25184.592833876221</v>
      </c>
      <c r="E133" s="106"/>
      <c r="F133" s="106"/>
      <c r="G133" s="106"/>
      <c r="H133" s="106"/>
    </row>
    <row r="134" spans="2:8">
      <c r="B134" s="94">
        <v>2021</v>
      </c>
      <c r="C134" s="186">
        <f>C70</f>
        <v>22360.438729198184</v>
      </c>
      <c r="D134" s="106"/>
      <c r="E134" s="106"/>
      <c r="F134" s="106"/>
      <c r="G134" s="106"/>
      <c r="H134" s="106"/>
    </row>
    <row r="135" spans="2:8">
      <c r="B135" s="3"/>
      <c r="C135" s="3"/>
      <c r="D135" s="3"/>
      <c r="E135" s="3"/>
      <c r="F135" s="3"/>
      <c r="G135" s="3"/>
      <c r="H135" s="3"/>
    </row>
    <row r="136" spans="2:8">
      <c r="B136" s="94" t="s">
        <v>53</v>
      </c>
      <c r="C136" s="844" t="s">
        <v>1166</v>
      </c>
      <c r="D136" s="844"/>
      <c r="E136" s="844"/>
      <c r="F136" s="844"/>
      <c r="G136" s="844"/>
      <c r="H136" s="844"/>
    </row>
    <row r="137" spans="2:8">
      <c r="B137" s="107" t="s">
        <v>55</v>
      </c>
      <c r="C137" s="107">
        <v>12</v>
      </c>
      <c r="D137" s="107">
        <v>24</v>
      </c>
      <c r="E137" s="107">
        <v>36</v>
      </c>
      <c r="F137" s="107">
        <v>48</v>
      </c>
      <c r="G137" s="107">
        <v>60</v>
      </c>
      <c r="H137" s="107">
        <v>72</v>
      </c>
    </row>
    <row r="138" spans="2:8">
      <c r="B138" s="94">
        <v>2016</v>
      </c>
      <c r="C138" s="106">
        <f t="shared" ref="C138:F141" si="10">C$120*$C43</f>
        <v>1990.3818034118603</v>
      </c>
      <c r="D138" s="106">
        <f t="shared" si="10"/>
        <v>2884.6250337199895</v>
      </c>
      <c r="E138" s="106">
        <f t="shared" si="10"/>
        <v>3353.1373077960616</v>
      </c>
      <c r="F138" s="106">
        <f t="shared" si="10"/>
        <v>3346.4223787591441</v>
      </c>
      <c r="G138" s="106">
        <f>G$120*$C43</f>
        <v>3417.6601447333155</v>
      </c>
      <c r="H138" s="186">
        <f>H34</f>
        <v>3548</v>
      </c>
    </row>
    <row r="139" spans="2:8">
      <c r="B139" s="94">
        <v>2017</v>
      </c>
      <c r="C139" s="106">
        <f t="shared" si="10"/>
        <v>1988.2502030869214</v>
      </c>
      <c r="D139" s="106">
        <f t="shared" si="10"/>
        <v>2881.5357431885623</v>
      </c>
      <c r="E139" s="106">
        <f t="shared" si="10"/>
        <v>3349.5462638251956</v>
      </c>
      <c r="F139" s="106">
        <f t="shared" si="10"/>
        <v>3342.8385261446765</v>
      </c>
      <c r="G139" s="186">
        <f>G35</f>
        <v>3414</v>
      </c>
      <c r="H139" s="106"/>
    </row>
    <row r="140" spans="2:8">
      <c r="B140" s="94">
        <v>2018</v>
      </c>
      <c r="C140" s="106">
        <f t="shared" si="10"/>
        <v>1966.9341998375305</v>
      </c>
      <c r="D140" s="106">
        <f t="shared" si="10"/>
        <v>2850.6428378742921</v>
      </c>
      <c r="E140" s="106">
        <f t="shared" si="10"/>
        <v>3313.6358241165362</v>
      </c>
      <c r="F140" s="186">
        <f>F36</f>
        <v>3307</v>
      </c>
      <c r="G140" s="106"/>
      <c r="H140" s="106"/>
    </row>
    <row r="141" spans="2:8">
      <c r="B141" s="94">
        <v>2019</v>
      </c>
      <c r="C141" s="106">
        <f t="shared" si="10"/>
        <v>1975.4606011372869</v>
      </c>
      <c r="D141" s="106">
        <f t="shared" si="10"/>
        <v>2863</v>
      </c>
      <c r="E141" s="186">
        <f>E37</f>
        <v>3328</v>
      </c>
      <c r="F141" s="106"/>
      <c r="G141" s="106"/>
      <c r="H141" s="106"/>
    </row>
    <row r="142" spans="2:8">
      <c r="B142" s="94">
        <v>2020</v>
      </c>
      <c r="C142" s="106">
        <f>C$120*$C47</f>
        <v>1975.4606011372869</v>
      </c>
      <c r="D142" s="186">
        <f>D38</f>
        <v>2863</v>
      </c>
      <c r="E142" s="106"/>
      <c r="F142" s="106"/>
      <c r="G142" s="106"/>
      <c r="H142" s="106"/>
    </row>
    <row r="143" spans="2:8">
      <c r="B143" s="94">
        <v>2021</v>
      </c>
      <c r="C143" s="186">
        <f>C39</f>
        <v>1968</v>
      </c>
      <c r="D143" s="106"/>
      <c r="E143" s="106"/>
      <c r="F143" s="106"/>
      <c r="G143" s="106"/>
      <c r="H143" s="106"/>
    </row>
    <row r="144" spans="2:8">
      <c r="B144" s="3"/>
      <c r="C144" s="3"/>
      <c r="D144" s="3"/>
      <c r="E144" s="3"/>
      <c r="F144" s="3"/>
      <c r="G144" s="3"/>
      <c r="H144" s="3"/>
    </row>
    <row r="145" spans="2:8">
      <c r="B145" s="94" t="s">
        <v>53</v>
      </c>
      <c r="C145" s="844" t="s">
        <v>1167</v>
      </c>
      <c r="D145" s="844"/>
      <c r="E145" s="844"/>
      <c r="F145" s="844"/>
      <c r="G145" s="844"/>
      <c r="H145" s="844"/>
    </row>
    <row r="146" spans="2:8">
      <c r="B146" s="107" t="s">
        <v>55</v>
      </c>
      <c r="C146" s="107">
        <v>12</v>
      </c>
      <c r="D146" s="107">
        <v>24</v>
      </c>
      <c r="E146" s="107">
        <v>36</v>
      </c>
      <c r="F146" s="107">
        <v>48</v>
      </c>
      <c r="G146" s="107">
        <v>60</v>
      </c>
      <c r="H146" s="107">
        <v>72</v>
      </c>
    </row>
    <row r="147" spans="2:8">
      <c r="B147" s="94">
        <v>2016</v>
      </c>
      <c r="C147" s="106">
        <f>C25-C138</f>
        <v>1281.6181965881397</v>
      </c>
      <c r="D147" s="106">
        <f t="shared" ref="D147:G151" si="11">D25-D138</f>
        <v>663.37496628001054</v>
      </c>
      <c r="E147" s="106">
        <f t="shared" si="11"/>
        <v>192.86269220393842</v>
      </c>
      <c r="F147" s="106">
        <f t="shared" si="11"/>
        <v>386.57762124085593</v>
      </c>
      <c r="G147" s="106">
        <f t="shared" si="11"/>
        <v>308.33985526668448</v>
      </c>
      <c r="H147" s="106">
        <f>H25-H138</f>
        <v>187</v>
      </c>
    </row>
    <row r="148" spans="2:8">
      <c r="B148" s="94">
        <v>2017</v>
      </c>
      <c r="C148" s="106">
        <f t="shared" ref="C148:C152" si="12">C26-C139</f>
        <v>1286.7497969130786</v>
      </c>
      <c r="D148" s="106">
        <f t="shared" si="11"/>
        <v>631.46425681143774</v>
      </c>
      <c r="E148" s="106">
        <f t="shared" si="11"/>
        <v>258.45373617480436</v>
      </c>
      <c r="F148" s="106">
        <f t="shared" si="11"/>
        <v>350.16147385532349</v>
      </c>
      <c r="G148" s="106">
        <f t="shared" si="11"/>
        <v>308</v>
      </c>
      <c r="H148" s="106"/>
    </row>
    <row r="149" spans="2:8">
      <c r="B149" s="94">
        <v>2018</v>
      </c>
      <c r="C149" s="106">
        <f t="shared" si="12"/>
        <v>1424.0658001624695</v>
      </c>
      <c r="D149" s="106">
        <f t="shared" si="11"/>
        <v>619.35716212570787</v>
      </c>
      <c r="E149" s="106">
        <f t="shared" si="11"/>
        <v>296.36417588346376</v>
      </c>
      <c r="F149" s="106">
        <f t="shared" si="11"/>
        <v>364</v>
      </c>
      <c r="G149" s="106"/>
      <c r="H149" s="106"/>
    </row>
    <row r="150" spans="2:8">
      <c r="B150" s="94">
        <v>2019</v>
      </c>
      <c r="C150" s="106">
        <f t="shared" si="12"/>
        <v>1295.5393988627131</v>
      </c>
      <c r="D150" s="106">
        <f t="shared" si="11"/>
        <v>554</v>
      </c>
      <c r="E150" s="106">
        <f>E28-E141</f>
        <v>248</v>
      </c>
      <c r="F150" s="106"/>
      <c r="G150" s="106"/>
      <c r="H150" s="106"/>
    </row>
    <row r="151" spans="2:8">
      <c r="B151" s="94">
        <v>2020</v>
      </c>
      <c r="C151" s="106">
        <f t="shared" si="12"/>
        <v>1368.5393988627131</v>
      </c>
      <c r="D151" s="106">
        <f t="shared" si="11"/>
        <v>614</v>
      </c>
      <c r="E151" s="106"/>
      <c r="F151" s="106"/>
      <c r="G151" s="106"/>
      <c r="H151" s="106"/>
    </row>
    <row r="152" spans="2:8">
      <c r="B152" s="94">
        <v>2021</v>
      </c>
      <c r="C152" s="106">
        <f t="shared" si="12"/>
        <v>1322</v>
      </c>
      <c r="D152" s="106"/>
      <c r="E152" s="106"/>
      <c r="F152" s="106"/>
      <c r="G152" s="106"/>
      <c r="H152" s="106"/>
    </row>
    <row r="153" spans="2:8">
      <c r="B153" s="3"/>
      <c r="C153" s="3"/>
      <c r="D153" s="3"/>
      <c r="E153" s="3"/>
      <c r="F153" s="3"/>
      <c r="G153" s="3"/>
      <c r="H153" s="3"/>
    </row>
    <row r="154" spans="2:8">
      <c r="B154" s="94" t="s">
        <v>53</v>
      </c>
      <c r="C154" s="844" t="s">
        <v>1168</v>
      </c>
      <c r="D154" s="844"/>
      <c r="E154" s="844"/>
      <c r="F154" s="844"/>
      <c r="G154" s="844"/>
      <c r="H154" s="844"/>
    </row>
    <row r="155" spans="2:8">
      <c r="B155" s="107" t="s">
        <v>55</v>
      </c>
      <c r="C155" s="107">
        <v>12</v>
      </c>
      <c r="D155" s="107">
        <v>24</v>
      </c>
      <c r="E155" s="107">
        <v>36</v>
      </c>
      <c r="F155" s="107">
        <v>48</v>
      </c>
      <c r="G155" s="107">
        <v>60</v>
      </c>
      <c r="H155" s="107">
        <v>72</v>
      </c>
    </row>
    <row r="156" spans="2:8">
      <c r="B156" s="94">
        <v>2016</v>
      </c>
      <c r="C156" s="106">
        <f>C129*C147</f>
        <v>22453936.498855092</v>
      </c>
      <c r="D156" s="106">
        <f t="shared" ref="D156:H156" si="13">D129*D147</f>
        <v>13744749.088660324</v>
      </c>
      <c r="E156" s="106">
        <f t="shared" si="13"/>
        <v>4887882.3085674355</v>
      </c>
      <c r="F156" s="106">
        <f t="shared" si="13"/>
        <v>11264232.836849717</v>
      </c>
      <c r="G156" s="106">
        <f t="shared" si="13"/>
        <v>9522867.628339801</v>
      </c>
      <c r="H156" s="106">
        <f t="shared" si="13"/>
        <v>6121130</v>
      </c>
    </row>
    <row r="157" spans="2:8">
      <c r="B157" s="94">
        <v>2017</v>
      </c>
      <c r="C157" s="106">
        <f t="shared" ref="C157:G161" si="14">C130*C148</f>
        <v>23671034.183232781</v>
      </c>
      <c r="D157" s="106">
        <f t="shared" si="14"/>
        <v>13737756.351963984</v>
      </c>
      <c r="E157" s="106">
        <f t="shared" si="14"/>
        <v>6877722.1851748759</v>
      </c>
      <c r="F157" s="106">
        <f t="shared" si="14"/>
        <v>10713282.826117121</v>
      </c>
      <c r="G157" s="106">
        <f t="shared" si="14"/>
        <v>9987990</v>
      </c>
      <c r="H157" s="106"/>
    </row>
    <row r="158" spans="2:8">
      <c r="B158" s="94">
        <v>2018</v>
      </c>
      <c r="C158" s="106">
        <f t="shared" si="14"/>
        <v>27506952.658140138</v>
      </c>
      <c r="D158" s="106">
        <f t="shared" si="14"/>
        <v>14148079.770413617</v>
      </c>
      <c r="E158" s="106">
        <f t="shared" si="14"/>
        <v>8280886.2522516251</v>
      </c>
      <c r="F158" s="106">
        <f t="shared" si="14"/>
        <v>11693510</v>
      </c>
      <c r="G158" s="106"/>
      <c r="H158" s="106"/>
    </row>
    <row r="159" spans="2:8">
      <c r="B159" s="94">
        <v>2019</v>
      </c>
      <c r="C159" s="106">
        <f t="shared" si="14"/>
        <v>26275582.176446203</v>
      </c>
      <c r="D159" s="106">
        <f t="shared" si="14"/>
        <v>13287870.885683263</v>
      </c>
      <c r="E159" s="106">
        <f t="shared" si="14"/>
        <v>7275990</v>
      </c>
      <c r="F159" s="106"/>
      <c r="G159" s="106"/>
      <c r="H159" s="106"/>
    </row>
    <row r="160" spans="2:8">
      <c r="B160" s="94">
        <v>2020</v>
      </c>
      <c r="C160" s="106">
        <f t="shared" si="14"/>
        <v>29143944.168346107</v>
      </c>
      <c r="D160" s="106">
        <f t="shared" si="14"/>
        <v>15463340</v>
      </c>
      <c r="E160" s="106"/>
      <c r="F160" s="106"/>
      <c r="G160" s="106"/>
      <c r="H160" s="106"/>
    </row>
    <row r="161" spans="2:8">
      <c r="B161" s="94">
        <v>2021</v>
      </c>
      <c r="C161" s="106">
        <f t="shared" si="14"/>
        <v>29560500</v>
      </c>
      <c r="D161" s="106"/>
      <c r="E161" s="106"/>
      <c r="F161" s="106"/>
      <c r="G161" s="106"/>
      <c r="H161" s="106"/>
    </row>
  </sheetData>
  <mergeCells count="21">
    <mergeCell ref="C48:D48"/>
    <mergeCell ref="C5:H5"/>
    <mergeCell ref="C14:H14"/>
    <mergeCell ref="C23:H23"/>
    <mergeCell ref="C32:H32"/>
    <mergeCell ref="C41:D41"/>
    <mergeCell ref="C42:D42"/>
    <mergeCell ref="C43:D43"/>
    <mergeCell ref="C44:D44"/>
    <mergeCell ref="C45:D45"/>
    <mergeCell ref="C46:D46"/>
    <mergeCell ref="C47:D47"/>
    <mergeCell ref="C136:H136"/>
    <mergeCell ref="C145:H145"/>
    <mergeCell ref="C154:H154"/>
    <mergeCell ref="C63:H63"/>
    <mergeCell ref="C72:G72"/>
    <mergeCell ref="B82:K83"/>
    <mergeCell ref="C102:H102"/>
    <mergeCell ref="B122:K123"/>
    <mergeCell ref="C127:H127"/>
  </mergeCells>
  <hyperlinks>
    <hyperlink ref="O1" location="TOC!A1" display="Table of Contents" xr:uid="{71E541A2-F9C6-40E5-A059-4BB2ED9ADEF5}"/>
  </hyperlinks>
  <pageMargins left="0.7" right="0.7" top="0.75" bottom="0.75" header="0.3" footer="0.3"/>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91BA2-8926-46A1-94C8-CC4D651237F6}">
  <dimension ref="A1:R61"/>
  <sheetViews>
    <sheetView zoomScaleNormal="100" workbookViewId="0"/>
  </sheetViews>
  <sheetFormatPr defaultColWidth="8.88671875" defaultRowHeight="15.6"/>
  <cols>
    <col min="1" max="1" width="8.88671875" style="2" customWidth="1"/>
    <col min="2" max="12" width="14.6640625" style="2" customWidth="1"/>
    <col min="13" max="16384" width="8.88671875" style="2"/>
  </cols>
  <sheetData>
    <row r="1" spans="1:15" ht="17.399999999999999">
      <c r="A1" s="13" t="s">
        <v>1931</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1169</v>
      </c>
      <c r="B3" s="1"/>
      <c r="C3" s="1"/>
      <c r="D3" s="1"/>
      <c r="E3" s="1"/>
      <c r="F3" s="1"/>
      <c r="G3" s="1"/>
      <c r="H3" s="1"/>
      <c r="I3" s="1"/>
      <c r="J3" s="1"/>
      <c r="K3" s="1"/>
      <c r="L3" s="14"/>
    </row>
    <row r="4" spans="1:15">
      <c r="A4" s="43"/>
      <c r="B4" s="1"/>
      <c r="C4" s="1"/>
      <c r="D4" s="1"/>
      <c r="E4" s="1"/>
      <c r="F4" s="1"/>
      <c r="G4" s="1"/>
      <c r="H4" s="1"/>
      <c r="I4" s="1"/>
      <c r="J4" s="1"/>
      <c r="K4" s="1"/>
      <c r="L4" s="1"/>
    </row>
    <row r="5" spans="1:15">
      <c r="A5" s="43"/>
      <c r="B5" s="163" t="s">
        <v>1170</v>
      </c>
      <c r="C5" s="163"/>
      <c r="D5" s="163" t="s">
        <v>66</v>
      </c>
      <c r="E5" s="841" t="s">
        <v>119</v>
      </c>
      <c r="F5" s="841"/>
      <c r="G5" s="841" t="s">
        <v>138</v>
      </c>
      <c r="H5" s="841"/>
      <c r="I5" s="1"/>
      <c r="J5" s="1"/>
      <c r="K5" s="1"/>
      <c r="L5" s="1"/>
    </row>
    <row r="6" spans="1:15">
      <c r="A6" s="43"/>
      <c r="B6" s="166" t="s">
        <v>55</v>
      </c>
      <c r="C6" s="166" t="s">
        <v>1171</v>
      </c>
      <c r="D6" s="166" t="s">
        <v>1172</v>
      </c>
      <c r="E6" s="27" t="s">
        <v>66</v>
      </c>
      <c r="F6" s="27" t="s">
        <v>65</v>
      </c>
      <c r="G6" s="27" t="s">
        <v>66</v>
      </c>
      <c r="H6" s="27" t="s">
        <v>65</v>
      </c>
      <c r="I6" s="1"/>
      <c r="J6" s="1"/>
      <c r="K6" s="1"/>
      <c r="L6" s="1"/>
    </row>
    <row r="7" spans="1:15">
      <c r="A7" s="43"/>
      <c r="B7" s="197">
        <v>2018</v>
      </c>
      <c r="C7" s="92">
        <v>575000</v>
      </c>
      <c r="D7" s="92">
        <v>16172450</v>
      </c>
      <c r="E7" s="92">
        <v>176261530</v>
      </c>
      <c r="F7" s="92">
        <v>176998480</v>
      </c>
      <c r="G7" s="92">
        <v>181712920</v>
      </c>
      <c r="H7" s="92">
        <v>179693890</v>
      </c>
      <c r="I7" s="1"/>
      <c r="J7" s="1"/>
      <c r="K7" s="1"/>
      <c r="L7" s="1"/>
    </row>
    <row r="8" spans="1:15">
      <c r="A8" s="43"/>
      <c r="B8" s="32">
        <v>2019</v>
      </c>
      <c r="C8" s="92">
        <v>592250</v>
      </c>
      <c r="D8" s="92">
        <v>16807540</v>
      </c>
      <c r="E8" s="92">
        <v>195338130</v>
      </c>
      <c r="F8" s="92">
        <v>194011760</v>
      </c>
      <c r="G8" s="92">
        <v>188100130</v>
      </c>
      <c r="H8" s="92">
        <v>190637250</v>
      </c>
      <c r="I8" s="1"/>
      <c r="J8" s="1"/>
      <c r="K8" s="1"/>
      <c r="L8" s="1"/>
    </row>
    <row r="9" spans="1:15">
      <c r="A9" s="1"/>
      <c r="B9" s="32">
        <v>2020</v>
      </c>
      <c r="C9" s="92">
        <v>621860</v>
      </c>
      <c r="D9" s="92">
        <v>17831120</v>
      </c>
      <c r="E9" s="92">
        <v>187853340</v>
      </c>
      <c r="F9" s="92">
        <v>199988960</v>
      </c>
      <c r="G9" s="92">
        <v>195680570</v>
      </c>
      <c r="H9" s="92">
        <v>206174180</v>
      </c>
      <c r="I9" s="1"/>
      <c r="J9" s="1"/>
      <c r="K9" s="1"/>
      <c r="L9" s="1"/>
    </row>
    <row r="10" spans="1:15">
      <c r="A10" s="1"/>
      <c r="B10" s="32">
        <v>2021</v>
      </c>
      <c r="C10" s="92">
        <v>652960</v>
      </c>
      <c r="D10" s="92">
        <v>19284360</v>
      </c>
      <c r="E10" s="92">
        <v>197358720</v>
      </c>
      <c r="F10" s="92">
        <v>211828510</v>
      </c>
      <c r="G10" s="92">
        <v>205582000</v>
      </c>
      <c r="H10" s="92">
        <v>222977380</v>
      </c>
      <c r="I10" s="1"/>
      <c r="J10" s="1"/>
      <c r="K10" s="1"/>
      <c r="L10" s="1"/>
    </row>
    <row r="11" spans="1:15">
      <c r="A11" s="43"/>
      <c r="B11" s="27" t="s">
        <v>132</v>
      </c>
      <c r="C11" s="196">
        <f>SUM(C7:C10)</f>
        <v>2442070</v>
      </c>
      <c r="D11" s="196">
        <f>SUM(D7:D10)</f>
        <v>70095470</v>
      </c>
      <c r="E11" s="196">
        <f>SUM(E7:E10)</f>
        <v>756811720</v>
      </c>
      <c r="F11" s="196">
        <f>SUM(F7:F10)</f>
        <v>782827710</v>
      </c>
      <c r="G11" s="196">
        <f>SUM(G7:G10)</f>
        <v>771075620</v>
      </c>
      <c r="H11" s="196">
        <v>799482700</v>
      </c>
      <c r="I11" s="1"/>
      <c r="J11" s="1"/>
      <c r="K11" s="1"/>
      <c r="L11" s="1"/>
    </row>
    <row r="12" spans="1:15">
      <c r="A12" s="1"/>
      <c r="B12" s="1"/>
      <c r="C12" s="1"/>
      <c r="D12" s="1"/>
      <c r="E12" s="1"/>
      <c r="F12" s="1"/>
      <c r="G12" s="1"/>
      <c r="H12" s="1"/>
      <c r="I12" s="1"/>
      <c r="J12" s="1"/>
      <c r="K12" s="1"/>
      <c r="L12" s="1"/>
    </row>
    <row r="13" spans="1:15">
      <c r="A13" s="1"/>
      <c r="B13" s="914"/>
      <c r="C13" s="914"/>
      <c r="D13" s="841" t="s">
        <v>1173</v>
      </c>
      <c r="E13" s="841"/>
      <c r="F13" s="1"/>
      <c r="G13" s="1"/>
      <c r="H13" s="1"/>
      <c r="I13" s="1"/>
      <c r="J13" s="1"/>
      <c r="K13" s="1"/>
      <c r="L13" s="1"/>
    </row>
    <row r="14" spans="1:15">
      <c r="A14" s="1"/>
      <c r="B14" s="856" t="s">
        <v>1174</v>
      </c>
      <c r="C14" s="856"/>
      <c r="D14" s="913">
        <v>95171300</v>
      </c>
      <c r="E14" s="913"/>
      <c r="F14" s="1"/>
      <c r="G14" s="1"/>
      <c r="H14" s="1"/>
      <c r="I14" s="1"/>
      <c r="J14" s="1"/>
      <c r="K14" s="1"/>
      <c r="L14" s="1"/>
    </row>
    <row r="15" spans="1:15">
      <c r="A15" s="1"/>
      <c r="B15" s="856" t="s">
        <v>1175</v>
      </c>
      <c r="C15" s="856"/>
      <c r="D15" s="913">
        <v>43591100</v>
      </c>
      <c r="E15" s="913"/>
      <c r="F15" s="1"/>
      <c r="G15" s="1"/>
      <c r="H15" s="1"/>
      <c r="I15" s="1"/>
      <c r="J15" s="1"/>
      <c r="K15" s="1"/>
      <c r="L15" s="1"/>
    </row>
    <row r="16" spans="1:15">
      <c r="A16" s="1"/>
      <c r="B16" s="856" t="s">
        <v>1176</v>
      </c>
      <c r="C16" s="856"/>
      <c r="D16" s="913">
        <v>26803900</v>
      </c>
      <c r="E16" s="913"/>
      <c r="F16" s="1"/>
      <c r="G16" s="1"/>
      <c r="H16" s="1"/>
      <c r="I16" s="1"/>
      <c r="J16" s="1"/>
      <c r="K16" s="1"/>
      <c r="L16" s="1"/>
    </row>
    <row r="17" spans="1:18">
      <c r="A17" s="1"/>
      <c r="B17" s="914" t="s">
        <v>132</v>
      </c>
      <c r="C17" s="914"/>
      <c r="D17" s="915">
        <f>SUM(D14:E16)</f>
        <v>165566300</v>
      </c>
      <c r="E17" s="915"/>
      <c r="F17" s="1"/>
      <c r="G17" s="1"/>
      <c r="H17" s="1"/>
      <c r="I17" s="1"/>
      <c r="J17" s="1"/>
      <c r="K17" s="1"/>
      <c r="L17" s="1"/>
    </row>
    <row r="18" spans="1:18">
      <c r="A18" s="1"/>
      <c r="B18" s="1"/>
      <c r="C18" s="1"/>
      <c r="D18" s="1"/>
      <c r="E18" s="1"/>
      <c r="F18" s="1"/>
      <c r="G18" s="1"/>
      <c r="H18" s="1"/>
      <c r="I18" s="1"/>
      <c r="J18" s="1"/>
      <c r="K18" s="1"/>
      <c r="L18" s="1"/>
    </row>
    <row r="19" spans="1:18">
      <c r="A19" s="1"/>
      <c r="B19" s="204" t="s">
        <v>1177</v>
      </c>
      <c r="C19" s="1"/>
      <c r="D19" s="1"/>
      <c r="E19" s="1"/>
      <c r="F19" s="1"/>
      <c r="G19" s="1"/>
      <c r="H19" s="1"/>
      <c r="I19" s="1"/>
      <c r="J19" s="1"/>
      <c r="K19" s="1"/>
      <c r="L19" s="1"/>
    </row>
    <row r="20" spans="1:18">
      <c r="A20" s="1"/>
      <c r="B20" s="204" t="s">
        <v>1178</v>
      </c>
      <c r="C20" s="1"/>
      <c r="D20" s="1"/>
      <c r="E20" s="1"/>
      <c r="F20" s="437">
        <v>11000000</v>
      </c>
      <c r="G20" s="1" t="s">
        <v>1179</v>
      </c>
      <c r="H20" s="1"/>
      <c r="I20" s="1"/>
      <c r="J20" s="1"/>
      <c r="K20" s="1"/>
      <c r="L20" s="1"/>
    </row>
    <row r="21" spans="1:18">
      <c r="A21" s="1"/>
      <c r="B21" s="462">
        <v>0.3</v>
      </c>
      <c r="C21" s="204" t="s">
        <v>1180</v>
      </c>
      <c r="D21" s="1"/>
      <c r="E21" s="1"/>
      <c r="F21" s="1"/>
      <c r="G21" s="377">
        <v>0.7</v>
      </c>
      <c r="H21" s="1" t="s">
        <v>1181</v>
      </c>
      <c r="I21" s="1"/>
      <c r="J21" s="1"/>
      <c r="K21" s="1"/>
      <c r="L21" s="1"/>
    </row>
    <row r="22" spans="1:18">
      <c r="A22" s="1"/>
      <c r="B22" s="1"/>
      <c r="C22" s="1"/>
      <c r="D22" s="1"/>
      <c r="E22" s="1"/>
      <c r="F22" s="1"/>
      <c r="G22" s="1"/>
      <c r="H22" s="1"/>
      <c r="I22" s="1"/>
      <c r="J22" s="1"/>
      <c r="K22" s="1"/>
      <c r="L22" s="1"/>
    </row>
    <row r="24" spans="1:18">
      <c r="A24" s="17" t="s">
        <v>91</v>
      </c>
      <c r="B24" s="831" t="s">
        <v>1182</v>
      </c>
      <c r="C24" s="831"/>
      <c r="D24" s="831"/>
      <c r="E24" s="831"/>
      <c r="F24" s="831"/>
      <c r="G24" s="831"/>
      <c r="H24" s="831"/>
      <c r="I24" s="831"/>
      <c r="J24" s="831"/>
      <c r="K24" s="831"/>
      <c r="L24" s="1"/>
      <c r="M24" s="9"/>
      <c r="N24" s="9"/>
      <c r="O24" s="9"/>
      <c r="P24" s="9"/>
      <c r="Q24" s="9"/>
      <c r="R24" s="9"/>
    </row>
    <row r="25" spans="1:18">
      <c r="A25" s="17"/>
      <c r="B25" s="831"/>
      <c r="C25" s="831"/>
      <c r="D25" s="831"/>
      <c r="E25" s="831"/>
      <c r="F25" s="831"/>
      <c r="G25" s="831"/>
      <c r="H25" s="831"/>
      <c r="I25" s="831"/>
      <c r="J25" s="831"/>
      <c r="K25" s="831"/>
      <c r="L25" s="1"/>
      <c r="M25" s="9"/>
      <c r="N25" s="9"/>
      <c r="O25" s="9"/>
      <c r="P25" s="9"/>
      <c r="Q25" s="9"/>
      <c r="R25" s="9"/>
    </row>
    <row r="26" spans="1:18">
      <c r="A26" s="14"/>
      <c r="B26" s="14"/>
      <c r="C26" s="14"/>
      <c r="D26" s="14"/>
      <c r="E26" s="14"/>
      <c r="F26" s="14"/>
      <c r="G26" s="1"/>
      <c r="H26" s="1"/>
      <c r="I26" s="1"/>
      <c r="J26" s="1"/>
      <c r="K26" s="1"/>
      <c r="L26" s="1"/>
    </row>
    <row r="27" spans="1:18">
      <c r="A27" s="3"/>
      <c r="B27" s="3"/>
      <c r="C27" s="3"/>
      <c r="D27" s="3"/>
      <c r="E27" s="3"/>
      <c r="F27" s="3"/>
      <c r="G27" s="3"/>
      <c r="H27" s="3"/>
      <c r="I27" s="3"/>
      <c r="J27" s="3"/>
      <c r="K27" s="3"/>
      <c r="L27" s="3"/>
      <c r="M27" s="3"/>
    </row>
    <row r="28" spans="1:18">
      <c r="A28" s="3" t="s">
        <v>20</v>
      </c>
      <c r="B28" s="3"/>
      <c r="C28" s="3"/>
      <c r="D28" s="3"/>
      <c r="E28" s="3"/>
      <c r="F28" s="3"/>
      <c r="G28" s="3"/>
      <c r="H28" s="3"/>
      <c r="I28" s="3"/>
      <c r="J28" s="3"/>
      <c r="K28" s="3"/>
      <c r="L28" s="3"/>
      <c r="M28" s="3"/>
      <c r="N28" s="9"/>
    </row>
    <row r="29" spans="1:18" ht="46.8">
      <c r="A29" s="3"/>
      <c r="B29" s="93" t="s">
        <v>3</v>
      </c>
      <c r="C29" s="93" t="s">
        <v>5</v>
      </c>
      <c r="D29" s="93" t="s">
        <v>1183</v>
      </c>
      <c r="E29" s="93" t="s">
        <v>1184</v>
      </c>
      <c r="F29" s="3"/>
      <c r="G29" s="3"/>
      <c r="H29" s="3"/>
      <c r="I29" s="3"/>
      <c r="J29" s="3"/>
      <c r="K29" s="3"/>
      <c r="L29" s="3"/>
      <c r="M29" s="3"/>
      <c r="N29" s="9"/>
    </row>
    <row r="30" spans="1:18">
      <c r="A30" s="3"/>
      <c r="B30" s="94">
        <f>B31-1</f>
        <v>2018</v>
      </c>
      <c r="C30" s="463">
        <f>D7</f>
        <v>16172450</v>
      </c>
      <c r="D30" s="463">
        <f>E7</f>
        <v>176261530</v>
      </c>
      <c r="E30" s="258">
        <f>C30/D30</f>
        <v>9.1752579249709226E-2</v>
      </c>
      <c r="F30" s="3"/>
      <c r="G30" s="3"/>
      <c r="H30" s="3"/>
      <c r="I30" s="3"/>
      <c r="J30" s="3"/>
      <c r="K30" s="3"/>
      <c r="L30" s="3"/>
      <c r="M30" s="3"/>
      <c r="N30" s="9"/>
    </row>
    <row r="31" spans="1:18">
      <c r="B31" s="94">
        <f>B32-1</f>
        <v>2019</v>
      </c>
      <c r="C31" s="463">
        <f>D8</f>
        <v>16807540</v>
      </c>
      <c r="D31" s="463">
        <f>E8-F20</f>
        <v>184338130</v>
      </c>
      <c r="E31" s="258">
        <f t="shared" ref="E31:E33" si="0">C31/D31</f>
        <v>9.1177772064846271E-2</v>
      </c>
      <c r="F31" s="3"/>
      <c r="M31" s="9"/>
      <c r="N31" s="9"/>
    </row>
    <row r="32" spans="1:18">
      <c r="B32" s="94">
        <f>B33-1</f>
        <v>2020</v>
      </c>
      <c r="C32" s="463">
        <f>D9</f>
        <v>17831120</v>
      </c>
      <c r="D32" s="463">
        <f>E9</f>
        <v>187853340</v>
      </c>
      <c r="E32" s="258">
        <f t="shared" si="0"/>
        <v>9.492043101283161E-2</v>
      </c>
      <c r="F32" s="3"/>
      <c r="M32" s="9"/>
      <c r="N32" s="9"/>
    </row>
    <row r="33" spans="1:14">
      <c r="B33" s="107">
        <v>2021</v>
      </c>
      <c r="C33" s="352">
        <f>D10</f>
        <v>19284360</v>
      </c>
      <c r="D33" s="352">
        <f>E10</f>
        <v>197358720</v>
      </c>
      <c r="E33" s="111">
        <f t="shared" si="0"/>
        <v>9.7712226751369285E-2</v>
      </c>
      <c r="F33" s="3"/>
      <c r="M33" s="9"/>
      <c r="N33" s="9"/>
    </row>
    <row r="34" spans="1:14">
      <c r="B34" s="94" t="s">
        <v>132</v>
      </c>
      <c r="C34" s="463">
        <f>SUM(C30:C33)</f>
        <v>70095470</v>
      </c>
      <c r="D34" s="463">
        <f>SUM(D30:D33)</f>
        <v>745811720</v>
      </c>
      <c r="E34" s="112">
        <f>AVERAGE(E30:E33)</f>
        <v>9.3890752269689098E-2</v>
      </c>
      <c r="F34" s="3"/>
      <c r="M34" s="9"/>
      <c r="N34" s="9"/>
    </row>
    <row r="35" spans="1:14">
      <c r="M35" s="9"/>
      <c r="N35" s="9"/>
    </row>
    <row r="36" spans="1:14">
      <c r="B36" s="2" t="s">
        <v>1185</v>
      </c>
      <c r="D36" s="464">
        <f>(E34*$D$16)+(E34*(1-$B$21)*($D$14+$D$15))</f>
        <v>11636592.620684773</v>
      </c>
      <c r="M36" s="9"/>
      <c r="N36" s="9"/>
    </row>
    <row r="38" spans="1:14">
      <c r="A38" s="17" t="s">
        <v>133</v>
      </c>
      <c r="B38" s="831" t="s">
        <v>1186</v>
      </c>
      <c r="C38" s="831"/>
      <c r="D38" s="831"/>
      <c r="E38" s="831"/>
      <c r="F38" s="831"/>
      <c r="G38" s="831"/>
      <c r="H38" s="831"/>
      <c r="I38" s="831"/>
      <c r="J38" s="831"/>
      <c r="K38" s="831"/>
      <c r="L38" s="1"/>
    </row>
    <row r="39" spans="1:14">
      <c r="A39" s="17"/>
      <c r="B39" s="831"/>
      <c r="C39" s="831"/>
      <c r="D39" s="831"/>
      <c r="E39" s="831"/>
      <c r="F39" s="831"/>
      <c r="G39" s="831"/>
      <c r="H39" s="831"/>
      <c r="I39" s="831"/>
      <c r="J39" s="831"/>
      <c r="K39" s="831"/>
      <c r="L39" s="1"/>
    </row>
    <row r="40" spans="1:14">
      <c r="A40" s="14"/>
      <c r="B40" s="14"/>
      <c r="C40" s="14"/>
      <c r="D40" s="14"/>
      <c r="E40" s="14"/>
      <c r="F40" s="14"/>
      <c r="G40" s="1"/>
      <c r="H40" s="1"/>
      <c r="I40" s="1"/>
      <c r="J40" s="1"/>
      <c r="K40" s="1"/>
      <c r="L40" s="1"/>
    </row>
    <row r="41" spans="1:14">
      <c r="A41" s="3"/>
      <c r="B41" s="3"/>
      <c r="C41" s="3"/>
      <c r="D41" s="3"/>
      <c r="E41" s="3"/>
      <c r="F41" s="3"/>
      <c r="G41" s="3"/>
      <c r="H41" s="3"/>
      <c r="I41" s="3"/>
      <c r="J41" s="3"/>
      <c r="K41" s="3"/>
      <c r="L41" s="3"/>
    </row>
    <row r="42" spans="1:14">
      <c r="A42" s="3" t="s">
        <v>20</v>
      </c>
      <c r="B42" s="3"/>
      <c r="C42" s="3"/>
      <c r="D42" s="3"/>
      <c r="E42" s="3"/>
      <c r="F42" s="3"/>
      <c r="G42" s="3"/>
      <c r="H42" s="3"/>
      <c r="I42" s="3"/>
      <c r="J42" s="3"/>
      <c r="K42" s="3"/>
      <c r="L42" s="3"/>
    </row>
    <row r="43" spans="1:14" ht="46.8">
      <c r="A43" s="3"/>
      <c r="B43" s="93" t="s">
        <v>3</v>
      </c>
      <c r="C43" s="93" t="s">
        <v>5</v>
      </c>
      <c r="D43" s="93" t="s">
        <v>1187</v>
      </c>
      <c r="E43" s="93" t="s">
        <v>1188</v>
      </c>
      <c r="F43" s="93" t="s">
        <v>1189</v>
      </c>
      <c r="G43" s="3"/>
      <c r="H43" s="3"/>
      <c r="I43" s="3"/>
      <c r="J43" s="3"/>
      <c r="K43" s="3"/>
      <c r="L43" s="3"/>
    </row>
    <row r="44" spans="1:14">
      <c r="B44" s="94">
        <f>B45-1</f>
        <v>2018</v>
      </c>
      <c r="C44" s="463">
        <f>D7</f>
        <v>16172450</v>
      </c>
      <c r="D44" s="463">
        <f t="shared" ref="D44:E47" si="1">G7</f>
        <v>181712920</v>
      </c>
      <c r="E44" s="463">
        <f t="shared" si="1"/>
        <v>179693890</v>
      </c>
      <c r="F44" s="258">
        <f>C44/AVERAGE(D44:E44)</f>
        <v>8.9497206762650661E-2</v>
      </c>
      <c r="G44" s="3"/>
      <c r="M44" s="3"/>
    </row>
    <row r="45" spans="1:14">
      <c r="B45" s="94">
        <f>B46-1</f>
        <v>2019</v>
      </c>
      <c r="C45" s="463">
        <f>D8</f>
        <v>16807540</v>
      </c>
      <c r="D45" s="463">
        <f t="shared" si="1"/>
        <v>188100130</v>
      </c>
      <c r="E45" s="463">
        <f t="shared" si="1"/>
        <v>190637250</v>
      </c>
      <c r="F45" s="258">
        <f t="shared" ref="F45:F47" si="2">C45/AVERAGE(D45:E45)</f>
        <v>8.8755643818415816E-2</v>
      </c>
      <c r="G45" s="465"/>
      <c r="M45" s="3"/>
    </row>
    <row r="46" spans="1:14">
      <c r="B46" s="94">
        <f>B47-1</f>
        <v>2020</v>
      </c>
      <c r="C46" s="463">
        <f>D9</f>
        <v>17831120</v>
      </c>
      <c r="D46" s="463">
        <f t="shared" si="1"/>
        <v>195680570</v>
      </c>
      <c r="E46" s="463">
        <f t="shared" si="1"/>
        <v>206174180</v>
      </c>
      <c r="F46" s="258">
        <f t="shared" si="2"/>
        <v>8.8744104679613717E-2</v>
      </c>
      <c r="G46" s="465"/>
      <c r="M46" s="3"/>
    </row>
    <row r="47" spans="1:14">
      <c r="B47" s="107">
        <v>2021</v>
      </c>
      <c r="C47" s="352">
        <f>D10</f>
        <v>19284360</v>
      </c>
      <c r="D47" s="352">
        <f t="shared" si="1"/>
        <v>205582000</v>
      </c>
      <c r="E47" s="352">
        <f t="shared" si="1"/>
        <v>222977380</v>
      </c>
      <c r="F47" s="111">
        <f t="shared" si="2"/>
        <v>8.99962100934531E-2</v>
      </c>
      <c r="G47" s="465"/>
    </row>
    <row r="48" spans="1:14">
      <c r="B48" s="94" t="s">
        <v>132</v>
      </c>
      <c r="C48" s="463">
        <f>SUM(C44:C47)</f>
        <v>70095470</v>
      </c>
      <c r="D48" s="463">
        <f>SUM(D44:D47)</f>
        <v>771075620</v>
      </c>
      <c r="E48" s="463">
        <f>SUM(E44:E47)</f>
        <v>799482700</v>
      </c>
      <c r="F48" s="112">
        <f>AVERAGE(F44:F47)</f>
        <v>8.9248291338533334E-2</v>
      </c>
      <c r="G48" s="465"/>
    </row>
    <row r="49" spans="1:14">
      <c r="B49" s="3"/>
      <c r="C49" s="3"/>
      <c r="D49" s="3"/>
      <c r="E49" s="3"/>
      <c r="F49" s="3"/>
      <c r="G49" s="3"/>
    </row>
    <row r="50" spans="1:14">
      <c r="B50" s="2" t="s">
        <v>1185</v>
      </c>
      <c r="C50" s="3"/>
      <c r="D50" s="464">
        <f>(F48*$D$16)+(F48*(1-$B$21)*($D$14+$D$15))</f>
        <v>11061217.247632781</v>
      </c>
      <c r="E50" s="3"/>
      <c r="F50" s="3"/>
      <c r="G50" s="3"/>
    </row>
    <row r="52" spans="1:14">
      <c r="A52" s="17" t="s">
        <v>18</v>
      </c>
      <c r="B52" s="1" t="s">
        <v>1190</v>
      </c>
      <c r="C52" s="1"/>
      <c r="D52" s="1"/>
      <c r="E52" s="1"/>
      <c r="F52" s="1"/>
      <c r="G52" s="1"/>
      <c r="H52" s="1"/>
      <c r="I52" s="1"/>
      <c r="J52" s="1"/>
      <c r="K52" s="1"/>
      <c r="L52" s="1"/>
    </row>
    <row r="53" spans="1:14">
      <c r="A53" s="14"/>
      <c r="B53" s="14"/>
      <c r="C53" s="14"/>
      <c r="D53" s="14"/>
      <c r="E53" s="14"/>
      <c r="F53" s="14"/>
      <c r="G53" s="1"/>
      <c r="H53" s="1"/>
      <c r="I53" s="1"/>
      <c r="J53" s="1"/>
      <c r="K53" s="1"/>
      <c r="L53" s="1"/>
    </row>
    <row r="54" spans="1:14">
      <c r="A54" s="3"/>
      <c r="B54" s="3"/>
      <c r="C54" s="3"/>
      <c r="D54" s="3"/>
      <c r="E54" s="3"/>
      <c r="F54" s="3"/>
      <c r="G54" s="3"/>
      <c r="H54" s="3"/>
      <c r="I54" s="3"/>
      <c r="J54" s="3"/>
      <c r="K54" s="3"/>
      <c r="L54" s="3"/>
    </row>
    <row r="55" spans="1:14">
      <c r="A55" s="3" t="s">
        <v>20</v>
      </c>
      <c r="B55" s="3"/>
      <c r="C55" s="3"/>
      <c r="D55" s="3"/>
      <c r="E55" s="3"/>
      <c r="F55" s="3"/>
      <c r="G55" s="3"/>
      <c r="H55" s="3"/>
      <c r="I55" s="3"/>
      <c r="J55" s="3"/>
      <c r="K55" s="3"/>
      <c r="L55" s="3"/>
    </row>
    <row r="56" spans="1:14">
      <c r="A56" s="3"/>
      <c r="B56" s="3" t="s">
        <v>1191</v>
      </c>
      <c r="C56" s="3"/>
      <c r="D56" s="3"/>
      <c r="E56" s="3"/>
      <c r="F56" s="3"/>
      <c r="G56" s="3"/>
      <c r="H56" s="3"/>
      <c r="I56" s="3"/>
      <c r="J56" s="3"/>
      <c r="K56" s="3"/>
      <c r="L56" s="3"/>
    </row>
    <row r="57" spans="1:14">
      <c r="A57" s="3"/>
      <c r="B57" s="3"/>
      <c r="C57" s="3"/>
      <c r="D57" s="3"/>
      <c r="E57" s="3"/>
      <c r="F57" s="3"/>
      <c r="G57" s="3"/>
      <c r="H57" s="3"/>
      <c r="I57" s="3"/>
      <c r="J57" s="3"/>
      <c r="K57" s="3"/>
      <c r="L57" s="3"/>
    </row>
    <row r="58" spans="1:14">
      <c r="B58" s="2" t="s">
        <v>1192</v>
      </c>
    </row>
    <row r="60" spans="1:14">
      <c r="B60" s="2" t="s">
        <v>1193</v>
      </c>
      <c r="M60" s="3"/>
      <c r="N60" s="3"/>
    </row>
    <row r="61" spans="1:14">
      <c r="M61" s="3"/>
      <c r="N61" s="3"/>
    </row>
  </sheetData>
  <mergeCells count="14">
    <mergeCell ref="E5:F5"/>
    <mergeCell ref="G5:H5"/>
    <mergeCell ref="B13:C13"/>
    <mergeCell ref="D13:E13"/>
    <mergeCell ref="B14:C14"/>
    <mergeCell ref="D14:E14"/>
    <mergeCell ref="B24:K25"/>
    <mergeCell ref="B38:K39"/>
    <mergeCell ref="B15:C15"/>
    <mergeCell ref="D15:E15"/>
    <mergeCell ref="B16:C16"/>
    <mergeCell ref="D16:E16"/>
    <mergeCell ref="B17:C17"/>
    <mergeCell ref="D17:E17"/>
  </mergeCells>
  <hyperlinks>
    <hyperlink ref="O1" location="TOC!A1" display="Table of Contents" xr:uid="{50A8368C-643B-4765-9AA9-FCB796FD71AE}"/>
  </hyperlinks>
  <pageMargins left="0.7" right="0.7" top="0.75" bottom="0.75" header="0.3" footer="0.3"/>
  <pageSetup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9246-BAA4-44BF-AF2D-790ADE80997B}">
  <dimension ref="A1:R98"/>
  <sheetViews>
    <sheetView zoomScaleNormal="100" workbookViewId="0"/>
  </sheetViews>
  <sheetFormatPr defaultColWidth="8.88671875" defaultRowHeight="15.6"/>
  <cols>
    <col min="1" max="1" width="8.88671875" style="2" customWidth="1"/>
    <col min="2" max="2" width="12.6640625" style="2" customWidth="1"/>
    <col min="3" max="3" width="18.6640625" style="2" customWidth="1"/>
    <col min="4" max="4" width="17.109375" style="2" customWidth="1"/>
    <col min="5" max="5" width="15.6640625" style="2" customWidth="1"/>
    <col min="6" max="6" width="18.44140625" style="2" customWidth="1"/>
    <col min="7" max="7" width="18.21875" style="2" customWidth="1"/>
    <col min="8" max="12" width="10.6640625" style="2" customWidth="1"/>
    <col min="13" max="16384" width="8.88671875" style="2"/>
  </cols>
  <sheetData>
    <row r="1" spans="1:15" ht="17.399999999999999">
      <c r="A1" s="13" t="s">
        <v>1932</v>
      </c>
      <c r="B1" s="1"/>
      <c r="C1" s="1"/>
      <c r="D1" s="1" t="s">
        <v>548</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
      <c r="B8" s="1"/>
      <c r="C8" s="1"/>
      <c r="D8" s="1"/>
      <c r="E8" s="1"/>
      <c r="F8" s="1"/>
      <c r="G8" s="1"/>
      <c r="H8" s="1"/>
      <c r="I8" s="1"/>
      <c r="J8" s="1"/>
      <c r="K8" s="1"/>
      <c r="L8" s="1"/>
    </row>
    <row r="9" spans="1:15">
      <c r="A9" s="1" t="s">
        <v>1194</v>
      </c>
      <c r="B9" s="1"/>
      <c r="C9" s="1"/>
      <c r="D9" s="1"/>
      <c r="E9" s="1"/>
      <c r="F9" s="1"/>
      <c r="G9" s="1"/>
      <c r="H9" s="1"/>
      <c r="I9" s="1"/>
      <c r="J9" s="1"/>
      <c r="K9" s="1"/>
      <c r="L9" s="1"/>
    </row>
    <row r="10" spans="1:15">
      <c r="A10" s="1"/>
      <c r="B10" s="1"/>
      <c r="C10" s="1"/>
      <c r="D10" s="1"/>
      <c r="E10" s="1"/>
      <c r="F10" s="1"/>
      <c r="G10" s="1"/>
      <c r="H10" s="1"/>
      <c r="I10" s="1"/>
      <c r="J10" s="1"/>
      <c r="K10" s="1"/>
      <c r="L10" s="1"/>
    </row>
    <row r="11" spans="1:15" ht="62.4">
      <c r="A11" s="1"/>
      <c r="B11" s="4" t="s">
        <v>49</v>
      </c>
      <c r="C11" s="4" t="s">
        <v>1195</v>
      </c>
      <c r="D11" s="4" t="s">
        <v>1196</v>
      </c>
      <c r="E11" s="4" t="s">
        <v>1197</v>
      </c>
      <c r="F11" s="1"/>
      <c r="G11" s="1"/>
      <c r="H11" s="1"/>
      <c r="I11" s="1"/>
      <c r="J11" s="1"/>
      <c r="K11" s="1"/>
      <c r="L11" s="1"/>
    </row>
    <row r="12" spans="1:15">
      <c r="A12" s="1"/>
      <c r="B12" s="32">
        <v>2013</v>
      </c>
      <c r="C12" s="92">
        <v>29614</v>
      </c>
      <c r="D12" s="92">
        <v>15795</v>
      </c>
      <c r="E12" s="32">
        <v>1.0109999999999999</v>
      </c>
      <c r="F12" s="1"/>
      <c r="G12" s="1"/>
      <c r="H12" s="1"/>
      <c r="I12" s="1"/>
      <c r="J12" s="1"/>
      <c r="K12" s="1"/>
      <c r="L12" s="1"/>
    </row>
    <row r="13" spans="1:15">
      <c r="A13" s="1"/>
      <c r="B13" s="32">
        <v>2014</v>
      </c>
      <c r="C13" s="92">
        <v>27371</v>
      </c>
      <c r="D13" s="92">
        <v>14119</v>
      </c>
      <c r="E13" s="32">
        <v>1.028</v>
      </c>
      <c r="F13" s="1"/>
      <c r="G13" s="1"/>
      <c r="H13" s="1"/>
      <c r="I13" s="1"/>
      <c r="J13" s="1"/>
      <c r="K13" s="1"/>
      <c r="L13" s="1"/>
    </row>
    <row r="14" spans="1:15">
      <c r="A14" s="1"/>
      <c r="B14" s="32">
        <v>2015</v>
      </c>
      <c r="C14" s="92">
        <v>27077</v>
      </c>
      <c r="D14" s="92">
        <v>17998</v>
      </c>
      <c r="E14" s="32">
        <v>1.0489999999999999</v>
      </c>
      <c r="F14" s="1"/>
      <c r="G14" s="1"/>
      <c r="H14" s="1"/>
      <c r="I14" s="1"/>
      <c r="J14" s="1"/>
      <c r="K14" s="1"/>
      <c r="L14" s="1"/>
    </row>
    <row r="15" spans="1:15">
      <c r="A15" s="1"/>
      <c r="B15" s="32">
        <v>2016</v>
      </c>
      <c r="C15" s="92">
        <v>28792</v>
      </c>
      <c r="D15" s="92">
        <v>17630</v>
      </c>
      <c r="E15" s="184">
        <v>1.0900000000000001</v>
      </c>
      <c r="F15" s="1"/>
      <c r="G15" s="1"/>
      <c r="H15" s="1"/>
      <c r="I15" s="1"/>
      <c r="J15" s="1"/>
      <c r="K15" s="1"/>
      <c r="L15" s="1"/>
    </row>
    <row r="16" spans="1:15">
      <c r="A16" s="1"/>
      <c r="B16" s="32">
        <v>2017</v>
      </c>
      <c r="C16" s="92">
        <v>30307</v>
      </c>
      <c r="D16" s="92">
        <v>16178</v>
      </c>
      <c r="E16" s="32">
        <v>1.159</v>
      </c>
      <c r="F16" s="1"/>
      <c r="G16" s="1"/>
      <c r="H16" s="1"/>
      <c r="I16" s="1"/>
      <c r="J16" s="1"/>
      <c r="K16" s="1"/>
      <c r="L16" s="1"/>
    </row>
    <row r="17" spans="1:18">
      <c r="A17" s="1"/>
      <c r="B17" s="32">
        <v>2018</v>
      </c>
      <c r="C17" s="92">
        <v>29053</v>
      </c>
      <c r="D17" s="92">
        <v>15699</v>
      </c>
      <c r="E17" s="32">
        <v>1.3049999999999999</v>
      </c>
      <c r="F17" s="1"/>
      <c r="G17" s="1"/>
      <c r="H17" s="1"/>
      <c r="I17" s="1"/>
      <c r="J17" s="1"/>
      <c r="K17" s="1"/>
      <c r="L17" s="1"/>
    </row>
    <row r="18" spans="1:18">
      <c r="A18" s="1"/>
      <c r="B18" s="32">
        <v>2019</v>
      </c>
      <c r="C18" s="92">
        <v>26785</v>
      </c>
      <c r="D18" s="92">
        <v>14231</v>
      </c>
      <c r="E18" s="32">
        <v>1.7090000000000001</v>
      </c>
      <c r="F18" s="1"/>
      <c r="G18" s="1"/>
      <c r="H18" s="1"/>
      <c r="I18" s="1"/>
      <c r="J18" s="1"/>
      <c r="K18" s="1"/>
      <c r="L18" s="1"/>
    </row>
    <row r="19" spans="1:18">
      <c r="A19" s="1"/>
      <c r="B19" s="32">
        <v>2020</v>
      </c>
      <c r="C19" s="92">
        <v>25618</v>
      </c>
      <c r="D19" s="92">
        <v>7963</v>
      </c>
      <c r="E19" s="32">
        <v>2.399</v>
      </c>
      <c r="F19" s="1"/>
      <c r="G19" s="1"/>
      <c r="H19" s="1"/>
      <c r="I19" s="1"/>
      <c r="J19" s="1"/>
      <c r="K19" s="1"/>
      <c r="L19" s="1"/>
    </row>
    <row r="20" spans="1:18">
      <c r="A20" s="1"/>
      <c r="B20" s="32">
        <v>2021</v>
      </c>
      <c r="C20" s="92">
        <v>27616</v>
      </c>
      <c r="D20" s="92">
        <v>4910</v>
      </c>
      <c r="E20" s="32">
        <v>3.9990000000000001</v>
      </c>
      <c r="F20" s="1"/>
      <c r="G20" s="1"/>
      <c r="H20" s="1"/>
      <c r="I20" s="1"/>
      <c r="J20" s="1"/>
      <c r="K20" s="1"/>
      <c r="L20" s="1"/>
    </row>
    <row r="21" spans="1:18">
      <c r="A21" s="1"/>
      <c r="B21" s="27" t="s">
        <v>132</v>
      </c>
      <c r="C21" s="196">
        <f>SUM(C12:C20)</f>
        <v>252233</v>
      </c>
      <c r="D21" s="196">
        <f>SUM(D12:D20)</f>
        <v>124523</v>
      </c>
      <c r="E21" s="404"/>
      <c r="F21" s="1"/>
      <c r="G21" s="1"/>
      <c r="H21" s="1"/>
      <c r="I21" s="1"/>
      <c r="J21" s="1"/>
      <c r="K21" s="1"/>
      <c r="L21" s="1"/>
    </row>
    <row r="22" spans="1:18">
      <c r="A22" s="1"/>
      <c r="B22" s="1"/>
      <c r="C22" s="1"/>
      <c r="D22" s="1"/>
      <c r="E22" s="1"/>
      <c r="F22" s="1"/>
      <c r="G22" s="1"/>
      <c r="H22" s="1"/>
      <c r="I22" s="1"/>
      <c r="J22" s="1"/>
      <c r="K22" s="1"/>
      <c r="L22" s="1"/>
    </row>
    <row r="23" spans="1:18">
      <c r="A23" s="1"/>
      <c r="B23" s="204" t="s">
        <v>1198</v>
      </c>
      <c r="C23" s="1"/>
      <c r="D23" s="1"/>
      <c r="E23" s="1"/>
      <c r="F23" s="1"/>
      <c r="G23" s="1"/>
      <c r="H23" s="1"/>
      <c r="I23" s="1"/>
      <c r="J23" s="1"/>
      <c r="K23" s="1"/>
      <c r="L23" s="1"/>
    </row>
    <row r="24" spans="1:18">
      <c r="A24" s="1"/>
      <c r="B24" s="204" t="s">
        <v>1199</v>
      </c>
      <c r="C24" s="1"/>
      <c r="D24" s="377">
        <v>0.02</v>
      </c>
      <c r="E24" s="1"/>
      <c r="F24" s="1"/>
      <c r="G24" s="1"/>
      <c r="H24" s="1"/>
      <c r="I24" s="1"/>
      <c r="J24" s="1"/>
      <c r="K24" s="1"/>
      <c r="L24" s="1"/>
    </row>
    <row r="25" spans="1:18">
      <c r="A25" s="1"/>
      <c r="B25" s="204" t="s">
        <v>1200</v>
      </c>
      <c r="C25" s="1"/>
      <c r="D25" s="231">
        <v>3000000</v>
      </c>
      <c r="E25" s="1" t="s">
        <v>1201</v>
      </c>
      <c r="F25" s="1"/>
      <c r="G25" s="1"/>
      <c r="H25" s="1"/>
      <c r="I25" s="1"/>
      <c r="J25" s="1"/>
      <c r="K25" s="1"/>
      <c r="L25" s="1"/>
    </row>
    <row r="26" spans="1:18">
      <c r="A26" s="1"/>
      <c r="B26" s="204" t="s">
        <v>1202</v>
      </c>
      <c r="C26" s="1"/>
      <c r="D26" s="1"/>
      <c r="E26" s="1"/>
      <c r="F26" s="1"/>
      <c r="G26" s="1"/>
      <c r="H26" s="1"/>
      <c r="I26" s="1"/>
      <c r="J26" s="1"/>
      <c r="K26" s="1"/>
      <c r="L26" s="1"/>
    </row>
    <row r="27" spans="1:18">
      <c r="A27" s="1"/>
      <c r="B27" s="1"/>
      <c r="C27" s="204" t="s">
        <v>1203</v>
      </c>
      <c r="D27" s="377">
        <v>-0.02</v>
      </c>
      <c r="E27" s="1" t="s">
        <v>1204</v>
      </c>
      <c r="F27" s="916">
        <v>42005</v>
      </c>
      <c r="G27" s="916"/>
      <c r="H27" s="1"/>
      <c r="I27" s="1"/>
      <c r="J27" s="1"/>
      <c r="K27" s="1"/>
      <c r="L27" s="1"/>
    </row>
    <row r="28" spans="1:18">
      <c r="A28" s="1"/>
      <c r="B28" s="1"/>
      <c r="C28" s="204" t="s">
        <v>1203</v>
      </c>
      <c r="D28" s="466">
        <v>0.04</v>
      </c>
      <c r="E28" s="1" t="s">
        <v>1204</v>
      </c>
      <c r="F28" s="916">
        <v>44378</v>
      </c>
      <c r="G28" s="916"/>
      <c r="H28" s="1"/>
      <c r="I28" s="1"/>
      <c r="J28" s="1"/>
      <c r="K28" s="1"/>
      <c r="L28" s="1"/>
    </row>
    <row r="29" spans="1:18">
      <c r="A29" s="1"/>
      <c r="B29" s="1"/>
      <c r="C29" s="1"/>
      <c r="D29" s="1"/>
      <c r="E29" s="1"/>
      <c r="F29" s="1"/>
      <c r="G29" s="1"/>
      <c r="H29" s="1"/>
      <c r="I29" s="1"/>
      <c r="J29" s="1"/>
      <c r="K29" s="1"/>
      <c r="L29" s="1"/>
    </row>
    <row r="30" spans="1:18">
      <c r="A30" s="3"/>
      <c r="B30" s="3"/>
      <c r="C30" s="3"/>
      <c r="D30" s="3"/>
      <c r="E30" s="3"/>
      <c r="F30" s="3"/>
      <c r="G30" s="3"/>
      <c r="H30" s="3"/>
      <c r="I30" s="3"/>
      <c r="J30" s="3"/>
      <c r="K30" s="3"/>
      <c r="L30" s="3"/>
    </row>
    <row r="31" spans="1:18">
      <c r="A31" s="17" t="s">
        <v>18</v>
      </c>
      <c r="B31" s="1" t="s">
        <v>1205</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ht="46.8">
      <c r="B35" s="36" t="s">
        <v>642</v>
      </c>
      <c r="C35" s="93" t="str">
        <f t="shared" ref="C35:C44" si="0">C11</f>
        <v>Earned Premiums
(000)</v>
      </c>
      <c r="D35" s="36" t="s">
        <v>1206</v>
      </c>
      <c r="E35" s="36" t="s">
        <v>1207</v>
      </c>
      <c r="F35" s="36" t="s">
        <v>648</v>
      </c>
      <c r="G35" s="36" t="s">
        <v>627</v>
      </c>
      <c r="M35" s="9"/>
      <c r="N35" s="9"/>
    </row>
    <row r="36" spans="1:14">
      <c r="B36" s="34">
        <f t="shared" ref="B36:B43" si="1">B37-1</f>
        <v>2013</v>
      </c>
      <c r="C36" s="106">
        <f t="shared" si="0"/>
        <v>29614</v>
      </c>
      <c r="D36" s="82">
        <v>1</v>
      </c>
      <c r="E36" s="89">
        <f t="shared" ref="E36:E44" si="2">$D$44/D36</f>
        <v>0.98489999999999989</v>
      </c>
      <c r="F36" s="83">
        <f t="shared" ref="F36:F44" si="3">C36*E36</f>
        <v>29166.828599999997</v>
      </c>
      <c r="G36" s="160">
        <f t="shared" ref="G36:G44" si="4">E12</f>
        <v>1.0109999999999999</v>
      </c>
      <c r="M36" s="9"/>
      <c r="N36" s="9"/>
    </row>
    <row r="37" spans="1:14">
      <c r="B37" s="34">
        <f t="shared" si="1"/>
        <v>2014</v>
      </c>
      <c r="C37" s="106">
        <f t="shared" si="0"/>
        <v>27371</v>
      </c>
      <c r="D37" s="82">
        <v>1</v>
      </c>
      <c r="E37" s="89">
        <f t="shared" si="2"/>
        <v>0.98489999999999989</v>
      </c>
      <c r="F37" s="83">
        <f t="shared" si="3"/>
        <v>26957.697899999996</v>
      </c>
      <c r="G37" s="160">
        <f t="shared" si="4"/>
        <v>1.028</v>
      </c>
      <c r="M37" s="9"/>
      <c r="N37" s="9"/>
    </row>
    <row r="38" spans="1:14">
      <c r="B38" s="34">
        <f t="shared" si="1"/>
        <v>2015</v>
      </c>
      <c r="C38" s="106">
        <f t="shared" si="0"/>
        <v>27077</v>
      </c>
      <c r="D38" s="82">
        <f>0.5*1+0.5*0.98</f>
        <v>0.99</v>
      </c>
      <c r="E38" s="89">
        <f t="shared" si="2"/>
        <v>0.99484848484848476</v>
      </c>
      <c r="F38" s="83">
        <f t="shared" si="3"/>
        <v>26937.512424242421</v>
      </c>
      <c r="G38" s="160">
        <f t="shared" si="4"/>
        <v>1.0489999999999999</v>
      </c>
      <c r="M38" s="9"/>
      <c r="N38" s="9"/>
    </row>
    <row r="39" spans="1:14">
      <c r="B39" s="34">
        <f t="shared" si="1"/>
        <v>2016</v>
      </c>
      <c r="C39" s="106">
        <f t="shared" si="0"/>
        <v>28792</v>
      </c>
      <c r="D39" s="82">
        <v>0.98</v>
      </c>
      <c r="E39" s="89">
        <f t="shared" si="2"/>
        <v>1.0049999999999999</v>
      </c>
      <c r="F39" s="83">
        <f t="shared" si="3"/>
        <v>28935.959999999995</v>
      </c>
      <c r="G39" s="160">
        <f t="shared" si="4"/>
        <v>1.0900000000000001</v>
      </c>
      <c r="M39" s="9"/>
      <c r="N39" s="9"/>
    </row>
    <row r="40" spans="1:14">
      <c r="B40" s="34">
        <f t="shared" si="1"/>
        <v>2017</v>
      </c>
      <c r="C40" s="106">
        <f t="shared" si="0"/>
        <v>30307</v>
      </c>
      <c r="D40" s="82">
        <v>0.98</v>
      </c>
      <c r="E40" s="89">
        <f t="shared" si="2"/>
        <v>1.0049999999999999</v>
      </c>
      <c r="F40" s="83">
        <f t="shared" si="3"/>
        <v>30458.534999999996</v>
      </c>
      <c r="G40" s="160">
        <f t="shared" si="4"/>
        <v>1.159</v>
      </c>
      <c r="M40" s="9"/>
      <c r="N40" s="9"/>
    </row>
    <row r="41" spans="1:14">
      <c r="B41" s="34">
        <f t="shared" si="1"/>
        <v>2018</v>
      </c>
      <c r="C41" s="106">
        <f t="shared" si="0"/>
        <v>29053</v>
      </c>
      <c r="D41" s="82">
        <v>0.98</v>
      </c>
      <c r="E41" s="89">
        <f t="shared" si="2"/>
        <v>1.0049999999999999</v>
      </c>
      <c r="F41" s="83">
        <f t="shared" si="3"/>
        <v>29198.264999999996</v>
      </c>
      <c r="G41" s="160">
        <f t="shared" si="4"/>
        <v>1.3049999999999999</v>
      </c>
      <c r="M41" s="9"/>
      <c r="N41" s="9"/>
    </row>
    <row r="42" spans="1:14">
      <c r="B42" s="34">
        <f t="shared" si="1"/>
        <v>2019</v>
      </c>
      <c r="C42" s="106">
        <f t="shared" si="0"/>
        <v>26785</v>
      </c>
      <c r="D42" s="82">
        <v>0.98</v>
      </c>
      <c r="E42" s="89">
        <f t="shared" si="2"/>
        <v>1.0049999999999999</v>
      </c>
      <c r="F42" s="83">
        <f t="shared" si="3"/>
        <v>26918.924999999996</v>
      </c>
      <c r="G42" s="160">
        <f t="shared" si="4"/>
        <v>1.7090000000000001</v>
      </c>
      <c r="M42" s="9"/>
      <c r="N42" s="9"/>
    </row>
    <row r="43" spans="1:14">
      <c r="B43" s="34">
        <f t="shared" si="1"/>
        <v>2020</v>
      </c>
      <c r="C43" s="106">
        <f t="shared" si="0"/>
        <v>25618</v>
      </c>
      <c r="D43" s="82">
        <v>0.98</v>
      </c>
      <c r="E43" s="89">
        <f t="shared" si="2"/>
        <v>1.0049999999999999</v>
      </c>
      <c r="F43" s="83">
        <f t="shared" si="3"/>
        <v>25746.089999999997</v>
      </c>
      <c r="G43" s="160">
        <f t="shared" si="4"/>
        <v>2.399</v>
      </c>
      <c r="M43" s="9"/>
      <c r="N43" s="9"/>
    </row>
    <row r="44" spans="1:14">
      <c r="B44" s="35">
        <v>2021</v>
      </c>
      <c r="C44" s="110">
        <f t="shared" si="0"/>
        <v>27616</v>
      </c>
      <c r="D44" s="85">
        <f>D43*(7/8)+(0.98*1.04)/8</f>
        <v>0.98489999999999989</v>
      </c>
      <c r="E44" s="90">
        <f t="shared" si="2"/>
        <v>1</v>
      </c>
      <c r="F44" s="86">
        <f t="shared" si="3"/>
        <v>27616</v>
      </c>
      <c r="G44" s="175">
        <f t="shared" si="4"/>
        <v>3.9990000000000001</v>
      </c>
      <c r="M44" s="9"/>
      <c r="N44" s="9"/>
    </row>
    <row r="45" spans="1:14">
      <c r="B45" s="34" t="s">
        <v>132</v>
      </c>
      <c r="C45" s="106">
        <f>SUM(C36:C44)</f>
        <v>252233</v>
      </c>
      <c r="E45" s="83"/>
      <c r="F45" s="37">
        <f>SUM(F36:F44)</f>
        <v>251935.81392424236</v>
      </c>
      <c r="M45" s="9"/>
      <c r="N45" s="9"/>
    </row>
    <row r="46" spans="1:14">
      <c r="B46" s="235"/>
      <c r="C46" s="467"/>
      <c r="D46" s="467"/>
      <c r="E46" s="468"/>
      <c r="F46" s="468"/>
      <c r="G46" s="469"/>
      <c r="M46" s="9"/>
      <c r="N46" s="9"/>
    </row>
    <row r="47" spans="1:14" ht="46.8">
      <c r="B47" s="36" t="s">
        <v>58</v>
      </c>
      <c r="C47" s="36" t="s">
        <v>1208</v>
      </c>
      <c r="D47" s="36" t="s">
        <v>204</v>
      </c>
      <c r="E47" s="93" t="s">
        <v>1209</v>
      </c>
      <c r="F47" s="36" t="s">
        <v>1210</v>
      </c>
      <c r="G47" s="36" t="s">
        <v>1211</v>
      </c>
      <c r="M47" s="9"/>
      <c r="N47" s="9"/>
    </row>
    <row r="48" spans="1:14">
      <c r="B48" s="34">
        <f t="shared" ref="B48:B55" si="5">B49-1</f>
        <v>2013</v>
      </c>
      <c r="C48" s="296">
        <f t="shared" ref="C48:C56" si="6">1/G36</f>
        <v>0.98911968348170143</v>
      </c>
      <c r="D48" s="37">
        <f t="shared" ref="D48:D56" si="7">F36*C48</f>
        <v>28849.484272997033</v>
      </c>
      <c r="E48" s="106">
        <f t="shared" ref="E48:E53" si="8">D12</f>
        <v>15795</v>
      </c>
      <c r="F48" s="160">
        <f t="shared" ref="F48:F54" si="9">F49*(1+$D$24)</f>
        <v>1.1716593810022657</v>
      </c>
      <c r="G48" s="83">
        <f t="shared" ref="G48:G56" si="10">E48*F48</f>
        <v>18506.359922930787</v>
      </c>
      <c r="M48" s="9"/>
      <c r="N48" s="9"/>
    </row>
    <row r="49" spans="1:14">
      <c r="B49" s="34">
        <f t="shared" si="5"/>
        <v>2014</v>
      </c>
      <c r="C49" s="296">
        <f t="shared" si="6"/>
        <v>0.97276264591439687</v>
      </c>
      <c r="D49" s="37">
        <f t="shared" si="7"/>
        <v>26223.441536964976</v>
      </c>
      <c r="E49" s="106">
        <f t="shared" si="8"/>
        <v>14119</v>
      </c>
      <c r="F49" s="160">
        <f t="shared" si="9"/>
        <v>1.14868566764928</v>
      </c>
      <c r="G49" s="83">
        <f t="shared" si="10"/>
        <v>16218.292941540185</v>
      </c>
      <c r="M49" s="9"/>
      <c r="N49" s="9"/>
    </row>
    <row r="50" spans="1:14">
      <c r="B50" s="34">
        <f t="shared" si="5"/>
        <v>2015</v>
      </c>
      <c r="C50" s="296">
        <f t="shared" si="6"/>
        <v>0.95328884652049573</v>
      </c>
      <c r="D50" s="37">
        <f t="shared" si="7"/>
        <v>25679.230147037579</v>
      </c>
      <c r="E50" s="106">
        <f t="shared" si="8"/>
        <v>17998</v>
      </c>
      <c r="F50" s="160">
        <f t="shared" si="9"/>
        <v>1.1261624192640001</v>
      </c>
      <c r="G50" s="83">
        <f t="shared" si="10"/>
        <v>20268.671221913472</v>
      </c>
      <c r="M50" s="9"/>
      <c r="N50" s="9"/>
    </row>
    <row r="51" spans="1:14">
      <c r="B51" s="34">
        <f t="shared" si="5"/>
        <v>2016</v>
      </c>
      <c r="C51" s="296">
        <f t="shared" si="6"/>
        <v>0.9174311926605504</v>
      </c>
      <c r="D51" s="37">
        <f t="shared" si="7"/>
        <v>26546.752293577974</v>
      </c>
      <c r="E51" s="106">
        <f t="shared" si="8"/>
        <v>17630</v>
      </c>
      <c r="F51" s="160">
        <f t="shared" si="9"/>
        <v>1.1040808032</v>
      </c>
      <c r="G51" s="83">
        <f t="shared" si="10"/>
        <v>19464.944560415999</v>
      </c>
      <c r="M51" s="9"/>
      <c r="N51" s="9"/>
    </row>
    <row r="52" spans="1:14">
      <c r="B52" s="34">
        <f t="shared" si="5"/>
        <v>2017</v>
      </c>
      <c r="C52" s="296">
        <f t="shared" si="6"/>
        <v>0.86281276962899045</v>
      </c>
      <c r="D52" s="37">
        <f t="shared" si="7"/>
        <v>26280.012942191541</v>
      </c>
      <c r="E52" s="106">
        <f t="shared" si="8"/>
        <v>16178</v>
      </c>
      <c r="F52" s="160">
        <f t="shared" si="9"/>
        <v>1.08243216</v>
      </c>
      <c r="G52" s="83">
        <f t="shared" si="10"/>
        <v>17511.587484479998</v>
      </c>
      <c r="M52" s="9"/>
      <c r="N52" s="9"/>
    </row>
    <row r="53" spans="1:14">
      <c r="B53" s="34">
        <f t="shared" si="5"/>
        <v>2018</v>
      </c>
      <c r="C53" s="296">
        <f t="shared" si="6"/>
        <v>0.76628352490421459</v>
      </c>
      <c r="D53" s="37">
        <f t="shared" si="7"/>
        <v>22374.149425287353</v>
      </c>
      <c r="E53" s="106">
        <f t="shared" si="8"/>
        <v>15699</v>
      </c>
      <c r="F53" s="160">
        <f t="shared" si="9"/>
        <v>1.0612079999999999</v>
      </c>
      <c r="G53" s="83">
        <f t="shared" si="10"/>
        <v>16659.904392</v>
      </c>
      <c r="M53" s="9"/>
      <c r="N53" s="9"/>
    </row>
    <row r="54" spans="1:14">
      <c r="B54" s="34">
        <f t="shared" si="5"/>
        <v>2019</v>
      </c>
      <c r="C54" s="296">
        <f t="shared" si="6"/>
        <v>0.58513750731421876</v>
      </c>
      <c r="D54" s="37">
        <f t="shared" si="7"/>
        <v>15751.272674078404</v>
      </c>
      <c r="E54" s="186">
        <f>D18-3000</f>
        <v>11231</v>
      </c>
      <c r="F54" s="160">
        <f t="shared" si="9"/>
        <v>1.0404</v>
      </c>
      <c r="G54" s="83">
        <f t="shared" si="10"/>
        <v>11684.732400000001</v>
      </c>
      <c r="M54" s="9"/>
      <c r="N54" s="9"/>
    </row>
    <row r="55" spans="1:14">
      <c r="B55" s="34">
        <f t="shared" si="5"/>
        <v>2020</v>
      </c>
      <c r="C55" s="296">
        <f t="shared" si="6"/>
        <v>0.4168403501458941</v>
      </c>
      <c r="D55" s="37">
        <f t="shared" si="7"/>
        <v>10732.009170487701</v>
      </c>
      <c r="E55" s="106">
        <f>D19</f>
        <v>7963</v>
      </c>
      <c r="F55" s="160">
        <f>F56*(1+$D$24)</f>
        <v>1.02</v>
      </c>
      <c r="G55" s="83">
        <f t="shared" si="10"/>
        <v>8122.26</v>
      </c>
      <c r="M55" s="9"/>
      <c r="N55" s="9"/>
    </row>
    <row r="56" spans="1:14">
      <c r="B56" s="35">
        <v>2021</v>
      </c>
      <c r="C56" s="298">
        <f t="shared" si="6"/>
        <v>0.25006251562890724</v>
      </c>
      <c r="D56" s="38">
        <f t="shared" si="7"/>
        <v>6905.7264316079027</v>
      </c>
      <c r="E56" s="110">
        <f>D20</f>
        <v>4910</v>
      </c>
      <c r="F56" s="175">
        <v>1</v>
      </c>
      <c r="G56" s="86">
        <f t="shared" si="10"/>
        <v>4910</v>
      </c>
      <c r="M56" s="9"/>
      <c r="N56" s="9"/>
    </row>
    <row r="57" spans="1:14">
      <c r="B57" s="235"/>
      <c r="C57" s="160"/>
      <c r="D57" s="37">
        <f>SUM(D48:D56)</f>
        <v>189342.07889423048</v>
      </c>
      <c r="E57" s="106">
        <f>SUM(E48:E56)</f>
        <v>121523</v>
      </c>
      <c r="F57" s="160"/>
      <c r="G57" s="37">
        <f>SUM(G48:G56)</f>
        <v>133346.75292328047</v>
      </c>
      <c r="M57" s="9"/>
      <c r="N57" s="9"/>
    </row>
    <row r="58" spans="1:14">
      <c r="M58" s="9"/>
      <c r="N58" s="9"/>
    </row>
    <row r="59" spans="1:14">
      <c r="B59" s="61" t="s">
        <v>1212</v>
      </c>
      <c r="M59" s="9"/>
      <c r="N59" s="9"/>
    </row>
    <row r="60" spans="1:14">
      <c r="M60" s="9"/>
      <c r="N60" s="9"/>
    </row>
    <row r="61" spans="1:14">
      <c r="B61" s="98" t="s">
        <v>1213</v>
      </c>
      <c r="D61" s="296">
        <f>G57/D57</f>
        <v>0.70426369934265964</v>
      </c>
      <c r="M61" s="9"/>
      <c r="N61" s="9"/>
    </row>
    <row r="63" spans="1:14">
      <c r="A63" s="17" t="s">
        <v>25</v>
      </c>
      <c r="B63" s="1" t="s">
        <v>1214</v>
      </c>
      <c r="C63" s="1"/>
      <c r="D63" s="1"/>
      <c r="E63" s="1"/>
      <c r="F63" s="1"/>
      <c r="G63" s="1"/>
      <c r="H63" s="1"/>
      <c r="I63" s="1"/>
      <c r="J63" s="1"/>
      <c r="K63" s="1"/>
      <c r="L63" s="1"/>
    </row>
    <row r="64" spans="1:14">
      <c r="A64" s="14"/>
      <c r="B64" s="14"/>
      <c r="C64" s="14"/>
      <c r="D64" s="14"/>
      <c r="E64" s="14"/>
      <c r="F64" s="14"/>
      <c r="G64" s="1"/>
      <c r="H64" s="1"/>
      <c r="I64" s="1"/>
      <c r="J64" s="1"/>
      <c r="K64" s="1"/>
      <c r="L64" s="1"/>
    </row>
    <row r="65" spans="1:13">
      <c r="A65" s="3"/>
      <c r="B65" s="3"/>
      <c r="C65" s="3"/>
      <c r="D65" s="3"/>
      <c r="E65" s="3"/>
      <c r="F65" s="3"/>
      <c r="G65" s="3"/>
      <c r="H65" s="3"/>
      <c r="I65" s="3"/>
      <c r="J65" s="3"/>
      <c r="K65" s="3"/>
      <c r="L65" s="3"/>
    </row>
    <row r="66" spans="1:13">
      <c r="A66" s="3" t="s">
        <v>20</v>
      </c>
      <c r="B66" s="3"/>
      <c r="C66" s="3"/>
      <c r="D66" s="3"/>
      <c r="E66" s="3"/>
      <c r="F66" s="3"/>
      <c r="G66" s="3"/>
      <c r="H66" s="3"/>
      <c r="I66" s="3"/>
      <c r="J66" s="3"/>
      <c r="K66" s="3"/>
      <c r="L66" s="3"/>
    </row>
    <row r="67" spans="1:13" ht="31.2">
      <c r="A67" s="3"/>
      <c r="B67" s="93" t="s">
        <v>58</v>
      </c>
      <c r="C67" s="93" t="s">
        <v>1215</v>
      </c>
      <c r="D67" s="93" t="s">
        <v>213</v>
      </c>
      <c r="E67" s="93" t="s">
        <v>214</v>
      </c>
      <c r="F67" s="93" t="s">
        <v>646</v>
      </c>
      <c r="G67" s="3"/>
      <c r="H67" s="3"/>
      <c r="I67" s="3"/>
      <c r="J67" s="3"/>
      <c r="K67" s="3"/>
      <c r="L67" s="3"/>
    </row>
    <row r="68" spans="1:13">
      <c r="A68" s="3"/>
      <c r="B68" s="94">
        <f t="shared" ref="B68:B75" si="11">B69-1</f>
        <v>2013</v>
      </c>
      <c r="C68" s="106">
        <f t="shared" ref="C68:C76" si="12">($D$61*F36)/F48</f>
        <v>17531.664015149094</v>
      </c>
      <c r="D68" s="136">
        <f t="shared" ref="D68:D76" si="13">1-C48</f>
        <v>1.0880316518298572E-2</v>
      </c>
      <c r="E68" s="106">
        <f t="shared" ref="E68:E76" si="14">C68*D68</f>
        <v>190.75005357728733</v>
      </c>
      <c r="F68" s="106">
        <f t="shared" ref="F68:F76" si="15">E68+D12</f>
        <v>15985.750053577287</v>
      </c>
      <c r="G68" s="3"/>
      <c r="H68" s="3"/>
      <c r="I68" s="3"/>
      <c r="J68" s="3"/>
      <c r="K68" s="3"/>
      <c r="L68" s="3"/>
    </row>
    <row r="69" spans="1:13">
      <c r="A69" s="3"/>
      <c r="B69" s="94">
        <f t="shared" si="11"/>
        <v>2014</v>
      </c>
      <c r="C69" s="106">
        <f t="shared" si="12"/>
        <v>16527.87057722087</v>
      </c>
      <c r="D69" s="136">
        <f t="shared" si="13"/>
        <v>2.7237354085603127E-2</v>
      </c>
      <c r="E69" s="106">
        <f t="shared" si="14"/>
        <v>450.17546319278659</v>
      </c>
      <c r="F69" s="106">
        <f t="shared" si="15"/>
        <v>14569.175463192787</v>
      </c>
      <c r="G69" s="3"/>
      <c r="H69" s="3"/>
      <c r="I69" s="3"/>
      <c r="J69" s="3"/>
      <c r="K69" s="3"/>
      <c r="L69" s="3"/>
    </row>
    <row r="70" spans="1:13">
      <c r="A70" s="3"/>
      <c r="B70" s="94">
        <f t="shared" si="11"/>
        <v>2015</v>
      </c>
      <c r="C70" s="106">
        <f t="shared" si="12"/>
        <v>16845.804678320143</v>
      </c>
      <c r="D70" s="136">
        <f t="shared" si="13"/>
        <v>4.6711153479504275E-2</v>
      </c>
      <c r="E70" s="106">
        <f t="shared" si="14"/>
        <v>786.88696781476335</v>
      </c>
      <c r="F70" s="106">
        <f t="shared" si="15"/>
        <v>18784.886967814764</v>
      </c>
      <c r="G70" s="3"/>
      <c r="H70" s="3"/>
      <c r="I70" s="3"/>
      <c r="J70" s="3"/>
      <c r="K70" s="3"/>
      <c r="L70" s="3"/>
    </row>
    <row r="71" spans="1:13">
      <c r="A71" s="3"/>
      <c r="B71" s="94">
        <f t="shared" si="11"/>
        <v>2016</v>
      </c>
      <c r="C71" s="106">
        <f t="shared" si="12"/>
        <v>18457.477183343191</v>
      </c>
      <c r="D71" s="136">
        <f t="shared" si="13"/>
        <v>8.2568807339449601E-2</v>
      </c>
      <c r="E71" s="106">
        <f t="shared" si="14"/>
        <v>1524.0118775237509</v>
      </c>
      <c r="F71" s="106">
        <f t="shared" si="15"/>
        <v>19154.01187752375</v>
      </c>
      <c r="G71" s="3"/>
      <c r="H71" s="3"/>
      <c r="I71" s="3"/>
      <c r="J71" s="3"/>
      <c r="K71" s="3"/>
      <c r="L71" s="3"/>
    </row>
    <row r="72" spans="1:13">
      <c r="A72" s="3"/>
      <c r="B72" s="94">
        <f t="shared" si="11"/>
        <v>2017</v>
      </c>
      <c r="C72" s="106">
        <f t="shared" si="12"/>
        <v>19817.26091329167</v>
      </c>
      <c r="D72" s="136">
        <f t="shared" si="13"/>
        <v>0.13718723037100955</v>
      </c>
      <c r="E72" s="106">
        <f t="shared" si="14"/>
        <v>2718.6751382341472</v>
      </c>
      <c r="F72" s="106">
        <f t="shared" si="15"/>
        <v>18896.675138234146</v>
      </c>
      <c r="G72" s="3"/>
      <c r="H72" s="3"/>
      <c r="I72" s="3"/>
      <c r="J72" s="3"/>
      <c r="K72" s="3"/>
      <c r="L72" s="3"/>
    </row>
    <row r="73" spans="1:13">
      <c r="A73" s="3"/>
      <c r="B73" s="94">
        <f t="shared" si="11"/>
        <v>2018</v>
      </c>
      <c r="C73" s="106">
        <f t="shared" si="12"/>
        <v>19377.236247076256</v>
      </c>
      <c r="D73" s="136">
        <f t="shared" si="13"/>
        <v>0.23371647509578541</v>
      </c>
      <c r="E73" s="106">
        <f t="shared" si="14"/>
        <v>4528.7793527649483</v>
      </c>
      <c r="F73" s="106">
        <f t="shared" si="15"/>
        <v>20227.779352764948</v>
      </c>
      <c r="G73" s="3"/>
      <c r="H73" s="3"/>
      <c r="I73" s="3"/>
      <c r="J73" s="3"/>
      <c r="K73" s="3"/>
      <c r="L73" s="3"/>
    </row>
    <row r="74" spans="1:13">
      <c r="A74" s="3"/>
      <c r="B74" s="94">
        <f t="shared" si="11"/>
        <v>2019</v>
      </c>
      <c r="C74" s="106">
        <f t="shared" si="12"/>
        <v>18221.858614790082</v>
      </c>
      <c r="D74" s="136">
        <f t="shared" si="13"/>
        <v>0.41486249268578124</v>
      </c>
      <c r="E74" s="106">
        <f t="shared" si="14"/>
        <v>7559.5656862996902</v>
      </c>
      <c r="F74" s="106">
        <f t="shared" si="15"/>
        <v>21790.565686299691</v>
      </c>
      <c r="G74" s="3"/>
      <c r="H74" s="3"/>
      <c r="I74" s="3"/>
      <c r="J74" s="3"/>
      <c r="K74" s="3"/>
      <c r="L74" s="3"/>
    </row>
    <row r="75" spans="1:13">
      <c r="B75" s="94">
        <f t="shared" si="11"/>
        <v>2020</v>
      </c>
      <c r="C75" s="106">
        <f t="shared" si="12"/>
        <v>17776.506457852014</v>
      </c>
      <c r="D75" s="136">
        <f t="shared" si="13"/>
        <v>0.58315964985410584</v>
      </c>
      <c r="E75" s="106">
        <f t="shared" si="14"/>
        <v>10366.541281590233</v>
      </c>
      <c r="F75" s="106">
        <f t="shared" si="15"/>
        <v>18329.541281590231</v>
      </c>
      <c r="M75" s="3"/>
    </row>
    <row r="76" spans="1:13">
      <c r="B76" s="107">
        <v>2021</v>
      </c>
      <c r="C76" s="110">
        <f t="shared" si="12"/>
        <v>19448.946321046889</v>
      </c>
      <c r="D76" s="140">
        <f t="shared" si="13"/>
        <v>0.74993748437109276</v>
      </c>
      <c r="E76" s="110">
        <f t="shared" si="14"/>
        <v>14585.493877674324</v>
      </c>
      <c r="F76" s="110">
        <f t="shared" si="15"/>
        <v>19495.493877674322</v>
      </c>
      <c r="M76" s="3"/>
    </row>
    <row r="77" spans="1:13">
      <c r="B77" s="94"/>
      <c r="C77" s="141">
        <f>SUM(C68:C76)</f>
        <v>164004.6250080902</v>
      </c>
      <c r="D77" s="332"/>
      <c r="E77" s="141">
        <f>SUM(E68:E76)</f>
        <v>42710.879698671932</v>
      </c>
      <c r="F77" s="141">
        <f>SUM(F68:F76)</f>
        <v>167233.87969867192</v>
      </c>
      <c r="M77" s="3"/>
    </row>
    <row r="79" spans="1:13">
      <c r="A79" s="17" t="s">
        <v>147</v>
      </c>
      <c r="B79" s="1" t="s">
        <v>1216</v>
      </c>
      <c r="C79" s="1"/>
      <c r="D79" s="1"/>
      <c r="E79" s="1"/>
      <c r="F79" s="1"/>
      <c r="G79" s="1"/>
      <c r="H79" s="1"/>
      <c r="I79" s="1"/>
      <c r="J79" s="1"/>
      <c r="K79" s="1"/>
      <c r="L79" s="1"/>
    </row>
    <row r="80" spans="1:13">
      <c r="A80" s="14"/>
      <c r="B80" s="470" t="s">
        <v>1217</v>
      </c>
      <c r="C80" s="377">
        <v>0.8</v>
      </c>
      <c r="D80" s="14"/>
      <c r="E80" s="14"/>
      <c r="F80" s="14"/>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ht="31.2">
      <c r="B83" s="93" t="s">
        <v>58</v>
      </c>
      <c r="C83" s="93" t="s">
        <v>204</v>
      </c>
      <c r="D83" s="93" t="s">
        <v>1211</v>
      </c>
      <c r="E83" s="93" t="s">
        <v>1218</v>
      </c>
      <c r="F83" s="93" t="s">
        <v>1219</v>
      </c>
      <c r="G83" s="3"/>
      <c r="H83" s="3"/>
      <c r="I83" s="3"/>
    </row>
    <row r="84" spans="1:12">
      <c r="B84" s="94">
        <f t="shared" ref="B84:B91" si="16">B85-1</f>
        <v>2013</v>
      </c>
      <c r="C84" s="106">
        <f t="shared" ref="C84:C92" si="17">D48</f>
        <v>28849.484272997033</v>
      </c>
      <c r="D84" s="106">
        <f t="shared" ref="D84:D92" si="18">G48</f>
        <v>18506.359922930787</v>
      </c>
      <c r="E84" s="136">
        <f>D84/C84</f>
        <v>0.64147974874728153</v>
      </c>
      <c r="F84" s="136">
        <f t="shared" ref="F84:F90" si="19">F85*$C$80</f>
        <v>0.16777216000000009</v>
      </c>
      <c r="G84" s="3"/>
      <c r="H84" s="3"/>
      <c r="I84" s="3"/>
    </row>
    <row r="85" spans="1:12">
      <c r="B85" s="94">
        <f t="shared" si="16"/>
        <v>2014</v>
      </c>
      <c r="C85" s="106">
        <f t="shared" si="17"/>
        <v>26223.441536964976</v>
      </c>
      <c r="D85" s="106">
        <f t="shared" si="18"/>
        <v>16218.292941540185</v>
      </c>
      <c r="E85" s="136">
        <f t="shared" ref="E85:E92" si="20">D85/C85</f>
        <v>0.61846546414125791</v>
      </c>
      <c r="F85" s="136">
        <f t="shared" si="19"/>
        <v>0.2097152000000001</v>
      </c>
      <c r="G85" s="3"/>
      <c r="H85" s="3"/>
      <c r="I85" s="3"/>
    </row>
    <row r="86" spans="1:12">
      <c r="B86" s="94">
        <f t="shared" si="16"/>
        <v>2015</v>
      </c>
      <c r="C86" s="106">
        <f t="shared" si="17"/>
        <v>25679.230147037579</v>
      </c>
      <c r="D86" s="106">
        <f t="shared" si="18"/>
        <v>20268.671221913472</v>
      </c>
      <c r="E86" s="136">
        <f t="shared" si="20"/>
        <v>0.78930213662389392</v>
      </c>
      <c r="F86" s="136">
        <f t="shared" si="19"/>
        <v>0.2621440000000001</v>
      </c>
      <c r="G86" s="3"/>
      <c r="H86" s="3"/>
      <c r="I86" s="3"/>
    </row>
    <row r="87" spans="1:12">
      <c r="B87" s="94">
        <f t="shared" si="16"/>
        <v>2016</v>
      </c>
      <c r="C87" s="106">
        <f t="shared" si="17"/>
        <v>26546.752293577974</v>
      </c>
      <c r="D87" s="106">
        <f t="shared" si="18"/>
        <v>19464.944560415999</v>
      </c>
      <c r="E87" s="136">
        <f t="shared" si="20"/>
        <v>0.73323261335906753</v>
      </c>
      <c r="F87" s="136">
        <f t="shared" si="19"/>
        <v>0.32768000000000014</v>
      </c>
      <c r="G87" s="3"/>
      <c r="H87" s="3"/>
      <c r="I87" s="3"/>
    </row>
    <row r="88" spans="1:12">
      <c r="B88" s="94">
        <f t="shared" si="16"/>
        <v>2017</v>
      </c>
      <c r="C88" s="106">
        <f t="shared" si="17"/>
        <v>26280.012942191541</v>
      </c>
      <c r="D88" s="106">
        <f t="shared" si="18"/>
        <v>17511.587484479998</v>
      </c>
      <c r="E88" s="136">
        <f t="shared" si="20"/>
        <v>0.66634622756847373</v>
      </c>
      <c r="F88" s="136">
        <f t="shared" si="19"/>
        <v>0.40960000000000013</v>
      </c>
      <c r="G88" s="3"/>
      <c r="H88" s="3"/>
      <c r="I88" s="3"/>
    </row>
    <row r="89" spans="1:12">
      <c r="B89" s="94">
        <f t="shared" si="16"/>
        <v>2018</v>
      </c>
      <c r="C89" s="106">
        <f t="shared" si="17"/>
        <v>22374.149425287353</v>
      </c>
      <c r="D89" s="106">
        <f t="shared" si="18"/>
        <v>16659.904392</v>
      </c>
      <c r="E89" s="136">
        <f t="shared" si="20"/>
        <v>0.74460503840074077</v>
      </c>
      <c r="F89" s="136">
        <f t="shared" si="19"/>
        <v>0.51200000000000012</v>
      </c>
      <c r="G89" s="3"/>
      <c r="H89" s="3"/>
      <c r="I89" s="3"/>
    </row>
    <row r="90" spans="1:12">
      <c r="B90" s="94">
        <f t="shared" si="16"/>
        <v>2019</v>
      </c>
      <c r="C90" s="106">
        <f t="shared" si="17"/>
        <v>15751.272674078404</v>
      </c>
      <c r="D90" s="106">
        <f t="shared" si="18"/>
        <v>11684.732400000001</v>
      </c>
      <c r="E90" s="136">
        <f t="shared" si="20"/>
        <v>0.74182782825094273</v>
      </c>
      <c r="F90" s="136">
        <f t="shared" si="19"/>
        <v>0.64000000000000012</v>
      </c>
      <c r="G90" s="3"/>
      <c r="H90" s="3"/>
      <c r="I90" s="3"/>
    </row>
    <row r="91" spans="1:12">
      <c r="B91" s="94">
        <f t="shared" si="16"/>
        <v>2020</v>
      </c>
      <c r="C91" s="106">
        <f t="shared" si="17"/>
        <v>10732.009170487701</v>
      </c>
      <c r="D91" s="106">
        <f t="shared" si="18"/>
        <v>8122.26</v>
      </c>
      <c r="E91" s="136">
        <f t="shared" si="20"/>
        <v>0.75682566712071631</v>
      </c>
      <c r="F91" s="136">
        <f>F92*$C$80</f>
        <v>0.8</v>
      </c>
      <c r="G91" s="3"/>
      <c r="H91" s="3"/>
      <c r="I91" s="3"/>
    </row>
    <row r="92" spans="1:12">
      <c r="B92" s="107">
        <v>2021</v>
      </c>
      <c r="C92" s="110">
        <f t="shared" si="17"/>
        <v>6905.7264316079027</v>
      </c>
      <c r="D92" s="110">
        <f t="shared" si="18"/>
        <v>4910</v>
      </c>
      <c r="E92" s="140">
        <f t="shared" si="20"/>
        <v>0.71100412804171487</v>
      </c>
      <c r="F92" s="140">
        <v>1</v>
      </c>
      <c r="G92" s="3"/>
      <c r="H92" s="3"/>
      <c r="I92" s="3"/>
    </row>
    <row r="93" spans="1:12">
      <c r="B93" s="3"/>
      <c r="C93" s="463">
        <f>SUM(C84:C92)</f>
        <v>189342.07889423048</v>
      </c>
      <c r="D93" s="463">
        <f>SUM(D84:D92)</f>
        <v>133346.75292328047</v>
      </c>
      <c r="E93" s="463"/>
      <c r="F93" s="463"/>
      <c r="G93" s="463"/>
      <c r="H93" s="3"/>
      <c r="I93" s="3"/>
    </row>
    <row r="94" spans="1:12">
      <c r="B94" s="3"/>
      <c r="C94" s="463"/>
      <c r="D94" s="463"/>
      <c r="E94" s="463"/>
      <c r="F94" s="463"/>
      <c r="G94" s="463"/>
      <c r="H94" s="3"/>
      <c r="I94" s="3"/>
    </row>
    <row r="95" spans="1:12">
      <c r="B95" s="3" t="s">
        <v>1220</v>
      </c>
      <c r="C95" s="141"/>
      <c r="D95" s="385">
        <f>SUMPRODUCT(C84:C92,E84:E92,F84:F92)/SUMPRODUCT(C84:C92,F84:F92)</f>
        <v>0.71757487337313741</v>
      </c>
      <c r="E95" s="471"/>
      <c r="F95" s="471"/>
      <c r="H95" s="3"/>
      <c r="I95" s="3"/>
    </row>
    <row r="96" spans="1:12">
      <c r="B96" s="3" t="s">
        <v>1221</v>
      </c>
      <c r="C96" s="141"/>
      <c r="D96" s="106">
        <f>D95*C20*D76+D20</f>
        <v>19771.171933361995</v>
      </c>
      <c r="E96" s="471"/>
      <c r="F96" s="471"/>
      <c r="H96" s="3"/>
      <c r="I96" s="3"/>
    </row>
    <row r="97" spans="2:9">
      <c r="B97" s="3"/>
      <c r="C97" s="3"/>
      <c r="D97" s="3"/>
      <c r="E97" s="3"/>
      <c r="F97" s="3"/>
      <c r="G97" s="3"/>
      <c r="H97" s="3"/>
      <c r="I97" s="3"/>
    </row>
    <row r="98" spans="2:9">
      <c r="B98" s="3"/>
      <c r="C98" s="3"/>
      <c r="D98" s="3"/>
      <c r="E98" s="3"/>
      <c r="F98" s="3"/>
      <c r="G98" s="3"/>
      <c r="H98" s="3"/>
      <c r="I98" s="3"/>
    </row>
  </sheetData>
  <mergeCells count="2">
    <mergeCell ref="F27:G27"/>
    <mergeCell ref="F28:G28"/>
  </mergeCells>
  <hyperlinks>
    <hyperlink ref="O1" location="TOC!A1" display="Table of Contents" xr:uid="{3B1B25E3-7D93-4FEB-AAC3-944F3B6F0A9F}"/>
  </hyperlinks>
  <pageMargins left="0.7" right="0.7" top="0.75" bottom="0.75" header="0.3" footer="0.3"/>
  <pageSetup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4439-F17C-40F0-850E-D721008FC180}">
  <dimension ref="A1:R61"/>
  <sheetViews>
    <sheetView zoomScaleNormal="100" workbookViewId="0"/>
  </sheetViews>
  <sheetFormatPr defaultColWidth="8.88671875" defaultRowHeight="15.6"/>
  <cols>
    <col min="1" max="2" width="8.88671875" style="2" customWidth="1"/>
    <col min="3" max="12" width="12.6640625" style="2" customWidth="1"/>
    <col min="13" max="16384" width="8.88671875" style="2"/>
  </cols>
  <sheetData>
    <row r="1" spans="1:15" ht="17.399999999999999">
      <c r="A1" s="13" t="s">
        <v>1933</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1222</v>
      </c>
      <c r="B3" s="1"/>
      <c r="C3" s="1"/>
      <c r="D3" s="1"/>
      <c r="E3" s="1"/>
      <c r="F3" s="1"/>
      <c r="G3" s="1"/>
      <c r="H3" s="1"/>
      <c r="I3" s="1"/>
      <c r="J3" s="1"/>
      <c r="K3" s="1"/>
      <c r="L3" s="14"/>
    </row>
    <row r="4" spans="1:15">
      <c r="A4" s="43"/>
      <c r="B4" s="1"/>
      <c r="C4" s="1"/>
      <c r="D4" s="1"/>
      <c r="E4" s="1"/>
      <c r="F4" s="1"/>
      <c r="G4" s="1"/>
      <c r="H4" s="1"/>
      <c r="I4" s="1"/>
      <c r="J4" s="1"/>
      <c r="K4" s="1"/>
      <c r="L4" s="1"/>
    </row>
    <row r="5" spans="1:15">
      <c r="A5" s="43"/>
      <c r="B5" s="829" t="s">
        <v>1223</v>
      </c>
      <c r="C5" s="841" t="s">
        <v>1224</v>
      </c>
      <c r="D5" s="841"/>
      <c r="E5" s="841" t="s">
        <v>1225</v>
      </c>
      <c r="F5" s="841"/>
      <c r="G5" s="841"/>
      <c r="H5" s="841"/>
      <c r="I5" s="841"/>
      <c r="J5" s="1"/>
      <c r="K5" s="1"/>
      <c r="L5" s="1"/>
    </row>
    <row r="6" spans="1:15" ht="31.2">
      <c r="A6" s="43"/>
      <c r="B6" s="829"/>
      <c r="C6" s="5" t="s">
        <v>1226</v>
      </c>
      <c r="D6" s="5" t="s">
        <v>1227</v>
      </c>
      <c r="E6" s="5">
        <v>2017</v>
      </c>
      <c r="F6" s="5">
        <v>2018</v>
      </c>
      <c r="G6" s="5">
        <v>2019</v>
      </c>
      <c r="H6" s="5">
        <v>2020</v>
      </c>
      <c r="I6" s="5">
        <v>2021</v>
      </c>
      <c r="J6" s="1"/>
      <c r="K6" s="1"/>
      <c r="L6" s="1"/>
    </row>
    <row r="7" spans="1:15">
      <c r="A7" s="43"/>
      <c r="B7" s="32">
        <v>1</v>
      </c>
      <c r="C7" s="184">
        <v>0.93</v>
      </c>
      <c r="D7" s="184">
        <v>0.93400000000000005</v>
      </c>
      <c r="E7" s="92">
        <v>4605</v>
      </c>
      <c r="F7" s="92">
        <v>4406</v>
      </c>
      <c r="G7" s="92">
        <v>4165</v>
      </c>
      <c r="H7" s="92">
        <v>3888</v>
      </c>
      <c r="I7" s="92">
        <v>3782</v>
      </c>
      <c r="J7" s="1"/>
      <c r="K7" s="1"/>
      <c r="L7" s="1"/>
    </row>
    <row r="8" spans="1:15">
      <c r="A8" s="1"/>
      <c r="B8" s="32">
        <v>2</v>
      </c>
      <c r="C8" s="184">
        <v>0.95199999999999996</v>
      </c>
      <c r="D8" s="184">
        <v>0.95199999999999996</v>
      </c>
      <c r="E8" s="92">
        <v>4974</v>
      </c>
      <c r="F8" s="92">
        <v>4956</v>
      </c>
      <c r="G8" s="92">
        <v>4889</v>
      </c>
      <c r="H8" s="92">
        <v>4772</v>
      </c>
      <c r="I8" s="92">
        <v>4683</v>
      </c>
      <c r="J8" s="1"/>
      <c r="K8" s="1"/>
      <c r="L8" s="1"/>
    </row>
    <row r="9" spans="1:15">
      <c r="A9" s="1"/>
      <c r="B9" s="32">
        <v>3</v>
      </c>
      <c r="C9" s="184">
        <v>0.97599999999999998</v>
      </c>
      <c r="D9" s="184">
        <v>0.97599999999999998</v>
      </c>
      <c r="E9" s="92">
        <v>4421</v>
      </c>
      <c r="F9" s="92">
        <v>4222</v>
      </c>
      <c r="G9" s="92">
        <v>4527</v>
      </c>
      <c r="H9" s="92">
        <v>4772</v>
      </c>
      <c r="I9" s="92">
        <v>5404</v>
      </c>
      <c r="J9" s="1"/>
      <c r="K9" s="1"/>
      <c r="L9" s="1"/>
    </row>
    <row r="10" spans="1:15">
      <c r="A10" s="43"/>
      <c r="B10" s="32">
        <v>4</v>
      </c>
      <c r="C10" s="184">
        <v>1</v>
      </c>
      <c r="D10" s="184">
        <v>1</v>
      </c>
      <c r="E10" s="92">
        <v>3500</v>
      </c>
      <c r="F10" s="92">
        <v>3488</v>
      </c>
      <c r="G10" s="92">
        <v>3803</v>
      </c>
      <c r="H10" s="92">
        <v>4242</v>
      </c>
      <c r="I10" s="92">
        <v>5043</v>
      </c>
      <c r="J10" s="1"/>
      <c r="K10" s="1"/>
      <c r="L10" s="1"/>
    </row>
    <row r="11" spans="1:15">
      <c r="A11" s="1"/>
      <c r="B11" s="32">
        <v>5</v>
      </c>
      <c r="C11" s="184">
        <v>1.024</v>
      </c>
      <c r="D11" s="184">
        <v>1.0249999999999999</v>
      </c>
      <c r="E11" s="92">
        <v>2947</v>
      </c>
      <c r="F11" s="92">
        <v>3121</v>
      </c>
      <c r="G11" s="92">
        <v>3259</v>
      </c>
      <c r="H11" s="92">
        <v>3535</v>
      </c>
      <c r="I11" s="92">
        <v>3963</v>
      </c>
      <c r="J11" s="1"/>
      <c r="K11" s="1"/>
      <c r="L11" s="1"/>
    </row>
    <row r="12" spans="1:15">
      <c r="A12" s="1"/>
      <c r="B12" s="32">
        <v>6</v>
      </c>
      <c r="C12" s="184">
        <v>1.048</v>
      </c>
      <c r="D12" s="184">
        <v>1.052</v>
      </c>
      <c r="E12" s="92">
        <v>2026</v>
      </c>
      <c r="F12" s="92">
        <v>2754</v>
      </c>
      <c r="G12" s="92">
        <v>2897</v>
      </c>
      <c r="H12" s="92">
        <v>3181</v>
      </c>
      <c r="I12" s="92">
        <v>3422</v>
      </c>
      <c r="J12" s="1"/>
      <c r="K12" s="1"/>
      <c r="L12" s="1"/>
    </row>
    <row r="13" spans="1:15">
      <c r="A13" s="1"/>
      <c r="B13" s="32">
        <v>7</v>
      </c>
      <c r="C13" s="184">
        <v>1.0720000000000001</v>
      </c>
      <c r="D13" s="184">
        <v>1.08</v>
      </c>
      <c r="E13" s="92">
        <v>1289</v>
      </c>
      <c r="F13" s="92">
        <v>1836</v>
      </c>
      <c r="G13" s="92">
        <v>1992</v>
      </c>
      <c r="H13" s="92">
        <v>2297</v>
      </c>
      <c r="I13" s="92">
        <v>2702</v>
      </c>
      <c r="J13" s="1"/>
      <c r="K13" s="1"/>
      <c r="L13" s="1"/>
    </row>
    <row r="14" spans="1:15">
      <c r="A14" s="1"/>
      <c r="B14" s="32">
        <v>8</v>
      </c>
      <c r="C14" s="184">
        <v>1.0920000000000001</v>
      </c>
      <c r="D14" s="184">
        <v>1.105</v>
      </c>
      <c r="E14" s="32">
        <v>737</v>
      </c>
      <c r="F14" s="32">
        <v>918</v>
      </c>
      <c r="G14" s="92">
        <v>1268</v>
      </c>
      <c r="H14" s="92">
        <v>1414</v>
      </c>
      <c r="I14" s="92">
        <v>1801</v>
      </c>
      <c r="J14" s="1"/>
      <c r="K14" s="1"/>
      <c r="L14" s="1"/>
    </row>
    <row r="15" spans="1:15">
      <c r="A15" s="1"/>
      <c r="B15" s="27" t="s">
        <v>132</v>
      </c>
      <c r="C15" s="27"/>
      <c r="D15" s="27"/>
      <c r="E15" s="196">
        <f>SUM(E7:E14)</f>
        <v>24499</v>
      </c>
      <c r="F15" s="196">
        <f t="shared" ref="F15:I15" si="0">SUM(F7:F14)</f>
        <v>25701</v>
      </c>
      <c r="G15" s="196">
        <f t="shared" si="0"/>
        <v>26800</v>
      </c>
      <c r="H15" s="196">
        <f t="shared" si="0"/>
        <v>28101</v>
      </c>
      <c r="I15" s="196">
        <f t="shared" si="0"/>
        <v>30800</v>
      </c>
      <c r="J15" s="1"/>
      <c r="K15" s="1"/>
      <c r="L15" s="1"/>
    </row>
    <row r="16" spans="1:15">
      <c r="A16" s="1"/>
      <c r="B16" s="1"/>
      <c r="C16" s="1"/>
      <c r="D16" s="1"/>
      <c r="E16" s="1"/>
      <c r="F16" s="1"/>
      <c r="G16" s="1"/>
      <c r="H16" s="1"/>
      <c r="I16" s="1"/>
      <c r="J16" s="1"/>
      <c r="K16" s="1"/>
      <c r="L16" s="1"/>
    </row>
    <row r="17" spans="1:18">
      <c r="A17" s="1"/>
      <c r="B17" s="204" t="s">
        <v>1228</v>
      </c>
      <c r="C17" s="1"/>
      <c r="D17" s="1"/>
      <c r="E17" s="1"/>
      <c r="F17" s="1"/>
      <c r="G17" s="437">
        <v>25256000</v>
      </c>
      <c r="H17" s="1"/>
      <c r="I17" s="1"/>
      <c r="J17" s="1"/>
      <c r="K17" s="1"/>
      <c r="L17" s="1"/>
    </row>
    <row r="18" spans="1:18">
      <c r="A18" s="1"/>
      <c r="B18" s="204" t="s">
        <v>1229</v>
      </c>
      <c r="C18" s="1"/>
      <c r="D18" s="1"/>
      <c r="E18" s="1"/>
      <c r="F18" s="1"/>
      <c r="G18" s="1"/>
      <c r="H18" s="1"/>
      <c r="I18" s="1"/>
      <c r="J18" s="1"/>
      <c r="K18" s="1"/>
      <c r="L18" s="1"/>
    </row>
    <row r="19" spans="1:18">
      <c r="A19" s="1"/>
      <c r="B19" s="204" t="s">
        <v>1230</v>
      </c>
      <c r="C19" s="1"/>
      <c r="D19" s="1"/>
      <c r="E19" s="1"/>
      <c r="F19" s="1"/>
      <c r="G19" s="1"/>
      <c r="H19" s="1"/>
      <c r="I19" s="1"/>
      <c r="J19" s="1"/>
      <c r="K19" s="1"/>
      <c r="L19" s="1"/>
    </row>
    <row r="20" spans="1:18">
      <c r="A20" s="1"/>
      <c r="B20" s="204" t="s">
        <v>1231</v>
      </c>
      <c r="C20" s="1"/>
      <c r="D20" s="1"/>
      <c r="E20" s="1"/>
      <c r="F20" s="1"/>
      <c r="G20" s="1"/>
      <c r="H20" s="1"/>
      <c r="I20" s="1"/>
      <c r="J20" s="1"/>
      <c r="K20" s="1"/>
      <c r="L20" s="1"/>
    </row>
    <row r="21" spans="1:18">
      <c r="A21" s="1"/>
      <c r="B21" s="1"/>
      <c r="C21" s="1"/>
      <c r="D21" s="1"/>
      <c r="E21" s="1"/>
      <c r="F21" s="1"/>
      <c r="G21" s="1"/>
      <c r="H21" s="1"/>
      <c r="I21" s="1"/>
      <c r="J21" s="1"/>
      <c r="K21" s="1"/>
      <c r="L21" s="1"/>
    </row>
    <row r="22" spans="1:18">
      <c r="A22" s="3"/>
      <c r="B22" s="3"/>
      <c r="C22" s="3"/>
      <c r="D22" s="3"/>
      <c r="E22" s="3"/>
      <c r="F22" s="3"/>
      <c r="G22" s="3"/>
      <c r="H22" s="3"/>
      <c r="I22" s="3"/>
      <c r="J22" s="3"/>
      <c r="K22" s="3"/>
      <c r="L22" s="3"/>
    </row>
    <row r="23" spans="1:18">
      <c r="A23" s="17" t="s">
        <v>91</v>
      </c>
      <c r="B23" s="1" t="s">
        <v>1232</v>
      </c>
      <c r="C23" s="1"/>
      <c r="D23" s="1"/>
      <c r="E23" s="1"/>
      <c r="F23" s="1"/>
      <c r="G23" s="1"/>
      <c r="H23" s="1"/>
      <c r="I23" s="1"/>
      <c r="J23" s="1"/>
      <c r="K23" s="1"/>
      <c r="L23" s="1"/>
      <c r="M23" s="9"/>
      <c r="N23" s="9"/>
      <c r="O23" s="9"/>
      <c r="P23" s="9"/>
      <c r="Q23" s="9"/>
      <c r="R23" s="9"/>
    </row>
    <row r="24" spans="1:18">
      <c r="A24" s="14"/>
      <c r="B24" s="14"/>
      <c r="C24" s="14"/>
      <c r="D24" s="14"/>
      <c r="E24" s="14"/>
      <c r="F24" s="14"/>
      <c r="G24" s="1"/>
      <c r="H24" s="1"/>
      <c r="I24" s="1"/>
      <c r="J24" s="1"/>
      <c r="K24" s="1"/>
      <c r="L24" s="1"/>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3"/>
      <c r="B27" s="3" t="str">
        <f>"Weighted average differentials using rates "&amp;C6</f>
        <v>Weighted average differentials using rates Prior to July 1, 2021</v>
      </c>
      <c r="C27" s="3"/>
      <c r="D27" s="3"/>
      <c r="E27" s="3"/>
      <c r="G27" s="472">
        <f>SUMPRODUCT(C7:C14,I7:I14)/I15</f>
        <v>1.0000124675324675</v>
      </c>
      <c r="H27" s="3"/>
      <c r="I27" s="3"/>
      <c r="J27" s="3"/>
      <c r="K27" s="3"/>
      <c r="L27" s="3"/>
      <c r="M27" s="3"/>
      <c r="N27" s="9"/>
    </row>
    <row r="28" spans="1:18">
      <c r="A28" s="3"/>
      <c r="B28" s="3" t="str">
        <f>"Weighted average differentials using rates "&amp;D6</f>
        <v>Weighted average differentials using rates Effective July 1, 2021</v>
      </c>
      <c r="C28" s="3"/>
      <c r="D28" s="3"/>
      <c r="E28" s="3"/>
      <c r="G28" s="472">
        <f>SUMPRODUCT(D7:D14,I7:I14)/I15</f>
        <v>1.0025387012987013</v>
      </c>
      <c r="H28" s="3"/>
      <c r="I28" s="3"/>
      <c r="J28" s="3"/>
      <c r="K28" s="3"/>
      <c r="L28" s="3"/>
      <c r="M28" s="3"/>
      <c r="N28" s="9"/>
    </row>
    <row r="29" spans="1:18">
      <c r="B29" s="3"/>
      <c r="C29" s="3"/>
      <c r="D29" s="3"/>
      <c r="E29" s="3"/>
      <c r="F29" s="3"/>
      <c r="M29" s="9"/>
      <c r="N29" s="9"/>
    </row>
    <row r="30" spans="1:18">
      <c r="B30" s="3" t="s">
        <v>1233</v>
      </c>
      <c r="C30" s="3"/>
      <c r="D30" s="3"/>
      <c r="E30" s="3"/>
      <c r="F30" s="3"/>
      <c r="G30" s="259">
        <f>G28/G27-1</f>
        <v>2.5262022707248644E-3</v>
      </c>
      <c r="M30" s="9"/>
      <c r="N30" s="9"/>
    </row>
    <row r="32" spans="1:18">
      <c r="A32" s="17" t="s">
        <v>133</v>
      </c>
      <c r="B32" s="1" t="s">
        <v>1234</v>
      </c>
      <c r="C32" s="1"/>
      <c r="D32" s="1"/>
      <c r="E32" s="1"/>
      <c r="F32" s="1"/>
      <c r="G32" s="1"/>
      <c r="H32" s="1"/>
      <c r="I32" s="1"/>
      <c r="J32" s="1"/>
      <c r="K32" s="1"/>
      <c r="L32" s="1"/>
    </row>
    <row r="33" spans="1:13">
      <c r="A33" s="14"/>
      <c r="B33" s="14"/>
      <c r="C33" s="14"/>
      <c r="D33" s="14"/>
      <c r="E33" s="14"/>
      <c r="F33" s="14"/>
      <c r="G33" s="1"/>
      <c r="H33" s="1"/>
      <c r="I33" s="1"/>
      <c r="J33" s="1"/>
      <c r="K33" s="1"/>
      <c r="L33" s="1"/>
    </row>
    <row r="34" spans="1:13">
      <c r="A34" s="3"/>
      <c r="B34" s="3"/>
      <c r="C34" s="3"/>
      <c r="D34" s="3"/>
      <c r="E34" s="3"/>
      <c r="F34" s="3"/>
      <c r="G34" s="3"/>
      <c r="H34" s="3"/>
      <c r="I34" s="3"/>
      <c r="J34" s="3"/>
      <c r="K34" s="3"/>
      <c r="L34" s="3"/>
    </row>
    <row r="35" spans="1:13">
      <c r="A35" s="3" t="s">
        <v>20</v>
      </c>
      <c r="B35" s="3"/>
      <c r="C35" s="3"/>
      <c r="D35" s="3"/>
      <c r="E35" s="3"/>
      <c r="F35" s="3"/>
      <c r="G35" s="3"/>
      <c r="H35" s="3"/>
      <c r="I35" s="3"/>
      <c r="J35" s="3"/>
      <c r="K35" s="3"/>
      <c r="L35" s="3"/>
    </row>
    <row r="36" spans="1:13">
      <c r="B36" s="319"/>
      <c r="C36" s="319"/>
      <c r="D36" s="319"/>
      <c r="E36" s="84">
        <v>2017</v>
      </c>
      <c r="F36" s="84">
        <v>2018</v>
      </c>
      <c r="G36" s="84">
        <v>2019</v>
      </c>
      <c r="H36" s="84">
        <v>2020</v>
      </c>
      <c r="I36" s="84">
        <v>2021</v>
      </c>
      <c r="M36" s="3"/>
    </row>
    <row r="37" spans="1:13">
      <c r="B37" s="3" t="s">
        <v>1235</v>
      </c>
      <c r="C37" s="3"/>
      <c r="D37" s="3"/>
      <c r="E37" s="473">
        <f>SUMPRODUCT($D$7:$D$14,E7:E14)/E15</f>
        <v>0.98819323237683154</v>
      </c>
      <c r="F37" s="473">
        <f>SUMPRODUCT($D$7:$D$14,F7:F14)/F15</f>
        <v>0.9935602116649157</v>
      </c>
      <c r="G37" s="473">
        <f>SUMPRODUCT($D$7:$D$14,G7:G14)/G15</f>
        <v>0.99650779850746263</v>
      </c>
      <c r="H37" s="473">
        <f>SUMPRODUCT($D$7:$D$14,H7:H14)/H15</f>
        <v>0.99949556955268481</v>
      </c>
      <c r="I37" s="473">
        <f>SUMPRODUCT($D$7:$D$14,I7:I14)/I15</f>
        <v>1.0025387012987013</v>
      </c>
    </row>
    <row r="38" spans="1:13">
      <c r="B38" s="100" t="s">
        <v>1236</v>
      </c>
      <c r="C38" s="3"/>
      <c r="D38" s="3"/>
      <c r="E38" s="3"/>
    </row>
    <row r="39" spans="1:13">
      <c r="B39" s="3" t="s">
        <v>1237</v>
      </c>
      <c r="C39" s="3"/>
      <c r="D39" s="3"/>
      <c r="E39" s="3"/>
      <c r="F39" s="95">
        <f>F37/E37-1</f>
        <v>5.4311030598492849E-3</v>
      </c>
      <c r="G39" s="95">
        <f>G37/F37-1</f>
        <v>2.9666917092097123E-3</v>
      </c>
      <c r="H39" s="95">
        <f>H37/G37-1</f>
        <v>2.9982415086937664E-3</v>
      </c>
      <c r="I39" s="95">
        <f>I37/H37-1</f>
        <v>3.0446675690403158E-3</v>
      </c>
    </row>
    <row r="40" spans="1:13">
      <c r="B40" s="3"/>
      <c r="C40" s="3"/>
      <c r="D40" s="3"/>
      <c r="F40" s="3"/>
      <c r="G40" s="3"/>
      <c r="H40" s="3"/>
      <c r="I40" s="3"/>
    </row>
    <row r="41" spans="1:13">
      <c r="B41" s="3" t="s">
        <v>1238</v>
      </c>
      <c r="C41" s="3"/>
      <c r="D41" s="3"/>
      <c r="E41" s="112">
        <v>3.0032002623145981E-3</v>
      </c>
      <c r="G41" s="3"/>
      <c r="H41" s="3"/>
      <c r="I41" s="3"/>
    </row>
    <row r="42" spans="1:13">
      <c r="B42" s="2" t="s">
        <v>1239</v>
      </c>
    </row>
    <row r="45" spans="1:13">
      <c r="A45" s="17" t="s">
        <v>18</v>
      </c>
      <c r="B45" s="1" t="s">
        <v>1240</v>
      </c>
      <c r="C45" s="1"/>
      <c r="D45" s="1"/>
      <c r="E45" s="1"/>
      <c r="F45" s="1"/>
      <c r="G45" s="1"/>
      <c r="H45" s="1"/>
      <c r="I45" s="1"/>
      <c r="J45" s="1"/>
      <c r="K45" s="1"/>
      <c r="L45" s="1"/>
    </row>
    <row r="46" spans="1:13">
      <c r="A46" s="14"/>
      <c r="B46" s="14"/>
      <c r="C46" s="14"/>
      <c r="D46" s="14"/>
      <c r="E46" s="14"/>
      <c r="F46" s="14"/>
      <c r="G46" s="1"/>
      <c r="H46" s="1"/>
      <c r="I46" s="1"/>
      <c r="J46" s="1"/>
      <c r="K46" s="1"/>
      <c r="L46" s="1"/>
    </row>
    <row r="47" spans="1:13">
      <c r="A47" s="3"/>
      <c r="B47" s="3"/>
      <c r="C47" s="3"/>
      <c r="D47" s="3"/>
      <c r="E47" s="3"/>
      <c r="F47" s="3"/>
      <c r="G47" s="3"/>
      <c r="H47" s="3"/>
      <c r="I47" s="3"/>
      <c r="J47" s="3"/>
      <c r="K47" s="3"/>
      <c r="L47" s="3"/>
    </row>
    <row r="48" spans="1:13">
      <c r="A48" s="3" t="s">
        <v>20</v>
      </c>
      <c r="B48" s="3"/>
      <c r="C48" s="3"/>
      <c r="D48" s="3"/>
      <c r="E48" s="3"/>
      <c r="F48" s="3"/>
      <c r="G48" s="3"/>
      <c r="H48" s="3"/>
      <c r="I48" s="3"/>
      <c r="J48" s="3"/>
      <c r="K48" s="3"/>
      <c r="L48" s="3"/>
    </row>
    <row r="49" spans="2:14">
      <c r="M49" s="3"/>
      <c r="N49" s="3"/>
    </row>
    <row r="50" spans="2:14">
      <c r="B50" s="3" t="s">
        <v>166</v>
      </c>
      <c r="D50" s="443">
        <v>44835</v>
      </c>
      <c r="E50" s="94" t="s">
        <v>1241</v>
      </c>
      <c r="F50" s="94">
        <v>1</v>
      </c>
      <c r="G50" s="3" t="s">
        <v>1242</v>
      </c>
      <c r="M50" s="3"/>
      <c r="N50" s="3"/>
    </row>
    <row r="51" spans="2:14">
      <c r="B51" s="3" t="s">
        <v>1243</v>
      </c>
      <c r="C51" s="3"/>
      <c r="D51" s="3"/>
      <c r="F51" s="181">
        <f>2/3</f>
        <v>0.66666666666666663</v>
      </c>
      <c r="G51" s="3"/>
    </row>
    <row r="52" spans="2:14">
      <c r="B52" s="3" t="s">
        <v>1244</v>
      </c>
      <c r="C52" s="3"/>
      <c r="D52" s="3"/>
      <c r="F52" s="181">
        <f>1-F51</f>
        <v>0.33333333333333337</v>
      </c>
      <c r="G52" s="3"/>
    </row>
    <row r="53" spans="2:14">
      <c r="B53" s="3"/>
      <c r="C53" s="3"/>
      <c r="D53" s="3"/>
      <c r="E53" s="3"/>
      <c r="F53" s="3"/>
      <c r="G53" s="3"/>
    </row>
    <row r="54" spans="2:14">
      <c r="B54" s="3" t="s">
        <v>1245</v>
      </c>
      <c r="C54" s="3"/>
      <c r="D54" s="3"/>
      <c r="E54" s="3"/>
      <c r="F54" s="62"/>
      <c r="H54" s="443">
        <f>DATE(YEAR(D50)+1,MONTH(D50),DAY(D50))</f>
        <v>45200</v>
      </c>
    </row>
    <row r="55" spans="2:14">
      <c r="B55" s="3" t="s">
        <v>1246</v>
      </c>
      <c r="C55" s="3"/>
      <c r="D55" s="3"/>
      <c r="E55" s="3"/>
      <c r="F55" s="3"/>
      <c r="H55" s="3">
        <f>(12*YEAR(H54)+MONTH(H54))-(12*2021+7)</f>
        <v>27</v>
      </c>
    </row>
    <row r="56" spans="2:14">
      <c r="B56" s="3" t="s">
        <v>1247</v>
      </c>
      <c r="C56" s="3"/>
      <c r="D56" s="3"/>
      <c r="E56" s="3"/>
      <c r="F56" s="62"/>
      <c r="H56" s="443">
        <f>DATE(YEAR(D50)+I56,MONTH(D50)+9-12*I56,1)</f>
        <v>45108</v>
      </c>
    </row>
    <row r="57" spans="2:14">
      <c r="B57" s="3" t="s">
        <v>1248</v>
      </c>
      <c r="C57" s="3"/>
      <c r="D57" s="3"/>
      <c r="E57" s="3"/>
      <c r="F57" s="3"/>
      <c r="H57" s="3">
        <f>(12*YEAR(H56)+MONTH(H56))-(12*2021+7)</f>
        <v>24</v>
      </c>
    </row>
    <row r="58" spans="2:14">
      <c r="B58" s="3" t="s">
        <v>1249</v>
      </c>
      <c r="C58" s="3"/>
      <c r="D58" s="3"/>
      <c r="E58" s="3"/>
      <c r="F58" s="3"/>
      <c r="H58" s="3">
        <f>F51*H55+H57*F52</f>
        <v>26</v>
      </c>
    </row>
    <row r="59" spans="2:14">
      <c r="B59" s="3"/>
      <c r="C59" s="3"/>
      <c r="D59" s="3"/>
      <c r="E59" s="3"/>
      <c r="F59" s="3"/>
      <c r="H59" s="3"/>
    </row>
    <row r="60" spans="2:14">
      <c r="B60" s="3" t="s">
        <v>1250</v>
      </c>
      <c r="C60" s="3"/>
      <c r="D60" s="3"/>
      <c r="E60" s="3"/>
      <c r="F60" s="3"/>
      <c r="H60" s="3">
        <f>(1+E41)^(H58/12)</f>
        <v>1.0065183350840001</v>
      </c>
    </row>
    <row r="61" spans="2:14">
      <c r="B61" s="3" t="s">
        <v>1251</v>
      </c>
      <c r="C61" s="3"/>
      <c r="D61" s="3"/>
      <c r="E61" s="3"/>
      <c r="F61" s="3"/>
      <c r="H61" s="12">
        <f>H60*G17</f>
        <v>25420627.070881508</v>
      </c>
    </row>
  </sheetData>
  <mergeCells count="3">
    <mergeCell ref="B5:B6"/>
    <mergeCell ref="C5:D5"/>
    <mergeCell ref="E5:I5"/>
  </mergeCells>
  <hyperlinks>
    <hyperlink ref="O1" location="TOC!A1" display="Table of Contents" xr:uid="{37C4A33E-3BAE-42C9-BFE0-E555EB46B328}"/>
  </hyperlinks>
  <pageMargins left="0.7" right="0.7" top="0.75" bottom="0.75" header="0.3" footer="0.3"/>
  <pageSetup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5207-A12C-413D-BB0F-5DAC5AFBFB5B}">
  <dimension ref="A1:R174"/>
  <sheetViews>
    <sheetView zoomScaleNormal="100" workbookViewId="0"/>
  </sheetViews>
  <sheetFormatPr defaultColWidth="8.88671875" defaultRowHeight="15.6"/>
  <cols>
    <col min="1" max="1" width="8.88671875" style="2" customWidth="1"/>
    <col min="2" max="2" width="17.109375" style="2" customWidth="1"/>
    <col min="3" max="6" width="15.6640625" style="2" customWidth="1"/>
    <col min="7" max="7" width="17.109375" style="2" customWidth="1"/>
    <col min="8" max="8" width="15.6640625" style="2" customWidth="1"/>
    <col min="9" max="9" width="14.77734375" style="2" customWidth="1"/>
    <col min="10" max="11" width="13.88671875" style="2" customWidth="1"/>
    <col min="12" max="16384" width="8.88671875" style="2"/>
  </cols>
  <sheetData>
    <row r="1" spans="1:15" ht="17.399999999999999">
      <c r="A1" s="13" t="s">
        <v>1934</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1252</v>
      </c>
      <c r="B3" s="1"/>
      <c r="C3" s="1"/>
      <c r="D3" s="1"/>
      <c r="E3" s="1"/>
      <c r="F3" s="1"/>
      <c r="G3" s="1"/>
      <c r="H3" s="1"/>
      <c r="I3" s="1"/>
      <c r="J3" s="1"/>
      <c r="K3" s="1"/>
      <c r="L3" s="14"/>
    </row>
    <row r="4" spans="1:15">
      <c r="A4" s="43"/>
      <c r="B4" s="1"/>
      <c r="C4" s="1"/>
      <c r="D4" s="1"/>
      <c r="E4" s="1"/>
      <c r="F4" s="1"/>
      <c r="G4" s="1"/>
      <c r="H4" s="1"/>
      <c r="I4" s="1"/>
      <c r="J4" s="1"/>
      <c r="K4" s="1"/>
      <c r="L4" s="1"/>
    </row>
    <row r="5" spans="1:15">
      <c r="A5" s="1" t="s">
        <v>575</v>
      </c>
      <c r="B5" s="1"/>
      <c r="C5" s="1"/>
      <c r="D5" s="1"/>
      <c r="E5" s="1"/>
      <c r="F5" s="1"/>
      <c r="G5" s="1"/>
      <c r="H5" s="1"/>
      <c r="I5" s="1"/>
      <c r="J5" s="1"/>
      <c r="K5" s="1"/>
      <c r="L5" s="1"/>
    </row>
    <row r="6" spans="1:15">
      <c r="A6" s="43"/>
      <c r="B6" s="1"/>
      <c r="C6" s="1"/>
      <c r="D6" s="1"/>
      <c r="E6" s="1"/>
      <c r="F6" s="1"/>
      <c r="G6" s="1"/>
      <c r="H6" s="1"/>
      <c r="I6" s="1"/>
      <c r="J6" s="1"/>
      <c r="K6" s="1"/>
      <c r="L6" s="1"/>
    </row>
    <row r="7" spans="1:15" ht="46.8">
      <c r="A7" s="43"/>
      <c r="B7" s="4" t="s">
        <v>49</v>
      </c>
      <c r="C7" s="4" t="s">
        <v>4</v>
      </c>
      <c r="D7" s="5" t="s">
        <v>1253</v>
      </c>
      <c r="E7" s="5" t="s">
        <v>1254</v>
      </c>
      <c r="F7" s="1"/>
      <c r="G7" s="1"/>
      <c r="H7" s="1"/>
      <c r="I7" s="1"/>
      <c r="J7" s="1"/>
      <c r="K7" s="1"/>
      <c r="L7" s="1"/>
    </row>
    <row r="8" spans="1:15">
      <c r="A8" s="43"/>
      <c r="B8" s="6">
        <v>2015</v>
      </c>
      <c r="C8" s="7">
        <v>11200</v>
      </c>
      <c r="D8" s="6">
        <v>0</v>
      </c>
      <c r="E8" s="6">
        <v>0</v>
      </c>
      <c r="F8" s="1"/>
      <c r="G8" s="1"/>
      <c r="H8" s="1"/>
      <c r="I8" s="1"/>
      <c r="J8" s="1"/>
      <c r="K8" s="1"/>
      <c r="L8" s="1"/>
    </row>
    <row r="9" spans="1:15">
      <c r="A9" s="1"/>
      <c r="B9" s="6">
        <v>2016</v>
      </c>
      <c r="C9" s="7">
        <v>11850</v>
      </c>
      <c r="D9" s="6">
        <v>0</v>
      </c>
      <c r="E9" s="6">
        <v>0</v>
      </c>
      <c r="F9" s="1"/>
      <c r="G9" s="1"/>
      <c r="H9" s="1"/>
      <c r="I9" s="1"/>
      <c r="J9" s="1"/>
      <c r="K9" s="1"/>
      <c r="L9" s="1"/>
    </row>
    <row r="10" spans="1:15">
      <c r="A10" s="1"/>
      <c r="B10" s="6">
        <v>2017</v>
      </c>
      <c r="C10" s="7">
        <v>12500</v>
      </c>
      <c r="D10" s="6">
        <v>1</v>
      </c>
      <c r="E10" s="7">
        <v>1500000</v>
      </c>
      <c r="F10" s="1"/>
      <c r="G10" s="1"/>
      <c r="H10" s="1"/>
      <c r="I10" s="1"/>
      <c r="J10" s="1"/>
      <c r="K10" s="1"/>
      <c r="L10" s="1"/>
    </row>
    <row r="11" spans="1:15">
      <c r="A11" s="43"/>
      <c r="B11" s="6">
        <v>2018</v>
      </c>
      <c r="C11" s="7">
        <v>13750</v>
      </c>
      <c r="D11" s="6">
        <v>0</v>
      </c>
      <c r="E11" s="6">
        <v>0</v>
      </c>
      <c r="F11" s="1"/>
      <c r="G11" s="1"/>
      <c r="H11" s="1"/>
      <c r="I11" s="1"/>
      <c r="J11" s="1"/>
      <c r="K11" s="1"/>
      <c r="L11" s="1"/>
    </row>
    <row r="12" spans="1:15">
      <c r="A12" s="1"/>
      <c r="B12" s="6">
        <v>2019</v>
      </c>
      <c r="C12" s="7">
        <v>15000</v>
      </c>
      <c r="D12" s="6">
        <v>1</v>
      </c>
      <c r="E12" s="7">
        <v>1120000</v>
      </c>
      <c r="F12" s="1"/>
      <c r="G12" s="1"/>
      <c r="H12" s="1"/>
      <c r="I12" s="1"/>
      <c r="J12" s="1"/>
      <c r="K12" s="1"/>
      <c r="L12" s="1"/>
    </row>
    <row r="13" spans="1:15">
      <c r="A13" s="1"/>
      <c r="B13" s="6">
        <v>2020</v>
      </c>
      <c r="C13" s="7">
        <v>16250</v>
      </c>
      <c r="D13" s="6">
        <v>0</v>
      </c>
      <c r="E13" s="6">
        <v>0</v>
      </c>
      <c r="F13" s="1"/>
      <c r="G13" s="1"/>
      <c r="H13" s="1"/>
      <c r="I13" s="1"/>
      <c r="J13" s="1"/>
      <c r="K13" s="1"/>
      <c r="L13" s="1"/>
    </row>
    <row r="14" spans="1:15">
      <c r="A14" s="1"/>
      <c r="B14" s="6">
        <v>2021</v>
      </c>
      <c r="C14" s="7">
        <v>17500</v>
      </c>
      <c r="D14" s="6">
        <v>1</v>
      </c>
      <c r="E14" s="7">
        <v>500000</v>
      </c>
      <c r="F14" s="1"/>
      <c r="G14" s="1"/>
      <c r="H14" s="1"/>
      <c r="I14" s="1"/>
      <c r="J14" s="1"/>
      <c r="K14" s="1"/>
      <c r="L14" s="1"/>
    </row>
    <row r="15" spans="1:15">
      <c r="A15" s="1"/>
      <c r="B15" s="1"/>
      <c r="C15" s="1"/>
      <c r="D15" s="1"/>
      <c r="E15" s="1"/>
      <c r="F15" s="1"/>
      <c r="G15" s="1"/>
      <c r="H15" s="1"/>
      <c r="I15" s="1"/>
      <c r="J15" s="1"/>
      <c r="K15" s="1"/>
      <c r="L15" s="1"/>
    </row>
    <row r="16" spans="1:15">
      <c r="A16" s="1"/>
      <c r="B16" s="204" t="s">
        <v>1255</v>
      </c>
      <c r="C16" s="1"/>
      <c r="D16" s="451">
        <v>44805</v>
      </c>
      <c r="E16" s="1" t="s">
        <v>1256</v>
      </c>
      <c r="F16" s="1"/>
      <c r="G16" s="1"/>
      <c r="H16" s="1"/>
      <c r="I16" s="1"/>
      <c r="J16" s="1"/>
      <c r="K16" s="1"/>
      <c r="L16" s="1"/>
    </row>
    <row r="17" spans="1:18">
      <c r="A17" s="1"/>
      <c r="B17" s="204" t="s">
        <v>1257</v>
      </c>
      <c r="C17" s="1"/>
      <c r="D17" s="1"/>
      <c r="E17" s="377">
        <v>0.03</v>
      </c>
      <c r="F17" s="1"/>
      <c r="G17" s="1"/>
      <c r="H17" s="1"/>
      <c r="I17" s="1"/>
      <c r="J17" s="1"/>
      <c r="K17" s="1"/>
      <c r="L17" s="1"/>
    </row>
    <row r="18" spans="1:18">
      <c r="A18" s="1"/>
      <c r="B18" s="204" t="s">
        <v>1258</v>
      </c>
      <c r="C18" s="1"/>
      <c r="D18" s="1"/>
      <c r="E18" s="1"/>
      <c r="F18" s="1"/>
      <c r="G18" s="377">
        <v>0.2</v>
      </c>
      <c r="H18" s="14"/>
      <c r="I18" s="1"/>
      <c r="J18" s="1"/>
      <c r="K18" s="1"/>
      <c r="L18" s="1"/>
    </row>
    <row r="19" spans="1:18">
      <c r="A19" s="1"/>
      <c r="B19" s="440" t="s">
        <v>1259</v>
      </c>
      <c r="C19" s="1"/>
      <c r="D19" s="1"/>
      <c r="E19" s="1"/>
      <c r="F19" s="1"/>
      <c r="G19" s="1"/>
      <c r="H19" s="1"/>
      <c r="I19" s="1"/>
      <c r="J19" s="1"/>
      <c r="K19" s="1"/>
      <c r="L19" s="1"/>
    </row>
    <row r="20" spans="1:18">
      <c r="A20" s="1"/>
      <c r="B20" s="204" t="s">
        <v>1260</v>
      </c>
      <c r="C20" s="1"/>
      <c r="D20" s="1"/>
      <c r="E20" s="1"/>
      <c r="F20" s="1"/>
      <c r="G20" s="1"/>
      <c r="H20" s="1"/>
      <c r="I20" s="228">
        <v>50</v>
      </c>
      <c r="J20" s="14"/>
      <c r="K20" s="1"/>
      <c r="L20" s="1"/>
    </row>
    <row r="21" spans="1:18">
      <c r="A21" s="1"/>
      <c r="B21" s="440" t="s">
        <v>1261</v>
      </c>
      <c r="C21" s="1"/>
      <c r="D21" s="1"/>
      <c r="E21" s="474">
        <v>44013</v>
      </c>
      <c r="F21" s="1"/>
      <c r="G21" s="1"/>
      <c r="H21" s="1"/>
      <c r="I21" s="1"/>
      <c r="J21" s="1"/>
      <c r="K21" s="1"/>
      <c r="L21" s="1"/>
    </row>
    <row r="22" spans="1:18">
      <c r="A22" s="1"/>
      <c r="B22" s="1"/>
      <c r="C22" s="1"/>
      <c r="D22" s="1"/>
      <c r="E22" s="1"/>
      <c r="F22" s="1"/>
      <c r="G22" s="1"/>
      <c r="H22" s="1"/>
      <c r="I22" s="1"/>
      <c r="J22" s="1"/>
      <c r="K22" s="1"/>
      <c r="L22" s="1"/>
    </row>
    <row r="24" spans="1:18">
      <c r="A24" s="17" t="s">
        <v>91</v>
      </c>
      <c r="B24" s="1" t="s">
        <v>1262</v>
      </c>
      <c r="C24" s="1"/>
      <c r="D24" s="1"/>
      <c r="E24" s="1"/>
      <c r="F24" s="1"/>
      <c r="G24" s="1"/>
      <c r="H24" s="1"/>
      <c r="I24" s="1"/>
      <c r="J24" s="1"/>
      <c r="K24" s="1"/>
      <c r="L24" s="1"/>
      <c r="M24" s="9"/>
      <c r="N24" s="9"/>
      <c r="O24" s="9"/>
      <c r="P24" s="9"/>
      <c r="Q24" s="9"/>
      <c r="R24" s="9"/>
    </row>
    <row r="25" spans="1:18">
      <c r="A25" s="14"/>
      <c r="B25" s="14"/>
      <c r="C25" s="14"/>
      <c r="D25" s="14"/>
      <c r="E25" s="14"/>
      <c r="F25" s="14"/>
      <c r="G25" s="1"/>
      <c r="H25" s="1"/>
      <c r="I25" s="1"/>
      <c r="J25" s="1"/>
      <c r="K25" s="1"/>
      <c r="L25" s="1"/>
    </row>
    <row r="26" spans="1:18">
      <c r="A26" s="3"/>
      <c r="B26" s="3"/>
      <c r="C26" s="3"/>
      <c r="D26" s="3"/>
      <c r="E26" s="3"/>
      <c r="F26" s="3"/>
      <c r="G26" s="3"/>
      <c r="H26" s="3"/>
      <c r="I26" s="3"/>
      <c r="J26" s="3"/>
      <c r="K26" s="379"/>
      <c r="L26" s="3"/>
      <c r="M26" s="3"/>
    </row>
    <row r="27" spans="1:18">
      <c r="A27" s="3" t="s">
        <v>20</v>
      </c>
      <c r="B27" s="3"/>
      <c r="C27" s="3"/>
      <c r="D27" s="3"/>
      <c r="E27" s="3"/>
      <c r="F27" s="3"/>
      <c r="G27" s="3"/>
      <c r="H27" s="3"/>
      <c r="I27" s="3"/>
      <c r="J27" s="3"/>
      <c r="K27" s="3"/>
      <c r="L27" s="3"/>
      <c r="M27" s="3"/>
      <c r="N27" s="9"/>
    </row>
    <row r="28" spans="1:18">
      <c r="A28" s="3"/>
      <c r="B28" s="3" t="s">
        <v>261</v>
      </c>
      <c r="C28" s="3"/>
      <c r="D28" s="3"/>
      <c r="E28" s="443">
        <v>45170</v>
      </c>
      <c r="F28" s="3"/>
      <c r="H28" s="3"/>
      <c r="I28" s="3"/>
      <c r="J28" s="3"/>
      <c r="K28" s="3"/>
      <c r="L28" s="3"/>
      <c r="M28" s="3"/>
      <c r="N28" s="9"/>
    </row>
    <row r="29" spans="1:18">
      <c r="A29" s="3"/>
      <c r="B29" s="274"/>
      <c r="C29" s="475"/>
      <c r="D29" s="475"/>
      <c r="E29" s="476"/>
      <c r="F29" s="274"/>
      <c r="G29" s="476"/>
      <c r="H29" s="274"/>
      <c r="I29" s="274"/>
      <c r="J29" s="477"/>
      <c r="K29" s="274"/>
      <c r="L29" s="3"/>
      <c r="M29" s="3"/>
      <c r="N29" s="9"/>
    </row>
    <row r="30" spans="1:18">
      <c r="A30" s="3"/>
      <c r="B30" s="94"/>
      <c r="C30" s="94"/>
      <c r="D30" s="824" t="s">
        <v>1263</v>
      </c>
      <c r="E30" s="824"/>
      <c r="F30" s="94"/>
      <c r="G30" s="94"/>
      <c r="H30" s="94"/>
      <c r="I30" s="824" t="s">
        <v>1264</v>
      </c>
      <c r="J30" s="824"/>
      <c r="K30" s="824"/>
      <c r="L30" s="3"/>
      <c r="M30" s="3"/>
      <c r="N30" s="9"/>
    </row>
    <row r="31" spans="1:18" ht="31.2">
      <c r="A31" s="3"/>
      <c r="B31" s="93" t="s">
        <v>49</v>
      </c>
      <c r="C31" s="93" t="s">
        <v>4</v>
      </c>
      <c r="D31" s="107" t="s">
        <v>304</v>
      </c>
      <c r="E31" s="478" t="s">
        <v>124</v>
      </c>
      <c r="F31" s="93" t="s">
        <v>1265</v>
      </c>
      <c r="G31" s="93" t="s">
        <v>1266</v>
      </c>
      <c r="H31" s="93" t="s">
        <v>587</v>
      </c>
      <c r="I31" s="93" t="s">
        <v>889</v>
      </c>
      <c r="J31" s="107" t="s">
        <v>512</v>
      </c>
      <c r="K31" s="93" t="s">
        <v>1267</v>
      </c>
      <c r="L31" s="3"/>
      <c r="M31" s="3"/>
      <c r="N31" s="9"/>
    </row>
    <row r="32" spans="1:18">
      <c r="A32" s="3"/>
      <c r="B32" s="479">
        <f t="shared" ref="B32:E38" si="0">B8</f>
        <v>2015</v>
      </c>
      <c r="C32" s="463">
        <f t="shared" si="0"/>
        <v>11200</v>
      </c>
      <c r="D32" s="463">
        <f t="shared" si="0"/>
        <v>0</v>
      </c>
      <c r="E32" s="463">
        <f t="shared" si="0"/>
        <v>0</v>
      </c>
      <c r="F32" s="332">
        <f t="shared" ref="F32:F38" si="1">(YEAR($E$28)+(MONTH($E$28)-1)/12)-(B32+0.5)</f>
        <v>8.1666666666667425</v>
      </c>
      <c r="G32" s="105">
        <f>(1+$E$17)^F32</f>
        <v>1.2730261800200213</v>
      </c>
      <c r="H32" s="106">
        <f t="shared" ref="H32:H38" si="2">G32*E32</f>
        <v>0</v>
      </c>
      <c r="I32" s="480">
        <f t="shared" ref="I32:I39" si="3">IF(C32=0,0,D32/C32)</f>
        <v>0</v>
      </c>
      <c r="J32" s="106">
        <f t="shared" ref="J32:J39" si="4">IF(D32=0,0,H32/D32)</f>
        <v>0</v>
      </c>
      <c r="K32" s="240">
        <f>H32/C32</f>
        <v>0</v>
      </c>
      <c r="L32" s="3"/>
      <c r="M32" s="3"/>
      <c r="N32" s="9"/>
    </row>
    <row r="33" spans="1:14">
      <c r="A33" s="3"/>
      <c r="B33" s="479">
        <f t="shared" si="0"/>
        <v>2016</v>
      </c>
      <c r="C33" s="463">
        <f t="shared" si="0"/>
        <v>11850</v>
      </c>
      <c r="D33" s="463">
        <f t="shared" si="0"/>
        <v>0</v>
      </c>
      <c r="E33" s="463">
        <f t="shared" si="0"/>
        <v>0</v>
      </c>
      <c r="F33" s="332">
        <f t="shared" si="1"/>
        <v>7.1666666666667425</v>
      </c>
      <c r="G33" s="105">
        <f t="shared" ref="G33:G38" si="5">(1+$E$17)^F33</f>
        <v>1.2359477475922536</v>
      </c>
      <c r="H33" s="106">
        <f t="shared" si="2"/>
        <v>0</v>
      </c>
      <c r="I33" s="480">
        <f t="shared" si="3"/>
        <v>0</v>
      </c>
      <c r="J33" s="106">
        <f t="shared" si="4"/>
        <v>0</v>
      </c>
      <c r="K33" s="240">
        <f t="shared" ref="K33:K38" si="6">H33/C33</f>
        <v>0</v>
      </c>
      <c r="L33" s="3"/>
      <c r="M33" s="3"/>
      <c r="N33" s="9"/>
    </row>
    <row r="34" spans="1:14">
      <c r="A34" s="3"/>
      <c r="B34" s="479">
        <f t="shared" si="0"/>
        <v>2017</v>
      </c>
      <c r="C34" s="463">
        <f t="shared" si="0"/>
        <v>12500</v>
      </c>
      <c r="D34" s="463">
        <f t="shared" si="0"/>
        <v>1</v>
      </c>
      <c r="E34" s="463">
        <f t="shared" si="0"/>
        <v>1500000</v>
      </c>
      <c r="F34" s="332">
        <f t="shared" si="1"/>
        <v>6.1666666666667425</v>
      </c>
      <c r="G34" s="105">
        <f t="shared" si="5"/>
        <v>1.1999492695070424</v>
      </c>
      <c r="H34" s="106">
        <f t="shared" si="2"/>
        <v>1799923.9042605637</v>
      </c>
      <c r="I34" s="480">
        <f t="shared" si="3"/>
        <v>8.0000000000000007E-5</v>
      </c>
      <c r="J34" s="106">
        <f t="shared" si="4"/>
        <v>1799923.9042605637</v>
      </c>
      <c r="K34" s="240">
        <f t="shared" si="6"/>
        <v>143.9939123408451</v>
      </c>
      <c r="L34" s="3"/>
      <c r="M34" s="3"/>
      <c r="N34" s="9"/>
    </row>
    <row r="35" spans="1:14">
      <c r="A35" s="3"/>
      <c r="B35" s="479">
        <f t="shared" si="0"/>
        <v>2018</v>
      </c>
      <c r="C35" s="463">
        <f t="shared" si="0"/>
        <v>13750</v>
      </c>
      <c r="D35" s="463">
        <f t="shared" si="0"/>
        <v>0</v>
      </c>
      <c r="E35" s="463">
        <f t="shared" si="0"/>
        <v>0</v>
      </c>
      <c r="F35" s="332">
        <f t="shared" si="1"/>
        <v>5.1666666666667425</v>
      </c>
      <c r="G35" s="105">
        <f t="shared" si="5"/>
        <v>1.1649992907835363</v>
      </c>
      <c r="H35" s="106">
        <f t="shared" si="2"/>
        <v>0</v>
      </c>
      <c r="I35" s="480">
        <f t="shared" si="3"/>
        <v>0</v>
      </c>
      <c r="J35" s="106">
        <f t="shared" si="4"/>
        <v>0</v>
      </c>
      <c r="K35" s="240">
        <f t="shared" si="6"/>
        <v>0</v>
      </c>
      <c r="L35" s="3"/>
      <c r="M35" s="3"/>
      <c r="N35" s="9"/>
    </row>
    <row r="36" spans="1:14">
      <c r="A36" s="3"/>
      <c r="B36" s="479">
        <f t="shared" si="0"/>
        <v>2019</v>
      </c>
      <c r="C36" s="463">
        <f t="shared" si="0"/>
        <v>15000</v>
      </c>
      <c r="D36" s="463">
        <f t="shared" si="0"/>
        <v>1</v>
      </c>
      <c r="E36" s="463">
        <f t="shared" si="0"/>
        <v>1120000</v>
      </c>
      <c r="F36" s="332">
        <f t="shared" si="1"/>
        <v>4.1666666666667425</v>
      </c>
      <c r="G36" s="105">
        <f t="shared" si="5"/>
        <v>1.131067272605375</v>
      </c>
      <c r="H36" s="106">
        <f t="shared" si="2"/>
        <v>1266795.3453180201</v>
      </c>
      <c r="I36" s="480">
        <f t="shared" si="3"/>
        <v>6.666666666666667E-5</v>
      </c>
      <c r="J36" s="106">
        <f t="shared" si="4"/>
        <v>1266795.3453180201</v>
      </c>
      <c r="K36" s="240">
        <f t="shared" si="6"/>
        <v>84.453023021201332</v>
      </c>
      <c r="L36" s="3"/>
      <c r="M36" s="3"/>
      <c r="N36" s="9"/>
    </row>
    <row r="37" spans="1:14">
      <c r="A37" s="3"/>
      <c r="B37" s="479">
        <f t="shared" si="0"/>
        <v>2020</v>
      </c>
      <c r="C37" s="463">
        <f t="shared" si="0"/>
        <v>16250</v>
      </c>
      <c r="D37" s="463">
        <f t="shared" si="0"/>
        <v>0</v>
      </c>
      <c r="E37" s="463">
        <f t="shared" si="0"/>
        <v>0</v>
      </c>
      <c r="F37" s="332">
        <f t="shared" si="1"/>
        <v>3.1666666666667425</v>
      </c>
      <c r="G37" s="105">
        <f t="shared" si="5"/>
        <v>1.0981235656362864</v>
      </c>
      <c r="H37" s="106">
        <f t="shared" si="2"/>
        <v>0</v>
      </c>
      <c r="I37" s="480">
        <f t="shared" si="3"/>
        <v>0</v>
      </c>
      <c r="J37" s="106">
        <f t="shared" si="4"/>
        <v>0</v>
      </c>
      <c r="K37" s="240">
        <f t="shared" si="6"/>
        <v>0</v>
      </c>
      <c r="L37" s="3"/>
      <c r="M37" s="3"/>
      <c r="N37" s="9"/>
    </row>
    <row r="38" spans="1:14">
      <c r="A38" s="3"/>
      <c r="B38" s="481">
        <f t="shared" si="0"/>
        <v>2021</v>
      </c>
      <c r="C38" s="352">
        <f t="shared" si="0"/>
        <v>17500</v>
      </c>
      <c r="D38" s="352">
        <f t="shared" si="0"/>
        <v>1</v>
      </c>
      <c r="E38" s="352">
        <f t="shared" si="0"/>
        <v>500000</v>
      </c>
      <c r="F38" s="335">
        <f t="shared" si="1"/>
        <v>2.1666666666667425</v>
      </c>
      <c r="G38" s="109">
        <f t="shared" si="5"/>
        <v>1.0661393841128992</v>
      </c>
      <c r="H38" s="110">
        <f t="shared" si="2"/>
        <v>533069.6920564496</v>
      </c>
      <c r="I38" s="482">
        <f t="shared" si="3"/>
        <v>5.7142857142857142E-5</v>
      </c>
      <c r="J38" s="110">
        <f t="shared" si="4"/>
        <v>533069.6920564496</v>
      </c>
      <c r="K38" s="370">
        <f t="shared" si="6"/>
        <v>30.461125260368547</v>
      </c>
      <c r="L38" s="3"/>
      <c r="M38" s="3"/>
      <c r="N38" s="9"/>
    </row>
    <row r="39" spans="1:14">
      <c r="A39" s="3"/>
      <c r="B39" s="94" t="s">
        <v>132</v>
      </c>
      <c r="C39" s="463">
        <f>SUM(C32:C38)</f>
        <v>98050</v>
      </c>
      <c r="D39" s="463">
        <f>SUM(D32:D38)</f>
        <v>3</v>
      </c>
      <c r="E39" s="463">
        <f>SUM(E32:E38)</f>
        <v>3120000</v>
      </c>
      <c r="F39" s="463"/>
      <c r="G39" s="483"/>
      <c r="H39" s="463">
        <f>SUM(H32:H38)</f>
        <v>3599788.9416350336</v>
      </c>
      <c r="I39" s="480">
        <f t="shared" si="3"/>
        <v>3.0596634370219274E-5</v>
      </c>
      <c r="J39" s="106">
        <f t="shared" si="4"/>
        <v>1199929.6472116779</v>
      </c>
      <c r="K39" s="240">
        <f t="shared" ref="K39" si="7">IF(C39=0,0,H39/C39)</f>
        <v>36.713808685721915</v>
      </c>
      <c r="L39" s="3"/>
      <c r="M39" s="3"/>
      <c r="N39" s="9"/>
    </row>
    <row r="40" spans="1:14">
      <c r="M40" s="9"/>
      <c r="N40" s="9"/>
    </row>
    <row r="41" spans="1:14">
      <c r="A41" s="1"/>
      <c r="B41" s="1"/>
      <c r="C41" s="1"/>
      <c r="D41" s="1"/>
      <c r="E41" s="1"/>
      <c r="F41" s="1"/>
      <c r="G41" s="1"/>
      <c r="H41" s="1"/>
      <c r="I41" s="1"/>
      <c r="J41" s="1"/>
      <c r="K41" s="484"/>
      <c r="L41" s="1"/>
      <c r="M41" s="9"/>
      <c r="N41" s="9"/>
    </row>
    <row r="42" spans="1:14">
      <c r="A42" s="1" t="s">
        <v>12</v>
      </c>
      <c r="B42" s="1"/>
      <c r="C42" s="1"/>
      <c r="D42" s="1"/>
      <c r="E42" s="1"/>
      <c r="F42" s="1"/>
      <c r="G42" s="1"/>
      <c r="H42" s="1"/>
      <c r="I42" s="1"/>
      <c r="J42" s="1"/>
      <c r="K42" s="1"/>
      <c r="L42" s="1"/>
      <c r="M42" s="9"/>
      <c r="N42" s="9"/>
    </row>
    <row r="43" spans="1:14">
      <c r="A43" s="1"/>
      <c r="B43" s="1"/>
      <c r="C43" s="1"/>
      <c r="D43" s="1"/>
      <c r="E43" s="1"/>
      <c r="F43" s="1"/>
      <c r="G43" s="1"/>
      <c r="H43" s="1"/>
      <c r="I43" s="1"/>
      <c r="J43" s="1"/>
      <c r="K43" s="1"/>
      <c r="L43" s="1"/>
      <c r="M43" s="9"/>
      <c r="N43" s="9"/>
    </row>
    <row r="44" spans="1:14">
      <c r="A44" s="1"/>
      <c r="B44" s="204" t="s">
        <v>1268</v>
      </c>
      <c r="C44" s="1"/>
      <c r="D44" s="1"/>
      <c r="E44" s="377">
        <v>0.04</v>
      </c>
      <c r="F44" s="1"/>
      <c r="G44" s="1"/>
      <c r="H44" s="1"/>
      <c r="I44" s="1"/>
      <c r="J44" s="1"/>
      <c r="K44" s="1"/>
      <c r="L44" s="1"/>
      <c r="M44" s="9"/>
      <c r="N44" s="9"/>
    </row>
    <row r="45" spans="1:14">
      <c r="A45" s="1"/>
      <c r="B45" s="204" t="s">
        <v>1269</v>
      </c>
      <c r="C45" s="1"/>
      <c r="D45" s="485">
        <v>2.5000000000000001E-2</v>
      </c>
      <c r="E45" s="1"/>
      <c r="F45" s="1"/>
      <c r="G45" s="1"/>
      <c r="H45" s="1"/>
      <c r="I45" s="1"/>
      <c r="J45" s="1"/>
      <c r="K45" s="1"/>
      <c r="L45" s="1"/>
      <c r="M45" s="9"/>
      <c r="N45" s="9"/>
    </row>
    <row r="46" spans="1:14">
      <c r="A46" s="1"/>
      <c r="B46" s="204" t="s">
        <v>1270</v>
      </c>
      <c r="C46" s="1"/>
      <c r="D46" s="377">
        <v>0.2</v>
      </c>
      <c r="E46" s="1" t="s">
        <v>1271</v>
      </c>
      <c r="F46" s="1"/>
      <c r="G46" s="1"/>
      <c r="H46" s="1"/>
      <c r="I46" s="484"/>
      <c r="J46" s="1"/>
      <c r="K46" s="1"/>
      <c r="L46" s="1"/>
      <c r="M46" s="9"/>
      <c r="N46" s="9"/>
    </row>
    <row r="47" spans="1:14">
      <c r="A47" s="1"/>
      <c r="B47" s="204" t="s">
        <v>1272</v>
      </c>
      <c r="C47" s="1"/>
      <c r="D47" s="228">
        <v>70</v>
      </c>
      <c r="E47" s="1" t="s">
        <v>1273</v>
      </c>
      <c r="F47" s="1"/>
      <c r="G47" s="1"/>
      <c r="H47" s="1"/>
      <c r="I47" s="1"/>
      <c r="J47" s="1"/>
      <c r="K47" s="1"/>
      <c r="L47" s="1"/>
      <c r="M47" s="9"/>
      <c r="N47" s="9"/>
    </row>
    <row r="48" spans="1:14">
      <c r="A48" s="1"/>
      <c r="B48" s="204" t="s">
        <v>1274</v>
      </c>
      <c r="C48" s="1"/>
      <c r="D48" s="377">
        <v>0.05</v>
      </c>
      <c r="E48" s="1" t="s">
        <v>1271</v>
      </c>
      <c r="F48" s="1"/>
      <c r="G48" s="1"/>
      <c r="H48" s="1"/>
      <c r="I48" s="1"/>
      <c r="J48" s="1"/>
      <c r="K48" s="1"/>
      <c r="L48" s="1"/>
      <c r="M48" s="9"/>
      <c r="N48" s="9"/>
    </row>
    <row r="49" spans="1:14">
      <c r="A49" s="1"/>
      <c r="B49" s="204" t="s">
        <v>1275</v>
      </c>
      <c r="C49" s="1"/>
      <c r="D49" s="1"/>
      <c r="E49" s="1"/>
      <c r="F49" s="474">
        <v>44378</v>
      </c>
      <c r="G49" s="470" t="s">
        <v>1276</v>
      </c>
      <c r="H49" s="377">
        <v>0.67</v>
      </c>
      <c r="I49" s="1"/>
      <c r="J49" s="1"/>
      <c r="K49" s="1"/>
      <c r="L49" s="1"/>
      <c r="M49" s="9"/>
      <c r="N49" s="9"/>
    </row>
    <row r="50" spans="1:14">
      <c r="A50" s="1"/>
      <c r="B50" s="204" t="s">
        <v>1277</v>
      </c>
      <c r="C50" s="1"/>
      <c r="D50" s="1"/>
      <c r="E50" s="1"/>
      <c r="F50" s="437">
        <v>21507500</v>
      </c>
      <c r="G50" s="1"/>
      <c r="H50" s="1"/>
      <c r="I50" s="1"/>
      <c r="J50" s="1"/>
      <c r="K50" s="1"/>
      <c r="L50" s="1"/>
      <c r="M50" s="9"/>
      <c r="N50" s="9"/>
    </row>
    <row r="51" spans="1:14">
      <c r="A51" s="1"/>
      <c r="B51" s="1"/>
      <c r="C51" s="1"/>
      <c r="D51" s="1"/>
      <c r="E51" s="1"/>
      <c r="F51" s="1"/>
      <c r="G51" s="1"/>
      <c r="H51" s="1"/>
      <c r="I51" s="1"/>
      <c r="J51" s="1"/>
      <c r="K51" s="1"/>
      <c r="L51" s="1"/>
      <c r="M51" s="9"/>
      <c r="N51" s="9"/>
    </row>
    <row r="53" spans="1:14">
      <c r="A53" s="17" t="s">
        <v>133</v>
      </c>
      <c r="B53" s="1" t="s">
        <v>1278</v>
      </c>
      <c r="C53" s="1"/>
      <c r="D53" s="1"/>
      <c r="E53" s="1"/>
      <c r="F53" s="1"/>
      <c r="G53" s="1"/>
      <c r="H53" s="1"/>
      <c r="I53" s="1"/>
      <c r="J53" s="1"/>
      <c r="K53" s="1"/>
      <c r="L53" s="1"/>
    </row>
    <row r="54" spans="1:14">
      <c r="A54" s="14"/>
      <c r="B54" s="14"/>
      <c r="C54" s="14"/>
      <c r="D54" s="14"/>
      <c r="E54" s="14"/>
      <c r="F54" s="14"/>
      <c r="G54" s="1"/>
      <c r="H54" s="1"/>
      <c r="I54" s="1"/>
      <c r="J54" s="1"/>
      <c r="K54" s="1"/>
      <c r="L54" s="1"/>
    </row>
    <row r="55" spans="1:14">
      <c r="A55" s="3"/>
      <c r="B55" s="3"/>
      <c r="C55" s="3"/>
      <c r="D55" s="3"/>
      <c r="E55" s="3"/>
      <c r="F55" s="3"/>
      <c r="G55" s="3"/>
      <c r="H55" s="3"/>
      <c r="I55" s="3"/>
      <c r="J55" s="3"/>
      <c r="K55" s="3"/>
      <c r="L55" s="3"/>
    </row>
    <row r="56" spans="1:14">
      <c r="A56" s="3" t="s">
        <v>20</v>
      </c>
      <c r="B56" s="3"/>
      <c r="C56" s="3"/>
      <c r="D56" s="3"/>
      <c r="E56" s="3"/>
      <c r="F56" s="3"/>
      <c r="G56" s="3"/>
      <c r="H56" s="3"/>
      <c r="I56" s="3"/>
      <c r="J56" s="3"/>
      <c r="K56" s="3"/>
      <c r="L56" s="3"/>
    </row>
    <row r="57" spans="1:14" ht="31.2">
      <c r="B57" s="486"/>
      <c r="C57" s="295"/>
      <c r="D57" s="295"/>
      <c r="E57" s="295"/>
      <c r="F57" s="107" t="s">
        <v>1279</v>
      </c>
      <c r="G57" s="93" t="s">
        <v>1280</v>
      </c>
    </row>
    <row r="58" spans="1:14">
      <c r="B58" s="3" t="s">
        <v>1281</v>
      </c>
      <c r="C58" s="3"/>
      <c r="D58" s="3"/>
      <c r="E58" s="3"/>
      <c r="F58" s="487">
        <v>0.2</v>
      </c>
      <c r="G58" s="488">
        <f>K39</f>
        <v>36.713808685721915</v>
      </c>
    </row>
    <row r="59" spans="1:14">
      <c r="B59" s="295" t="s">
        <v>1282</v>
      </c>
      <c r="C59" s="295"/>
      <c r="D59" s="295"/>
      <c r="E59" s="295"/>
      <c r="F59" s="489">
        <v>0.8</v>
      </c>
      <c r="G59" s="490">
        <f>I20</f>
        <v>50</v>
      </c>
    </row>
    <row r="60" spans="1:14">
      <c r="B60" s="3" t="s">
        <v>1283</v>
      </c>
      <c r="C60" s="3"/>
      <c r="D60" s="3"/>
      <c r="E60" s="3"/>
      <c r="F60" s="94"/>
      <c r="G60" s="488">
        <f>G58*F58+G59*F59</f>
        <v>47.342761737144386</v>
      </c>
    </row>
    <row r="61" spans="1:14">
      <c r="B61" s="3"/>
      <c r="C61" s="3"/>
      <c r="D61" s="3"/>
      <c r="E61" s="3"/>
      <c r="F61" s="94"/>
      <c r="G61" s="240"/>
      <c r="J61" s="3"/>
      <c r="K61" s="283"/>
    </row>
    <row r="62" spans="1:14">
      <c r="B62" s="3" t="s">
        <v>1284</v>
      </c>
      <c r="C62" s="3"/>
      <c r="D62" s="3"/>
      <c r="E62" s="3"/>
      <c r="F62" s="240">
        <f>F50*H49/C38</f>
        <v>823.43</v>
      </c>
      <c r="J62" s="3"/>
      <c r="K62" s="283"/>
    </row>
    <row r="63" spans="1:14">
      <c r="B63" s="3" t="s">
        <v>1285</v>
      </c>
      <c r="C63" s="3"/>
      <c r="D63" s="3"/>
      <c r="E63" s="3"/>
      <c r="F63" s="240">
        <f>F62*((1+E44)/(1+D45))^F38</f>
        <v>849.76181637622824</v>
      </c>
      <c r="J63" s="3"/>
      <c r="K63" s="283"/>
    </row>
    <row r="64" spans="1:14" s="18" customFormat="1">
      <c r="B64" s="3" t="s">
        <v>1286</v>
      </c>
      <c r="C64" s="3"/>
      <c r="D64" s="3"/>
      <c r="E64" s="3"/>
      <c r="F64" s="240">
        <f>(F63+G60+D47)/(1-D46-D48)</f>
        <v>1289.4727708178302</v>
      </c>
      <c r="G64" s="2"/>
      <c r="H64" s="2"/>
      <c r="I64" s="2"/>
      <c r="J64" s="3"/>
      <c r="K64" s="283"/>
    </row>
    <row r="65" spans="2:10" s="18" customFormat="1">
      <c r="B65" s="457"/>
      <c r="C65" s="457"/>
      <c r="D65" s="457"/>
      <c r="E65" s="457"/>
      <c r="F65" s="457"/>
      <c r="G65" s="457"/>
      <c r="H65" s="457"/>
      <c r="I65" s="457"/>
      <c r="J65" s="457"/>
    </row>
    <row r="66" spans="2:10" s="18" customFormat="1">
      <c r="B66" s="457"/>
      <c r="C66" s="457"/>
      <c r="D66" s="457"/>
      <c r="E66" s="457"/>
      <c r="F66" s="457"/>
      <c r="G66" s="457"/>
      <c r="H66" s="457"/>
      <c r="I66" s="457"/>
      <c r="J66" s="457"/>
    </row>
    <row r="67" spans="2:10" s="18" customFormat="1">
      <c r="B67" s="457"/>
      <c r="C67" s="457"/>
      <c r="D67" s="457"/>
      <c r="E67" s="457"/>
      <c r="F67" s="457"/>
      <c r="G67" s="457"/>
      <c r="H67" s="457"/>
      <c r="I67" s="457"/>
      <c r="J67" s="457"/>
    </row>
    <row r="68" spans="2:10" s="18" customFormat="1">
      <c r="B68" s="457"/>
      <c r="C68" s="457"/>
      <c r="D68" s="457"/>
      <c r="E68" s="457"/>
      <c r="F68" s="457"/>
      <c r="G68" s="457"/>
      <c r="H68" s="457"/>
      <c r="I68" s="457"/>
      <c r="J68" s="457"/>
    </row>
    <row r="69" spans="2:10" s="18" customFormat="1" ht="14.4"/>
    <row r="70" spans="2:10" s="18" customFormat="1" ht="14.4"/>
    <row r="71" spans="2:10" s="18" customFormat="1" ht="14.4"/>
    <row r="72" spans="2:10" s="18" customFormat="1" ht="14.4"/>
    <row r="73" spans="2:10" s="18" customFormat="1" ht="14.4"/>
    <row r="74" spans="2:10" s="18" customFormat="1" ht="14.4"/>
    <row r="75" spans="2:10" s="18" customFormat="1" ht="14.4"/>
    <row r="76" spans="2:10" s="18" customFormat="1" ht="14.4"/>
    <row r="77" spans="2:10" s="18" customFormat="1" ht="14.4"/>
    <row r="78" spans="2:10" s="18" customFormat="1" ht="14.4"/>
    <row r="79" spans="2:10" s="18" customFormat="1" ht="14.4"/>
    <row r="80" spans="2:10" s="18" customFormat="1" ht="14.4"/>
    <row r="81" s="18" customFormat="1" ht="14.4"/>
    <row r="82" s="18" customFormat="1" ht="14.4"/>
    <row r="83" s="18" customFormat="1" ht="14.4"/>
    <row r="84" s="18" customFormat="1" ht="14.4"/>
    <row r="85" s="18" customFormat="1" ht="14.4"/>
    <row r="86" s="18" customFormat="1" ht="14.4"/>
    <row r="87" s="18" customFormat="1" ht="14.4"/>
    <row r="88" s="18" customFormat="1" ht="14.4"/>
    <row r="89" s="18" customFormat="1" ht="14.4"/>
    <row r="90" s="18" customFormat="1" ht="14.4"/>
    <row r="91" s="18" customFormat="1" ht="14.4"/>
    <row r="92" s="18" customFormat="1" ht="14.4"/>
    <row r="93" s="18" customFormat="1" ht="14.4"/>
    <row r="94" s="18" customFormat="1" ht="14.4"/>
    <row r="95" s="18" customFormat="1" ht="14.4"/>
    <row r="96" s="18" customFormat="1" ht="14.4"/>
    <row r="97" s="18" customFormat="1" ht="14.4"/>
    <row r="98" s="18" customFormat="1" ht="14.4"/>
    <row r="99" s="18" customFormat="1" ht="14.4"/>
    <row r="100" s="18" customFormat="1" ht="14.4"/>
    <row r="101" s="18" customFormat="1" ht="14.4"/>
    <row r="102" s="18" customFormat="1" ht="14.4"/>
    <row r="103" s="18" customFormat="1" ht="14.4"/>
    <row r="104" s="18" customFormat="1" ht="14.4"/>
    <row r="105" s="18" customFormat="1" ht="14.4"/>
    <row r="106" s="18" customFormat="1" ht="14.4"/>
    <row r="107" s="18" customFormat="1" ht="14.4"/>
    <row r="108" s="18" customFormat="1" ht="14.4"/>
    <row r="109" s="18" customFormat="1" ht="14.4"/>
    <row r="110" s="18" customFormat="1" ht="14.4"/>
    <row r="111" s="18" customFormat="1" ht="14.4"/>
    <row r="112" s="18" customFormat="1" ht="14.4"/>
    <row r="113" s="18" customFormat="1" ht="14.4"/>
    <row r="114" s="18" customFormat="1" ht="14.4"/>
    <row r="115" s="18" customFormat="1" ht="14.4"/>
    <row r="116" s="18" customFormat="1" ht="14.4"/>
    <row r="117" s="18" customFormat="1" ht="14.4"/>
    <row r="118" s="18" customFormat="1" ht="14.4"/>
    <row r="119" s="18" customFormat="1" ht="14.4"/>
    <row r="120" s="18" customFormat="1" ht="14.4"/>
    <row r="121" s="18" customFormat="1" ht="14.4"/>
    <row r="122" s="18" customFormat="1" ht="14.4"/>
    <row r="123" s="18" customFormat="1" ht="14.4"/>
    <row r="124" s="18" customFormat="1" ht="14.4"/>
    <row r="125" s="18" customFormat="1" ht="14.4"/>
    <row r="126" s="18" customFormat="1" ht="14.4"/>
    <row r="127" s="18" customFormat="1" ht="14.4"/>
    <row r="128" s="18" customFormat="1" ht="14.4"/>
    <row r="129" s="18" customFormat="1" ht="14.4"/>
    <row r="130" s="18" customFormat="1" ht="14.4"/>
    <row r="131" s="18" customFormat="1" ht="14.4"/>
    <row r="132" s="18" customFormat="1" ht="14.4"/>
    <row r="133" s="18" customFormat="1" ht="14.4"/>
    <row r="134" s="18" customFormat="1" ht="14.4"/>
    <row r="135" s="18" customFormat="1" ht="14.4"/>
    <row r="136" s="18" customFormat="1" ht="14.4"/>
    <row r="137" s="18" customFormat="1" ht="14.4"/>
    <row r="138" s="18" customFormat="1" ht="14.4"/>
    <row r="139" s="18" customFormat="1" ht="14.4"/>
    <row r="140" s="18" customFormat="1" ht="14.4"/>
    <row r="141" s="18" customFormat="1" ht="14.4"/>
    <row r="142" s="18" customFormat="1" ht="14.4"/>
    <row r="143" s="18" customFormat="1" ht="14.4"/>
    <row r="144" s="18" customFormat="1" ht="14.4"/>
    <row r="145" s="18" customFormat="1" ht="14.4"/>
    <row r="146" s="18" customFormat="1" ht="14.4"/>
    <row r="147" s="18" customFormat="1" ht="14.4"/>
    <row r="148" s="18" customFormat="1" ht="14.4"/>
    <row r="149" s="18" customFormat="1" ht="14.4"/>
    <row r="150" s="18" customFormat="1" ht="14.4"/>
    <row r="151" s="18" customFormat="1" ht="14.4"/>
    <row r="152" s="18" customFormat="1" ht="14.4"/>
    <row r="153" s="18" customFormat="1" ht="14.4"/>
    <row r="154" s="18" customFormat="1" ht="14.4"/>
    <row r="155" s="18" customFormat="1" ht="14.4"/>
    <row r="156" s="18" customFormat="1" ht="14.4"/>
    <row r="157" s="18" customFormat="1" ht="14.4"/>
    <row r="158" s="18" customFormat="1" ht="14.4"/>
    <row r="159" s="18" customFormat="1" ht="14.4"/>
    <row r="160" s="18" customFormat="1" ht="14.4"/>
    <row r="161" s="18" customFormat="1" ht="14.4"/>
    <row r="162" s="18" customFormat="1" ht="14.4"/>
    <row r="163" s="18" customFormat="1" ht="14.4"/>
    <row r="164" s="18" customFormat="1" ht="14.4"/>
    <row r="165" s="18" customFormat="1" ht="14.4"/>
    <row r="166" s="18" customFormat="1" ht="14.4"/>
    <row r="167" s="18" customFormat="1" ht="14.4"/>
    <row r="168" s="18" customFormat="1" ht="14.4"/>
    <row r="169" s="18" customFormat="1" ht="14.4"/>
    <row r="170" s="18" customFormat="1" ht="14.4"/>
    <row r="171" s="18" customFormat="1" ht="14.4"/>
    <row r="172" s="18" customFormat="1" ht="14.4"/>
    <row r="173" s="18" customFormat="1" ht="14.4"/>
    <row r="174" s="18" customFormat="1" ht="14.4"/>
  </sheetData>
  <mergeCells count="2">
    <mergeCell ref="D30:E30"/>
    <mergeCell ref="I30:K30"/>
  </mergeCells>
  <hyperlinks>
    <hyperlink ref="O1" location="TOC!A1" display="Table of Contents" xr:uid="{C12A3EB0-E3D6-4EA7-8096-0802CA8C489E}"/>
  </hyperlinks>
  <pageMargins left="0.7" right="0.7" top="0.75" bottom="0.75" header="0.3" footer="0.3"/>
  <pageSetup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39A5-4C6B-45CF-B68B-B4D3E56025CB}">
  <dimension ref="A1:AW75"/>
  <sheetViews>
    <sheetView zoomScaleNormal="100" workbookViewId="0"/>
  </sheetViews>
  <sheetFormatPr defaultColWidth="8.88671875" defaultRowHeight="15.6"/>
  <cols>
    <col min="1" max="1" width="8.88671875" style="2" customWidth="1"/>
    <col min="2" max="2" width="18.6640625" style="2" customWidth="1"/>
    <col min="3" max="3" width="15.5546875" style="2" customWidth="1"/>
    <col min="4" max="4" width="16.44140625" style="2" customWidth="1"/>
    <col min="5" max="5" width="11.6640625" style="2" customWidth="1"/>
    <col min="6" max="6" width="14.6640625" style="2" customWidth="1"/>
    <col min="7" max="7" width="12.5546875" style="2" customWidth="1"/>
    <col min="8" max="9" width="16.33203125" style="2" customWidth="1"/>
    <col min="10" max="12" width="8.88671875" style="2"/>
    <col min="13" max="48" width="3" style="2" customWidth="1"/>
    <col min="49" max="16384" width="8.88671875" style="2"/>
  </cols>
  <sheetData>
    <row r="1" spans="1:14" ht="17.399999999999999">
      <c r="A1" s="13" t="s">
        <v>1935</v>
      </c>
      <c r="B1" s="1"/>
      <c r="C1" s="1"/>
      <c r="D1" s="1" t="s">
        <v>0</v>
      </c>
      <c r="E1" s="1"/>
      <c r="F1" s="1"/>
      <c r="G1" s="1"/>
      <c r="H1" s="1"/>
      <c r="I1" s="1"/>
      <c r="J1" s="1"/>
      <c r="K1" s="14"/>
      <c r="N1" s="21" t="s">
        <v>2927</v>
      </c>
    </row>
    <row r="2" spans="1:14">
      <c r="A2" s="1"/>
      <c r="B2" s="1"/>
      <c r="C2" s="1"/>
      <c r="D2" s="1"/>
      <c r="E2" s="1"/>
      <c r="F2" s="1"/>
      <c r="G2" s="1"/>
      <c r="H2" s="1"/>
      <c r="I2" s="1"/>
      <c r="J2" s="1"/>
      <c r="K2" s="14"/>
    </row>
    <row r="3" spans="1:14">
      <c r="A3" s="1" t="s">
        <v>1287</v>
      </c>
      <c r="B3" s="1"/>
      <c r="C3" s="1"/>
      <c r="D3" s="1"/>
      <c r="E3" s="1"/>
      <c r="F3" s="1"/>
      <c r="G3" s="1"/>
      <c r="H3" s="1"/>
      <c r="I3" s="1"/>
      <c r="J3" s="1"/>
      <c r="K3" s="14"/>
    </row>
    <row r="4" spans="1:14">
      <c r="A4" s="43"/>
      <c r="B4" s="1"/>
      <c r="C4" s="1"/>
      <c r="D4" s="1"/>
      <c r="E4" s="1"/>
      <c r="F4" s="1"/>
      <c r="G4" s="1"/>
      <c r="H4" s="1"/>
      <c r="I4" s="1"/>
      <c r="J4" s="1"/>
      <c r="K4" s="1"/>
    </row>
    <row r="5" spans="1:14">
      <c r="A5" s="43"/>
      <c r="B5" s="260" t="s">
        <v>1288</v>
      </c>
      <c r="C5" s="1"/>
      <c r="D5" s="1"/>
      <c r="E5" s="1"/>
      <c r="F5" s="1"/>
      <c r="G5" s="1"/>
      <c r="H5" s="1"/>
      <c r="I5" s="1"/>
      <c r="J5" s="1"/>
      <c r="K5" s="1"/>
    </row>
    <row r="6" spans="1:14">
      <c r="A6" s="43"/>
      <c r="B6" s="1"/>
      <c r="C6" s="1"/>
      <c r="D6" s="1"/>
      <c r="E6" s="1"/>
      <c r="F6" s="1"/>
      <c r="G6" s="1"/>
      <c r="H6" s="1"/>
      <c r="I6" s="1"/>
      <c r="J6" s="1"/>
      <c r="K6" s="1"/>
    </row>
    <row r="7" spans="1:14">
      <c r="A7" s="43"/>
      <c r="B7" s="5" t="s">
        <v>243</v>
      </c>
      <c r="C7" s="5" t="s">
        <v>629</v>
      </c>
      <c r="D7" s="1"/>
      <c r="E7" s="1"/>
      <c r="F7" s="1"/>
      <c r="G7" s="1"/>
      <c r="H7" s="1"/>
      <c r="I7" s="1"/>
      <c r="J7" s="1"/>
      <c r="K7" s="1"/>
    </row>
    <row r="8" spans="1:14">
      <c r="A8" s="43"/>
      <c r="B8" s="491">
        <v>42917</v>
      </c>
      <c r="C8" s="8">
        <v>0.05</v>
      </c>
      <c r="D8" s="1"/>
      <c r="E8" s="1"/>
      <c r="F8" s="1"/>
      <c r="G8" s="1"/>
      <c r="H8" s="1"/>
      <c r="I8" s="1"/>
      <c r="J8" s="1"/>
      <c r="K8" s="1"/>
    </row>
    <row r="9" spans="1:14">
      <c r="A9" s="1"/>
      <c r="B9" s="491">
        <v>43344</v>
      </c>
      <c r="C9" s="8">
        <v>-0.02</v>
      </c>
      <c r="D9" s="1"/>
      <c r="E9" s="1"/>
      <c r="F9" s="1"/>
      <c r="G9" s="1"/>
      <c r="H9" s="1"/>
      <c r="I9" s="1"/>
      <c r="J9" s="1"/>
      <c r="K9" s="1"/>
    </row>
    <row r="10" spans="1:14">
      <c r="A10" s="1"/>
      <c r="B10" s="491">
        <v>43862</v>
      </c>
      <c r="C10" s="8">
        <v>7.0000000000000007E-2</v>
      </c>
      <c r="D10" s="1"/>
      <c r="E10" s="1"/>
      <c r="F10" s="1"/>
      <c r="G10" s="1"/>
      <c r="H10" s="1"/>
      <c r="I10" s="1"/>
      <c r="J10" s="1"/>
      <c r="K10" s="1"/>
    </row>
    <row r="11" spans="1:14">
      <c r="A11" s="43"/>
      <c r="B11" s="491">
        <v>44470</v>
      </c>
      <c r="C11" s="8">
        <v>0.03</v>
      </c>
      <c r="D11" s="1"/>
      <c r="E11" s="1"/>
      <c r="F11" s="1"/>
      <c r="G11" s="1"/>
      <c r="H11" s="1"/>
      <c r="I11" s="1"/>
      <c r="J11" s="1"/>
      <c r="K11" s="1"/>
    </row>
    <row r="12" spans="1:14">
      <c r="A12" s="1"/>
      <c r="B12" s="1"/>
      <c r="C12" s="1"/>
      <c r="D12" s="1"/>
      <c r="E12" s="1"/>
      <c r="F12" s="1"/>
      <c r="G12" s="1"/>
      <c r="H12" s="1"/>
      <c r="I12" s="1"/>
      <c r="J12" s="1"/>
      <c r="K12" s="1"/>
    </row>
    <row r="13" spans="1:14">
      <c r="A13" s="1"/>
      <c r="B13" s="492" t="s">
        <v>1289</v>
      </c>
      <c r="C13" s="1"/>
      <c r="D13" s="1"/>
      <c r="E13" s="1"/>
      <c r="F13" s="491">
        <v>43586</v>
      </c>
      <c r="G13" s="1" t="s">
        <v>1290</v>
      </c>
      <c r="H13" s="1"/>
      <c r="I13" s="377">
        <v>0.1</v>
      </c>
      <c r="J13" s="1"/>
      <c r="K13" s="1"/>
    </row>
    <row r="14" spans="1:14">
      <c r="A14" s="1"/>
      <c r="B14" s="492" t="s">
        <v>1291</v>
      </c>
      <c r="C14" s="1"/>
      <c r="D14" s="1"/>
      <c r="E14" s="1"/>
      <c r="F14" s="1"/>
      <c r="G14" s="1"/>
      <c r="H14" s="1"/>
      <c r="I14" s="1"/>
      <c r="J14" s="1"/>
      <c r="K14" s="1"/>
    </row>
    <row r="15" spans="1:14">
      <c r="A15" s="1"/>
      <c r="B15" s="492" t="s">
        <v>1292</v>
      </c>
      <c r="C15" s="1"/>
      <c r="D15" s="1"/>
      <c r="E15" s="1"/>
      <c r="F15" s="1"/>
      <c r="G15" s="1"/>
      <c r="H15" s="1"/>
      <c r="I15" s="1"/>
      <c r="J15" s="1"/>
      <c r="K15" s="1"/>
    </row>
    <row r="16" spans="1:14">
      <c r="A16" s="1"/>
      <c r="B16" s="492" t="s">
        <v>1293</v>
      </c>
      <c r="C16" s="1"/>
      <c r="D16" s="491">
        <v>44927</v>
      </c>
      <c r="E16" s="1"/>
      <c r="F16" s="1"/>
      <c r="G16" s="1"/>
      <c r="H16" s="1"/>
      <c r="I16" s="1"/>
      <c r="J16" s="1"/>
      <c r="K16" s="1"/>
    </row>
    <row r="17" spans="1:49">
      <c r="A17" s="1"/>
      <c r="B17" s="492" t="s">
        <v>1294</v>
      </c>
      <c r="C17" s="1"/>
      <c r="D17" s="1"/>
      <c r="E17" s="231">
        <v>1400000</v>
      </c>
      <c r="F17" s="1"/>
      <c r="G17" s="1"/>
      <c r="H17" s="1"/>
      <c r="I17" s="1"/>
      <c r="J17" s="1"/>
      <c r="K17" s="1"/>
    </row>
    <row r="18" spans="1:49">
      <c r="A18" s="1"/>
      <c r="B18" s="1"/>
      <c r="C18" s="1"/>
      <c r="D18" s="1"/>
      <c r="E18" s="1"/>
      <c r="F18" s="1"/>
      <c r="G18" s="1"/>
      <c r="H18" s="1"/>
      <c r="I18" s="1"/>
      <c r="J18" s="1"/>
      <c r="K18" s="1"/>
    </row>
    <row r="20" spans="1:49">
      <c r="A20" s="17" t="s">
        <v>91</v>
      </c>
      <c r="B20" s="1" t="s">
        <v>1295</v>
      </c>
      <c r="C20" s="1"/>
      <c r="D20" s="1"/>
      <c r="E20" s="1"/>
      <c r="F20" s="1"/>
      <c r="G20" s="1"/>
      <c r="H20" s="1"/>
      <c r="I20" s="1"/>
      <c r="J20" s="1"/>
      <c r="K20" s="1"/>
      <c r="L20" s="9"/>
      <c r="M20" s="9"/>
      <c r="N20" s="9"/>
      <c r="O20" s="9"/>
      <c r="P20" s="9"/>
      <c r="Q20" s="9"/>
    </row>
    <row r="21" spans="1:49">
      <c r="A21" s="14"/>
      <c r="B21" s="14"/>
      <c r="C21" s="14"/>
      <c r="D21" s="14"/>
      <c r="E21" s="14"/>
      <c r="F21" s="1"/>
      <c r="G21" s="1"/>
      <c r="H21" s="1"/>
      <c r="I21" s="1"/>
      <c r="J21" s="1"/>
      <c r="K21" s="1"/>
    </row>
    <row r="22" spans="1:49" ht="16.2">
      <c r="A22" s="3"/>
      <c r="B22" s="3"/>
      <c r="C22" s="3"/>
      <c r="D22" s="3"/>
      <c r="E22" s="3"/>
      <c r="F22" s="3"/>
      <c r="G22" s="3"/>
      <c r="H22" s="3"/>
      <c r="I22" s="3"/>
      <c r="J22" s="3"/>
      <c r="K22" s="3"/>
      <c r="L22" s="3"/>
      <c r="M22" s="114" t="s">
        <v>189</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row>
    <row r="23" spans="1:49">
      <c r="A23" s="3" t="s">
        <v>20</v>
      </c>
      <c r="B23" s="3"/>
      <c r="C23" s="3"/>
      <c r="D23" s="3"/>
      <c r="E23" s="3"/>
      <c r="F23" s="3"/>
      <c r="G23" s="3"/>
      <c r="H23" s="3"/>
      <c r="I23" s="3"/>
      <c r="J23" s="3"/>
      <c r="K23" s="3"/>
      <c r="L23" s="3"/>
      <c r="M23" s="917">
        <v>2018</v>
      </c>
      <c r="N23" s="917"/>
      <c r="O23" s="917"/>
      <c r="P23" s="917"/>
      <c r="Q23" s="917"/>
      <c r="R23" s="917"/>
      <c r="S23" s="917"/>
      <c r="T23" s="917"/>
      <c r="U23" s="917"/>
      <c r="V23" s="917"/>
      <c r="W23" s="917"/>
      <c r="X23" s="917"/>
      <c r="Y23" s="917">
        <f>M23+1</f>
        <v>2019</v>
      </c>
      <c r="Z23" s="917"/>
      <c r="AA23" s="917"/>
      <c r="AB23" s="917"/>
      <c r="AC23" s="917"/>
      <c r="AD23" s="917"/>
      <c r="AE23" s="917"/>
      <c r="AF23" s="917"/>
      <c r="AG23" s="917"/>
      <c r="AH23" s="917"/>
      <c r="AI23" s="917"/>
      <c r="AJ23" s="917"/>
      <c r="AK23" s="917">
        <f>Y23+1</f>
        <v>2020</v>
      </c>
      <c r="AL23" s="917"/>
      <c r="AM23" s="917"/>
      <c r="AN23" s="917"/>
      <c r="AO23" s="917"/>
      <c r="AP23" s="917"/>
      <c r="AQ23" s="917"/>
      <c r="AR23" s="917"/>
      <c r="AS23" s="917"/>
      <c r="AT23" s="917"/>
      <c r="AU23" s="917"/>
      <c r="AV23" s="917"/>
      <c r="AW23" s="493"/>
    </row>
    <row r="24" spans="1:49">
      <c r="A24" s="3"/>
      <c r="B24" s="3"/>
      <c r="C24" s="3"/>
      <c r="D24" s="3"/>
      <c r="E24" s="3"/>
      <c r="F24" s="3"/>
      <c r="G24" s="3"/>
      <c r="H24" s="3"/>
      <c r="I24" s="3"/>
      <c r="J24" s="3"/>
      <c r="K24" s="3"/>
      <c r="L24" s="3"/>
      <c r="M24" s="494"/>
      <c r="N24" s="495"/>
      <c r="O24" s="495"/>
      <c r="P24" s="495"/>
      <c r="Q24" s="495"/>
      <c r="R24" s="495"/>
      <c r="S24" s="495"/>
      <c r="T24" s="495"/>
      <c r="U24" s="495"/>
      <c r="V24" s="495"/>
      <c r="W24" s="495"/>
      <c r="X24" s="496"/>
      <c r="Y24" s="494"/>
      <c r="Z24" s="495"/>
      <c r="AA24" s="495"/>
      <c r="AB24" s="495"/>
      <c r="AC24" s="495"/>
      <c r="AD24" s="495"/>
      <c r="AE24" s="495"/>
      <c r="AF24" s="495"/>
      <c r="AG24" s="495"/>
      <c r="AH24" s="495"/>
      <c r="AI24" s="495"/>
      <c r="AJ24" s="496"/>
      <c r="AK24" s="494"/>
      <c r="AL24" s="495"/>
      <c r="AM24" s="495"/>
      <c r="AN24" s="495"/>
      <c r="AO24" s="495"/>
      <c r="AP24" s="495"/>
      <c r="AQ24" s="495"/>
      <c r="AR24" s="495"/>
      <c r="AS24" s="495"/>
      <c r="AT24" s="495"/>
      <c r="AU24" s="495"/>
      <c r="AV24" s="496"/>
      <c r="AW24" s="497"/>
    </row>
    <row r="25" spans="1:49">
      <c r="A25" s="3"/>
      <c r="C25" s="816" t="s">
        <v>1296</v>
      </c>
      <c r="D25" s="816"/>
      <c r="E25" s="816"/>
      <c r="F25" s="816"/>
      <c r="G25" s="816"/>
      <c r="J25" s="3"/>
      <c r="K25" s="3"/>
      <c r="L25" s="3"/>
      <c r="M25" s="498"/>
      <c r="N25" s="499"/>
      <c r="O25" s="499"/>
      <c r="P25" s="499"/>
      <c r="Q25" s="499"/>
      <c r="R25" s="499"/>
      <c r="S25" s="499"/>
      <c r="T25" s="499"/>
      <c r="U25" s="499"/>
      <c r="V25" s="499"/>
      <c r="W25" s="499"/>
      <c r="X25" s="500"/>
      <c r="Y25" s="498"/>
      <c r="Z25" s="499"/>
      <c r="AA25" s="499"/>
      <c r="AB25" s="499"/>
      <c r="AC25" s="499"/>
      <c r="AD25" s="499" t="s">
        <v>191</v>
      </c>
      <c r="AE25" s="499"/>
      <c r="AF25" s="499"/>
      <c r="AG25" s="499"/>
      <c r="AH25" s="499"/>
      <c r="AI25" s="499"/>
      <c r="AJ25" s="500"/>
      <c r="AK25" s="498"/>
      <c r="AL25" s="499"/>
      <c r="AM25" s="499"/>
      <c r="AN25" s="499"/>
      <c r="AO25" s="499"/>
      <c r="AP25" s="499"/>
      <c r="AQ25" s="499"/>
      <c r="AR25" s="499"/>
      <c r="AS25" s="499"/>
      <c r="AT25" s="499"/>
      <c r="AU25" s="499"/>
      <c r="AV25" s="500"/>
      <c r="AW25" s="497"/>
    </row>
    <row r="26" spans="1:49">
      <c r="C26" s="501">
        <f>B8</f>
        <v>42917</v>
      </c>
      <c r="D26" s="501">
        <f>B9</f>
        <v>43344</v>
      </c>
      <c r="E26" s="501">
        <f>B10</f>
        <v>43862</v>
      </c>
      <c r="F26" s="501">
        <f>B11</f>
        <v>44470</v>
      </c>
      <c r="G26" s="501">
        <f>F13</f>
        <v>43586</v>
      </c>
      <c r="L26" s="9"/>
      <c r="M26" s="498"/>
      <c r="N26" s="499"/>
      <c r="O26" s="499"/>
      <c r="P26" s="499"/>
      <c r="Q26" s="499"/>
      <c r="R26" s="499"/>
      <c r="S26" s="499"/>
      <c r="T26" s="499"/>
      <c r="U26" s="499"/>
      <c r="V26" s="499"/>
      <c r="W26" s="499"/>
      <c r="X26" s="500"/>
      <c r="Y26" s="498"/>
      <c r="Z26" s="499" t="s">
        <v>190</v>
      </c>
      <c r="AA26" s="499"/>
      <c r="AB26" s="499"/>
      <c r="AC26" s="499"/>
      <c r="AD26" s="499"/>
      <c r="AE26" s="499"/>
      <c r="AF26" s="499"/>
      <c r="AG26" s="499"/>
      <c r="AH26" s="499"/>
      <c r="AI26" s="499"/>
      <c r="AJ26" s="500"/>
      <c r="AK26" s="498"/>
      <c r="AL26" s="499"/>
      <c r="AM26" s="499"/>
      <c r="AN26" s="499"/>
      <c r="AO26" s="499"/>
      <c r="AP26" s="499"/>
      <c r="AQ26" s="499"/>
      <c r="AR26" s="499"/>
      <c r="AS26" s="499"/>
      <c r="AT26" s="499"/>
      <c r="AU26" s="499"/>
      <c r="AV26" s="500"/>
      <c r="AW26" s="497"/>
    </row>
    <row r="27" spans="1:49">
      <c r="B27" s="35" t="s">
        <v>1297</v>
      </c>
      <c r="C27" s="502">
        <f>C8</f>
        <v>0.05</v>
      </c>
      <c r="D27" s="502">
        <f>C9</f>
        <v>-0.02</v>
      </c>
      <c r="E27" s="502">
        <f>C10</f>
        <v>7.0000000000000007E-2</v>
      </c>
      <c r="F27" s="502">
        <f>C11</f>
        <v>0.03</v>
      </c>
      <c r="G27" s="502">
        <f>-I13</f>
        <v>-0.1</v>
      </c>
      <c r="H27" s="36" t="s">
        <v>1298</v>
      </c>
      <c r="I27" s="36" t="s">
        <v>1299</v>
      </c>
      <c r="L27" s="9"/>
      <c r="M27" s="498"/>
      <c r="N27" s="499"/>
      <c r="O27" s="499"/>
      <c r="P27" s="499"/>
      <c r="Q27" s="499"/>
      <c r="R27" s="499"/>
      <c r="S27" s="499"/>
      <c r="T27" s="499"/>
      <c r="U27" s="499"/>
      <c r="V27" s="499"/>
      <c r="W27" s="499"/>
      <c r="X27" s="500"/>
      <c r="Y27" s="498"/>
      <c r="Z27" s="499"/>
      <c r="AA27" s="499"/>
      <c r="AB27" s="499"/>
      <c r="AC27" s="499"/>
      <c r="AD27" s="499"/>
      <c r="AE27" s="499"/>
      <c r="AF27" s="499"/>
      <c r="AG27" s="499"/>
      <c r="AH27" s="499"/>
      <c r="AI27" s="499"/>
      <c r="AJ27" s="500"/>
      <c r="AK27" s="498"/>
      <c r="AL27" s="499"/>
      <c r="AM27" s="499"/>
      <c r="AN27" s="499"/>
      <c r="AO27" s="499"/>
      <c r="AP27" s="499"/>
      <c r="AQ27" s="499"/>
      <c r="AR27" s="499"/>
      <c r="AS27" s="499"/>
      <c r="AT27" s="499"/>
      <c r="AU27" s="499"/>
      <c r="AV27" s="500"/>
      <c r="AW27" s="497"/>
    </row>
    <row r="28" spans="1:49">
      <c r="B28" s="34" t="s">
        <v>190</v>
      </c>
      <c r="C28" s="34">
        <v>1</v>
      </c>
      <c r="D28" s="34"/>
      <c r="E28" s="34"/>
      <c r="F28" s="34"/>
      <c r="G28" s="34"/>
      <c r="H28" s="82">
        <f>((1+$C$27)^C28)*((1+$D$27)^D28)*((1+$E$27)^E28)*((1+$F$27)^F28)*((1+$G$27)^G28)</f>
        <v>1.05</v>
      </c>
      <c r="I28" s="177">
        <f>0.5*4/12</f>
        <v>0.16666666666666666</v>
      </c>
      <c r="L28" s="9"/>
      <c r="M28" s="498"/>
      <c r="N28" s="499"/>
      <c r="O28" s="499"/>
      <c r="P28" s="499"/>
      <c r="Q28" s="499"/>
      <c r="R28" s="499"/>
      <c r="S28" s="499"/>
      <c r="T28" s="499"/>
      <c r="U28" s="499"/>
      <c r="V28" s="499"/>
      <c r="W28" s="499"/>
      <c r="X28" s="500"/>
      <c r="Y28" s="498"/>
      <c r="Z28" s="499"/>
      <c r="AA28" s="499"/>
      <c r="AB28" s="499"/>
      <c r="AC28" s="499"/>
      <c r="AD28" s="499"/>
      <c r="AE28" s="499"/>
      <c r="AF28" s="499"/>
      <c r="AG28" s="499"/>
      <c r="AH28" s="499"/>
      <c r="AI28" s="499"/>
      <c r="AJ28" s="500"/>
      <c r="AK28" s="498"/>
      <c r="AL28" s="499"/>
      <c r="AM28" s="499"/>
      <c r="AN28" s="499"/>
      <c r="AO28" s="499"/>
      <c r="AP28" s="499"/>
      <c r="AQ28" s="499"/>
      <c r="AR28" s="499"/>
      <c r="AS28" s="499"/>
      <c r="AT28" s="499"/>
      <c r="AU28" s="499"/>
      <c r="AV28" s="500"/>
      <c r="AW28" s="497"/>
    </row>
    <row r="29" spans="1:49">
      <c r="B29" s="34" t="s">
        <v>191</v>
      </c>
      <c r="C29" s="34">
        <v>1</v>
      </c>
      <c r="D29" s="34"/>
      <c r="E29" s="34"/>
      <c r="F29" s="34"/>
      <c r="G29" s="34">
        <v>1</v>
      </c>
      <c r="H29" s="82">
        <f t="shared" ref="H29:H32" si="0">((1+$C$27)^C29)*((1+$D$27)^D29)*((1+$E$27)^E29)*((1+$F$27)^F29)*((1+$G$27)^G29)</f>
        <v>0.94500000000000006</v>
      </c>
      <c r="I29" s="177">
        <f>0.5*4*4/144</f>
        <v>5.5555555555555552E-2</v>
      </c>
      <c r="L29" s="9"/>
      <c r="M29" s="498"/>
      <c r="N29" s="499"/>
      <c r="O29" s="499"/>
      <c r="P29" s="499"/>
      <c r="Q29" s="499"/>
      <c r="R29" s="499"/>
      <c r="S29" s="499"/>
      <c r="T29" s="499"/>
      <c r="U29" s="499"/>
      <c r="V29" s="499"/>
      <c r="W29" s="499"/>
      <c r="X29" s="500"/>
      <c r="Y29" s="498"/>
      <c r="Z29" s="499"/>
      <c r="AA29" s="499"/>
      <c r="AB29" s="499"/>
      <c r="AC29" s="499"/>
      <c r="AD29" s="499"/>
      <c r="AE29" s="499"/>
      <c r="AF29" s="499"/>
      <c r="AG29" s="499"/>
      <c r="AH29" s="499"/>
      <c r="AI29" s="499"/>
      <c r="AJ29" s="500"/>
      <c r="AK29" s="498"/>
      <c r="AL29" s="499"/>
      <c r="AM29" s="499"/>
      <c r="AN29" s="499"/>
      <c r="AO29" s="499"/>
      <c r="AP29" s="499"/>
      <c r="AQ29" s="499"/>
      <c r="AR29" s="499"/>
      <c r="AS29" s="499"/>
      <c r="AT29" s="499"/>
      <c r="AU29" s="499"/>
      <c r="AV29" s="500"/>
      <c r="AW29" s="497"/>
    </row>
    <row r="30" spans="1:49">
      <c r="B30" s="34" t="s">
        <v>192</v>
      </c>
      <c r="C30" s="34">
        <v>1</v>
      </c>
      <c r="D30" s="34">
        <v>1</v>
      </c>
      <c r="E30" s="34"/>
      <c r="F30" s="34"/>
      <c r="G30" s="34"/>
      <c r="H30" s="82">
        <f t="shared" si="0"/>
        <v>1.0289999999999999</v>
      </c>
      <c r="I30" s="177">
        <f>I28</f>
        <v>0.16666666666666666</v>
      </c>
      <c r="L30" s="9"/>
      <c r="M30" s="498"/>
      <c r="N30" s="499"/>
      <c r="O30" s="499"/>
      <c r="P30" s="499"/>
      <c r="Q30" s="499"/>
      <c r="R30" s="499"/>
      <c r="S30" s="499"/>
      <c r="T30" s="499"/>
      <c r="U30" s="499"/>
      <c r="V30" s="499"/>
      <c r="W30" s="499"/>
      <c r="X30" s="500"/>
      <c r="Y30" s="498"/>
      <c r="Z30" s="499"/>
      <c r="AA30" s="499"/>
      <c r="AB30" s="499"/>
      <c r="AC30" s="499"/>
      <c r="AD30" s="499"/>
      <c r="AE30" s="499"/>
      <c r="AF30" s="499"/>
      <c r="AG30" s="499"/>
      <c r="AH30" s="499"/>
      <c r="AI30" s="499"/>
      <c r="AJ30" s="500"/>
      <c r="AK30" s="498"/>
      <c r="AL30" s="499"/>
      <c r="AM30" s="499"/>
      <c r="AN30" s="499"/>
      <c r="AO30" s="499"/>
      <c r="AP30" s="499"/>
      <c r="AQ30" s="499"/>
      <c r="AR30" s="499"/>
      <c r="AS30" s="499"/>
      <c r="AT30" s="499"/>
      <c r="AU30" s="499"/>
      <c r="AV30" s="500"/>
      <c r="AW30" s="497"/>
    </row>
    <row r="31" spans="1:49">
      <c r="B31" s="35" t="s">
        <v>250</v>
      </c>
      <c r="C31" s="35">
        <v>1</v>
      </c>
      <c r="D31" s="35">
        <v>1</v>
      </c>
      <c r="E31" s="35"/>
      <c r="F31" s="35"/>
      <c r="G31" s="35">
        <v>1</v>
      </c>
      <c r="H31" s="85">
        <f t="shared" si="0"/>
        <v>0.92609999999999992</v>
      </c>
      <c r="I31" s="179">
        <f>1-SUM(I28:I30)</f>
        <v>0.61111111111111116</v>
      </c>
      <c r="L31" s="9"/>
      <c r="M31" s="498"/>
      <c r="N31" s="499"/>
      <c r="O31" s="499"/>
      <c r="P31" s="499"/>
      <c r="Q31" s="499"/>
      <c r="R31" s="499"/>
      <c r="S31" s="499"/>
      <c r="T31" s="499"/>
      <c r="U31" s="499"/>
      <c r="V31" s="499"/>
      <c r="W31" s="499"/>
      <c r="X31" s="500"/>
      <c r="Y31" s="498"/>
      <c r="Z31" s="499"/>
      <c r="AA31" s="499"/>
      <c r="AB31" s="499"/>
      <c r="AC31" s="499"/>
      <c r="AD31" s="499"/>
      <c r="AE31" s="499"/>
      <c r="AF31" s="499"/>
      <c r="AG31" s="499"/>
      <c r="AH31" s="499"/>
      <c r="AI31" s="499"/>
      <c r="AJ31" s="500"/>
      <c r="AK31" s="498"/>
      <c r="AL31" s="499"/>
      <c r="AM31" s="499"/>
      <c r="AN31" s="499"/>
      <c r="AO31" s="499"/>
      <c r="AP31" s="499"/>
      <c r="AQ31" s="499"/>
      <c r="AR31" s="499"/>
      <c r="AS31" s="499"/>
      <c r="AT31" s="499"/>
      <c r="AU31" s="499"/>
      <c r="AV31" s="500"/>
      <c r="AW31" s="497"/>
    </row>
    <row r="32" spans="1:49">
      <c r="B32" s="368" t="s">
        <v>1300</v>
      </c>
      <c r="C32" s="368">
        <v>1</v>
      </c>
      <c r="D32" s="368">
        <v>1</v>
      </c>
      <c r="E32" s="368">
        <v>1</v>
      </c>
      <c r="F32" s="368">
        <v>1</v>
      </c>
      <c r="G32" s="368">
        <v>1</v>
      </c>
      <c r="H32" s="503">
        <f t="shared" si="0"/>
        <v>1.0206548099999999</v>
      </c>
      <c r="I32" s="366"/>
      <c r="L32" s="9"/>
      <c r="M32" s="498"/>
      <c r="N32" s="499"/>
      <c r="O32" s="499"/>
      <c r="P32" s="499"/>
      <c r="Q32" s="499"/>
      <c r="R32" s="499"/>
      <c r="S32" s="499"/>
      <c r="T32" s="499"/>
      <c r="U32" s="499"/>
      <c r="V32" s="499"/>
      <c r="W32" s="499"/>
      <c r="X32" s="500"/>
      <c r="Y32" s="498"/>
      <c r="Z32" s="499"/>
      <c r="AA32" s="499"/>
      <c r="AB32" s="499"/>
      <c r="AC32" s="499"/>
      <c r="AD32" s="499"/>
      <c r="AE32" s="499"/>
      <c r="AF32" s="499" t="s">
        <v>250</v>
      </c>
      <c r="AG32" s="499"/>
      <c r="AH32" s="499"/>
      <c r="AI32" s="499"/>
      <c r="AJ32" s="500"/>
      <c r="AK32" s="498"/>
      <c r="AL32" s="499"/>
      <c r="AM32" s="499"/>
      <c r="AN32" s="499"/>
      <c r="AO32" s="499"/>
      <c r="AP32" s="499"/>
      <c r="AQ32" s="499"/>
      <c r="AR32" s="499"/>
      <c r="AS32" s="499"/>
      <c r="AT32" s="499"/>
      <c r="AU32" s="499"/>
      <c r="AV32" s="500"/>
      <c r="AW32" s="497"/>
    </row>
    <row r="33" spans="1:49">
      <c r="B33" s="2" t="s">
        <v>1301</v>
      </c>
      <c r="H33" s="82">
        <f>SUMPRODUCT(H28:H31,I28:I31)</f>
        <v>0.96494999999999997</v>
      </c>
      <c r="L33" s="9"/>
      <c r="M33" s="498"/>
      <c r="N33" s="499"/>
      <c r="O33" s="499"/>
      <c r="P33" s="499"/>
      <c r="Q33" s="499"/>
      <c r="R33" s="499"/>
      <c r="S33" s="499"/>
      <c r="T33" s="499"/>
      <c r="U33" s="499"/>
      <c r="V33" s="499"/>
      <c r="W33" s="499"/>
      <c r="X33" s="500"/>
      <c r="Y33" s="498"/>
      <c r="Z33" s="499" t="s">
        <v>192</v>
      </c>
      <c r="AA33" s="499"/>
      <c r="AB33" s="499"/>
      <c r="AC33" s="499"/>
      <c r="AD33" s="499"/>
      <c r="AE33" s="499"/>
      <c r="AF33" s="499"/>
      <c r="AG33" s="499"/>
      <c r="AH33" s="499"/>
      <c r="AI33" s="499"/>
      <c r="AJ33" s="500"/>
      <c r="AK33" s="498"/>
      <c r="AL33" s="499"/>
      <c r="AM33" s="499"/>
      <c r="AN33" s="499"/>
      <c r="AO33" s="499"/>
      <c r="AP33" s="499"/>
      <c r="AQ33" s="499"/>
      <c r="AR33" s="499"/>
      <c r="AS33" s="499"/>
      <c r="AT33" s="499"/>
      <c r="AU33" s="499"/>
      <c r="AV33" s="500"/>
      <c r="AW33" s="497"/>
    </row>
    <row r="34" spans="1:49">
      <c r="B34" s="2" t="s">
        <v>1302</v>
      </c>
      <c r="H34" s="82">
        <f>H32/H33</f>
        <v>1.0577281828073992</v>
      </c>
      <c r="L34" s="9"/>
      <c r="M34" s="498"/>
      <c r="N34" s="499"/>
      <c r="O34" s="499"/>
      <c r="P34" s="499"/>
      <c r="Q34" s="499"/>
      <c r="R34" s="499"/>
      <c r="S34" s="499"/>
      <c r="T34" s="499"/>
      <c r="U34" s="499"/>
      <c r="V34" s="499"/>
      <c r="W34" s="499"/>
      <c r="X34" s="500"/>
      <c r="Y34" s="498"/>
      <c r="Z34" s="499"/>
      <c r="AA34" s="499"/>
      <c r="AB34" s="499"/>
      <c r="AC34" s="499"/>
      <c r="AD34" s="499"/>
      <c r="AE34" s="499"/>
      <c r="AF34" s="499"/>
      <c r="AG34" s="499"/>
      <c r="AH34" s="499"/>
      <c r="AI34" s="499"/>
      <c r="AJ34" s="500"/>
      <c r="AK34" s="498"/>
      <c r="AL34" s="499"/>
      <c r="AM34" s="499"/>
      <c r="AN34" s="499"/>
      <c r="AO34" s="499"/>
      <c r="AP34" s="499"/>
      <c r="AQ34" s="499"/>
      <c r="AR34" s="499"/>
      <c r="AS34" s="499"/>
      <c r="AT34" s="499"/>
      <c r="AU34" s="499"/>
      <c r="AV34" s="500"/>
      <c r="AW34" s="497"/>
    </row>
    <row r="35" spans="1:49">
      <c r="B35" s="2" t="s">
        <v>1303</v>
      </c>
      <c r="H35" s="83">
        <f>H34*E17</f>
        <v>1480819.455930359</v>
      </c>
      <c r="L35" s="9"/>
      <c r="M35" s="504"/>
      <c r="N35" s="505"/>
      <c r="O35" s="505"/>
      <c r="P35" s="505"/>
      <c r="Q35" s="505"/>
      <c r="R35" s="505"/>
      <c r="S35" s="505"/>
      <c r="T35" s="505"/>
      <c r="U35" s="505"/>
      <c r="V35" s="505"/>
      <c r="W35" s="505"/>
      <c r="X35" s="506"/>
      <c r="Y35" s="504"/>
      <c r="Z35" s="505"/>
      <c r="AA35" s="505"/>
      <c r="AB35" s="505"/>
      <c r="AC35" s="505"/>
      <c r="AD35" s="505"/>
      <c r="AE35" s="505"/>
      <c r="AF35" s="505"/>
      <c r="AG35" s="505"/>
      <c r="AH35" s="505"/>
      <c r="AI35" s="505"/>
      <c r="AJ35" s="506"/>
      <c r="AK35" s="504"/>
      <c r="AL35" s="505"/>
      <c r="AM35" s="505"/>
      <c r="AN35" s="505"/>
      <c r="AO35" s="505"/>
      <c r="AP35" s="505"/>
      <c r="AQ35" s="505"/>
      <c r="AR35" s="505"/>
      <c r="AS35" s="505"/>
      <c r="AT35" s="505"/>
      <c r="AU35" s="505"/>
      <c r="AV35" s="506"/>
      <c r="AW35" s="497"/>
    </row>
    <row r="36" spans="1:49">
      <c r="L36" s="9"/>
      <c r="M36" s="493"/>
      <c r="N36" s="497"/>
      <c r="O36" s="497"/>
      <c r="P36" s="497"/>
      <c r="Q36" s="497"/>
      <c r="R36" s="497"/>
      <c r="S36" s="497"/>
      <c r="T36" s="507" t="s">
        <v>1304</v>
      </c>
      <c r="U36" s="497"/>
      <c r="V36" s="497"/>
      <c r="W36" s="497"/>
      <c r="X36" s="497"/>
      <c r="Y36" s="497"/>
      <c r="Z36" s="497"/>
      <c r="AA36" s="497"/>
      <c r="AB36" s="507" t="s">
        <v>1305</v>
      </c>
      <c r="AC36" s="497"/>
      <c r="AD36" s="497"/>
      <c r="AE36" s="497"/>
      <c r="AF36" s="497"/>
      <c r="AG36" s="497"/>
      <c r="AH36" s="497"/>
      <c r="AI36" s="497"/>
      <c r="AJ36" s="497"/>
      <c r="AK36" s="507" t="s">
        <v>1306</v>
      </c>
      <c r="AL36" s="497"/>
      <c r="AM36" s="497"/>
      <c r="AN36" s="497"/>
      <c r="AO36" s="497"/>
      <c r="AP36" s="497"/>
      <c r="AQ36" s="497"/>
      <c r="AR36" s="497"/>
      <c r="AS36" s="497"/>
      <c r="AT36" s="497"/>
      <c r="AU36" s="497"/>
      <c r="AV36" s="497"/>
      <c r="AW36" s="497"/>
    </row>
    <row r="38" spans="1:49">
      <c r="A38" s="17" t="s">
        <v>133</v>
      </c>
      <c r="B38" s="1" t="s">
        <v>1307</v>
      </c>
      <c r="C38" s="1"/>
      <c r="D38" s="1"/>
      <c r="E38" s="1"/>
      <c r="F38" s="1"/>
      <c r="G38" s="1"/>
      <c r="H38" s="1"/>
      <c r="I38" s="1"/>
      <c r="J38" s="1"/>
      <c r="K38" s="1"/>
    </row>
    <row r="39" spans="1:49">
      <c r="A39" s="14"/>
      <c r="B39" s="14"/>
      <c r="C39" s="14"/>
      <c r="D39" s="14"/>
      <c r="E39" s="14"/>
      <c r="F39" s="1"/>
      <c r="G39" s="1"/>
      <c r="H39" s="1"/>
      <c r="I39" s="1"/>
      <c r="J39" s="1"/>
      <c r="K39" s="1"/>
    </row>
    <row r="40" spans="1:49" ht="16.2">
      <c r="A40" s="3"/>
      <c r="B40" s="3"/>
      <c r="C40" s="3"/>
      <c r="D40" s="3"/>
      <c r="E40" s="3"/>
      <c r="F40" s="3"/>
      <c r="G40" s="3"/>
      <c r="H40" s="3"/>
      <c r="I40" s="3"/>
      <c r="J40" s="3"/>
      <c r="K40" s="3"/>
      <c r="M40" s="114" t="s">
        <v>189</v>
      </c>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row>
    <row r="41" spans="1:49">
      <c r="A41" s="3" t="s">
        <v>20</v>
      </c>
      <c r="B41" s="3"/>
      <c r="C41" s="3"/>
      <c r="D41" s="3"/>
      <c r="E41" s="3"/>
      <c r="F41" s="3"/>
      <c r="G41" s="3"/>
      <c r="H41" s="3"/>
      <c r="I41" s="3"/>
      <c r="J41" s="3"/>
      <c r="K41" s="3"/>
      <c r="M41" s="918">
        <v>2018</v>
      </c>
      <c r="N41" s="918"/>
      <c r="O41" s="918"/>
      <c r="P41" s="918"/>
      <c r="Q41" s="918"/>
      <c r="R41" s="918"/>
      <c r="S41" s="918"/>
      <c r="T41" s="918"/>
      <c r="U41" s="918"/>
      <c r="V41" s="918"/>
      <c r="W41" s="918"/>
      <c r="X41" s="918"/>
      <c r="Y41" s="918">
        <f>M41+1</f>
        <v>2019</v>
      </c>
      <c r="Z41" s="918"/>
      <c r="AA41" s="918"/>
      <c r="AB41" s="918"/>
      <c r="AC41" s="918"/>
      <c r="AD41" s="918"/>
      <c r="AE41" s="918"/>
      <c r="AF41" s="918"/>
      <c r="AG41" s="918"/>
      <c r="AH41" s="918"/>
      <c r="AI41" s="918"/>
      <c r="AJ41" s="918"/>
      <c r="AK41" s="918">
        <f>Y41+1</f>
        <v>2020</v>
      </c>
      <c r="AL41" s="918"/>
      <c r="AM41" s="918"/>
      <c r="AN41" s="918"/>
      <c r="AO41" s="918"/>
      <c r="AP41" s="918"/>
      <c r="AQ41" s="918"/>
      <c r="AR41" s="918"/>
      <c r="AS41" s="918"/>
      <c r="AT41" s="918"/>
      <c r="AU41" s="918"/>
      <c r="AV41" s="918"/>
    </row>
    <row r="42" spans="1:49">
      <c r="A42" s="3"/>
      <c r="B42" s="3"/>
      <c r="C42" s="3"/>
      <c r="D42" s="3"/>
      <c r="E42" s="3"/>
      <c r="F42" s="3"/>
      <c r="G42" s="3"/>
      <c r="H42" s="3"/>
      <c r="I42" s="3"/>
      <c r="J42" s="3"/>
      <c r="K42" s="3"/>
      <c r="M42" s="508"/>
      <c r="N42" s="509"/>
      <c r="O42" s="509"/>
      <c r="P42" s="509"/>
      <c r="Q42" s="509"/>
      <c r="R42" s="509"/>
      <c r="S42" s="509"/>
      <c r="T42" s="509"/>
      <c r="U42" s="509"/>
      <c r="V42" s="509"/>
      <c r="W42" s="509"/>
      <c r="X42" s="510"/>
      <c r="Y42" s="508" t="s">
        <v>190</v>
      </c>
      <c r="Z42" s="509"/>
      <c r="AA42" s="509"/>
      <c r="AB42" s="509"/>
      <c r="AC42" s="509"/>
      <c r="AD42" s="509"/>
      <c r="AE42" s="509"/>
      <c r="AF42" s="509"/>
      <c r="AG42" s="509"/>
      <c r="AH42" s="509"/>
      <c r="AI42" s="509"/>
      <c r="AJ42" s="510"/>
      <c r="AK42" s="508"/>
      <c r="AL42" s="509"/>
      <c r="AM42" s="509"/>
      <c r="AN42" s="509"/>
      <c r="AO42" s="509"/>
      <c r="AP42" s="509"/>
      <c r="AQ42" s="509"/>
      <c r="AR42" s="509"/>
      <c r="AS42" s="509"/>
      <c r="AT42" s="509"/>
      <c r="AU42" s="509"/>
      <c r="AV42" s="510"/>
    </row>
    <row r="43" spans="1:49">
      <c r="A43" s="3"/>
      <c r="B43" s="3" t="s">
        <v>1308</v>
      </c>
      <c r="C43" s="3"/>
      <c r="D43" s="3"/>
      <c r="E43" s="3"/>
      <c r="F43" s="3"/>
      <c r="G43" s="3"/>
      <c r="H43" s="3"/>
      <c r="I43" s="3"/>
      <c r="J43" s="3"/>
      <c r="K43" s="3"/>
      <c r="M43" s="511"/>
      <c r="N43" s="18"/>
      <c r="O43" s="18"/>
      <c r="P43" s="18"/>
      <c r="Q43" s="18"/>
      <c r="R43" s="18"/>
      <c r="S43" s="18"/>
      <c r="T43" s="18"/>
      <c r="U43" s="18"/>
      <c r="V43" s="18"/>
      <c r="W43" s="18"/>
      <c r="X43" s="512"/>
      <c r="Y43" s="511"/>
      <c r="Z43" s="18"/>
      <c r="AA43" s="18"/>
      <c r="AB43" s="18"/>
      <c r="AC43" s="18"/>
      <c r="AD43" s="18"/>
      <c r="AE43" s="18"/>
      <c r="AF43" s="18"/>
      <c r="AG43" s="18"/>
      <c r="AH43" s="18"/>
      <c r="AI43" s="18"/>
      <c r="AJ43" s="512"/>
      <c r="AK43" s="511"/>
      <c r="AL43" s="18"/>
      <c r="AM43" s="18"/>
      <c r="AN43" s="18"/>
      <c r="AO43" s="18"/>
      <c r="AP43" s="18"/>
      <c r="AQ43" s="18"/>
      <c r="AR43" s="18"/>
      <c r="AS43" s="18"/>
      <c r="AT43" s="18"/>
      <c r="AU43" s="18"/>
      <c r="AV43" s="512"/>
    </row>
    <row r="44" spans="1:49">
      <c r="B44" s="2" t="s">
        <v>1309</v>
      </c>
      <c r="L44" s="3"/>
      <c r="M44" s="511"/>
      <c r="N44" s="18"/>
      <c r="O44" s="18"/>
      <c r="P44" s="18"/>
      <c r="Q44" s="18"/>
      <c r="R44" s="18"/>
      <c r="S44" s="18"/>
      <c r="T44" s="18"/>
      <c r="U44" s="18"/>
      <c r="V44" s="18"/>
      <c r="W44" s="18"/>
      <c r="X44" s="512"/>
      <c r="Y44" s="511"/>
      <c r="Z44" s="18"/>
      <c r="AA44" s="18"/>
      <c r="AB44" s="18"/>
      <c r="AC44" s="18"/>
      <c r="AD44" s="18"/>
      <c r="AE44" s="18"/>
      <c r="AF44" s="18"/>
      <c r="AG44" s="18"/>
      <c r="AH44" s="18"/>
      <c r="AI44" s="18"/>
      <c r="AJ44" s="512"/>
      <c r="AK44" s="511"/>
      <c r="AL44" s="18"/>
      <c r="AM44" s="18"/>
      <c r="AN44" s="18"/>
      <c r="AO44" s="18"/>
      <c r="AP44" s="18"/>
      <c r="AQ44" s="18"/>
      <c r="AR44" s="18"/>
      <c r="AS44" s="18"/>
      <c r="AT44" s="18"/>
      <c r="AU44" s="18"/>
      <c r="AV44" s="512"/>
    </row>
    <row r="45" spans="1:49">
      <c r="B45" s="2" t="s">
        <v>1310</v>
      </c>
      <c r="L45" s="3"/>
      <c r="M45" s="511"/>
      <c r="N45" s="18"/>
      <c r="O45" s="18"/>
      <c r="P45" s="18"/>
      <c r="Q45" s="18"/>
      <c r="R45" s="18"/>
      <c r="S45" s="18"/>
      <c r="T45" s="18"/>
      <c r="U45" s="18"/>
      <c r="V45" s="18"/>
      <c r="W45" s="18"/>
      <c r="X45" s="512"/>
      <c r="Y45" s="511"/>
      <c r="Z45" s="18"/>
      <c r="AA45" s="18"/>
      <c r="AB45" s="18"/>
      <c r="AC45" s="18"/>
      <c r="AD45" s="18"/>
      <c r="AE45" s="18"/>
      <c r="AF45" s="18"/>
      <c r="AG45" s="18"/>
      <c r="AH45" s="18"/>
      <c r="AI45" s="18"/>
      <c r="AJ45" s="512"/>
      <c r="AK45" s="511"/>
      <c r="AL45" s="18"/>
      <c r="AM45" s="18"/>
      <c r="AN45" s="18"/>
      <c r="AO45" s="18"/>
      <c r="AP45" s="18"/>
      <c r="AQ45" s="18"/>
      <c r="AR45" s="18"/>
      <c r="AS45" s="18"/>
      <c r="AT45" s="18"/>
      <c r="AU45" s="18"/>
      <c r="AV45" s="512"/>
    </row>
    <row r="46" spans="1:49">
      <c r="B46" s="2" t="s">
        <v>1311</v>
      </c>
      <c r="L46" s="3"/>
      <c r="M46" s="511"/>
      <c r="N46" s="18"/>
      <c r="O46" s="18"/>
      <c r="P46" s="18"/>
      <c r="Q46" s="18"/>
      <c r="R46" s="18"/>
      <c r="S46" s="18"/>
      <c r="T46" s="18"/>
      <c r="U46" s="18"/>
      <c r="V46" s="18"/>
      <c r="W46" s="18"/>
      <c r="X46" s="512"/>
      <c r="Y46" s="511"/>
      <c r="Z46" s="18"/>
      <c r="AA46" s="18"/>
      <c r="AB46" s="18"/>
      <c r="AC46" s="18"/>
      <c r="AD46" s="18"/>
      <c r="AE46" s="18"/>
      <c r="AF46" s="18"/>
      <c r="AG46" s="18"/>
      <c r="AH46" s="18"/>
      <c r="AI46" s="18"/>
      <c r="AJ46" s="512"/>
      <c r="AK46" s="511"/>
      <c r="AL46" s="18"/>
      <c r="AM46" s="18"/>
      <c r="AN46" s="18"/>
      <c r="AO46" s="18"/>
      <c r="AP46" s="18"/>
      <c r="AQ46" s="18"/>
      <c r="AR46" s="18"/>
      <c r="AS46" s="18"/>
      <c r="AT46" s="18"/>
      <c r="AU46" s="18"/>
      <c r="AV46" s="512"/>
    </row>
    <row r="47" spans="1:49">
      <c r="L47" s="3"/>
      <c r="M47" s="511"/>
      <c r="N47" s="18"/>
      <c r="O47" s="18"/>
      <c r="P47" s="18"/>
      <c r="Q47" s="18"/>
      <c r="R47" s="18"/>
      <c r="S47" s="18"/>
      <c r="T47" s="18"/>
      <c r="U47" s="18"/>
      <c r="V47" s="18"/>
      <c r="W47" s="18"/>
      <c r="X47" s="512"/>
      <c r="Y47" s="511"/>
      <c r="Z47" s="18"/>
      <c r="AA47" s="18"/>
      <c r="AB47" s="18"/>
      <c r="AC47" s="18"/>
      <c r="AD47" s="18"/>
      <c r="AE47" s="18"/>
      <c r="AF47" s="18"/>
      <c r="AG47" s="18"/>
      <c r="AH47" s="18"/>
      <c r="AI47" s="18"/>
      <c r="AJ47" s="512"/>
      <c r="AK47" s="511"/>
      <c r="AL47" s="18"/>
      <c r="AM47" s="18"/>
      <c r="AN47" s="18"/>
      <c r="AO47" s="18"/>
      <c r="AP47" s="18"/>
      <c r="AQ47" s="18"/>
      <c r="AR47" s="18"/>
      <c r="AS47" s="18"/>
      <c r="AT47" s="18"/>
      <c r="AU47" s="18"/>
      <c r="AV47" s="512"/>
    </row>
    <row r="48" spans="1:49">
      <c r="B48" s="513" t="s">
        <v>978</v>
      </c>
      <c r="L48" s="3"/>
      <c r="M48" s="511"/>
      <c r="N48" s="18"/>
      <c r="O48" s="18"/>
      <c r="P48" s="18"/>
      <c r="Q48" s="18"/>
      <c r="R48" s="18"/>
      <c r="S48" s="18"/>
      <c r="T48" s="18"/>
      <c r="U48" s="18"/>
      <c r="V48" s="18"/>
      <c r="W48" s="18"/>
      <c r="X48" s="512"/>
      <c r="Y48" s="511"/>
      <c r="Z48" s="18" t="s">
        <v>191</v>
      </c>
      <c r="AA48" s="18"/>
      <c r="AB48" s="18"/>
      <c r="AC48" s="18"/>
      <c r="AD48" s="18"/>
      <c r="AE48" s="18"/>
      <c r="AF48" s="18"/>
      <c r="AG48" s="18" t="s">
        <v>192</v>
      </c>
      <c r="AH48" s="18"/>
      <c r="AI48" s="18"/>
      <c r="AJ48" s="512"/>
      <c r="AK48" s="511"/>
      <c r="AL48" s="18"/>
      <c r="AM48" s="18"/>
      <c r="AN48" s="18"/>
      <c r="AO48" s="18"/>
      <c r="AP48" s="18"/>
      <c r="AQ48" s="18"/>
      <c r="AR48" s="18"/>
      <c r="AS48" s="18"/>
      <c r="AT48" s="18"/>
      <c r="AU48" s="18"/>
      <c r="AV48" s="512"/>
    </row>
    <row r="49" spans="1:48">
      <c r="B49" s="61" t="s">
        <v>1312</v>
      </c>
      <c r="L49" s="3"/>
      <c r="M49" s="511"/>
      <c r="N49" s="18"/>
      <c r="O49" s="18"/>
      <c r="P49" s="18"/>
      <c r="Q49" s="18"/>
      <c r="R49" s="18"/>
      <c r="S49" s="18"/>
      <c r="T49" s="18"/>
      <c r="U49" s="18"/>
      <c r="V49" s="18"/>
      <c r="W49" s="18"/>
      <c r="X49" s="512"/>
      <c r="Y49" s="511"/>
      <c r="Z49" s="18"/>
      <c r="AA49" s="18"/>
      <c r="AB49" s="18"/>
      <c r="AC49" s="18"/>
      <c r="AD49" s="18"/>
      <c r="AE49" s="18"/>
      <c r="AF49" s="18"/>
      <c r="AG49" s="18"/>
      <c r="AH49" s="18"/>
      <c r="AI49" s="18"/>
      <c r="AJ49" s="512"/>
      <c r="AK49" s="511"/>
      <c r="AL49" s="18"/>
      <c r="AM49" s="18"/>
      <c r="AN49" s="18"/>
      <c r="AO49" s="18"/>
      <c r="AP49" s="18"/>
      <c r="AQ49" s="18"/>
      <c r="AR49" s="18"/>
      <c r="AS49" s="18"/>
      <c r="AT49" s="18"/>
      <c r="AU49" s="18"/>
      <c r="AV49" s="512"/>
    </row>
    <row r="50" spans="1:48">
      <c r="M50" s="511"/>
      <c r="N50" s="18"/>
      <c r="O50" s="18"/>
      <c r="P50" s="18"/>
      <c r="Q50" s="18"/>
      <c r="R50" s="18"/>
      <c r="S50" s="18"/>
      <c r="T50" s="18"/>
      <c r="U50" s="18"/>
      <c r="V50" s="18"/>
      <c r="W50" s="18"/>
      <c r="X50" s="512"/>
      <c r="Y50" s="511"/>
      <c r="Z50" s="18"/>
      <c r="AA50" s="18"/>
      <c r="AB50" s="18"/>
      <c r="AC50" s="18"/>
      <c r="AD50" s="18"/>
      <c r="AE50" s="18"/>
      <c r="AF50" s="18"/>
      <c r="AG50" s="18"/>
      <c r="AH50" s="18"/>
      <c r="AI50" s="18"/>
      <c r="AJ50" s="512"/>
      <c r="AK50" s="511"/>
      <c r="AL50" s="18"/>
      <c r="AM50" s="18"/>
      <c r="AN50" s="18"/>
      <c r="AO50" s="18"/>
      <c r="AP50" s="18"/>
      <c r="AQ50" s="18"/>
      <c r="AR50" s="18"/>
      <c r="AS50" s="18"/>
      <c r="AT50" s="18"/>
      <c r="AU50" s="18"/>
      <c r="AV50" s="512"/>
    </row>
    <row r="51" spans="1:48">
      <c r="C51" s="816" t="s">
        <v>1296</v>
      </c>
      <c r="D51" s="816"/>
      <c r="E51" s="816"/>
      <c r="F51" s="816"/>
      <c r="G51" s="816"/>
      <c r="M51" s="511"/>
      <c r="N51" s="18"/>
      <c r="O51" s="18"/>
      <c r="P51" s="18"/>
      <c r="Q51" s="18"/>
      <c r="R51" s="18"/>
      <c r="S51" s="18"/>
      <c r="T51" s="18"/>
      <c r="U51" s="18"/>
      <c r="V51" s="18"/>
      <c r="W51" s="18"/>
      <c r="X51" s="512"/>
      <c r="Y51" s="511"/>
      <c r="Z51" s="18"/>
      <c r="AA51" s="18"/>
      <c r="AB51" s="18"/>
      <c r="AC51" s="18"/>
      <c r="AD51" s="18"/>
      <c r="AE51" s="18"/>
      <c r="AF51" s="18"/>
      <c r="AG51" s="18"/>
      <c r="AH51" s="18"/>
      <c r="AI51" s="18"/>
      <c r="AJ51" s="512"/>
      <c r="AK51" s="511"/>
      <c r="AL51" s="18"/>
      <c r="AM51" s="18"/>
      <c r="AN51" s="18"/>
      <c r="AO51" s="18"/>
      <c r="AP51" s="18"/>
      <c r="AQ51" s="18"/>
      <c r="AR51" s="18"/>
      <c r="AS51" s="18"/>
      <c r="AT51" s="18"/>
      <c r="AU51" s="18"/>
      <c r="AV51" s="512"/>
    </row>
    <row r="52" spans="1:48">
      <c r="C52" s="501">
        <f>C26</f>
        <v>42917</v>
      </c>
      <c r="D52" s="501">
        <f t="shared" ref="D52:G52" si="1">D26</f>
        <v>43344</v>
      </c>
      <c r="E52" s="501">
        <f t="shared" si="1"/>
        <v>43862</v>
      </c>
      <c r="F52" s="501">
        <f t="shared" si="1"/>
        <v>44470</v>
      </c>
      <c r="G52" s="501">
        <f t="shared" si="1"/>
        <v>43586</v>
      </c>
      <c r="M52" s="511"/>
      <c r="N52" s="18"/>
      <c r="O52" s="18"/>
      <c r="P52" s="18"/>
      <c r="Q52" s="18"/>
      <c r="R52" s="18"/>
      <c r="S52" s="18"/>
      <c r="T52" s="18"/>
      <c r="U52" s="18"/>
      <c r="V52" s="18"/>
      <c r="W52" s="18"/>
      <c r="X52" s="512"/>
      <c r="Y52" s="511"/>
      <c r="Z52" s="18"/>
      <c r="AA52" s="18"/>
      <c r="AB52" s="18"/>
      <c r="AC52" s="18"/>
      <c r="AD52" s="18"/>
      <c r="AE52" s="18"/>
      <c r="AF52" s="18"/>
      <c r="AG52" s="18"/>
      <c r="AH52" s="18"/>
      <c r="AI52" s="18"/>
      <c r="AJ52" s="512"/>
      <c r="AK52" s="511"/>
      <c r="AL52" s="18"/>
      <c r="AM52" s="18"/>
      <c r="AN52" s="18"/>
      <c r="AO52" s="18"/>
      <c r="AP52" s="18"/>
      <c r="AQ52" s="18"/>
      <c r="AR52" s="18"/>
      <c r="AS52" s="18"/>
      <c r="AT52" s="18"/>
      <c r="AU52" s="18"/>
      <c r="AV52" s="512"/>
    </row>
    <row r="53" spans="1:48">
      <c r="B53" s="35" t="s">
        <v>1297</v>
      </c>
      <c r="C53" s="502">
        <f t="shared" ref="C53:G53" si="2">C27</f>
        <v>0.05</v>
      </c>
      <c r="D53" s="502">
        <f t="shared" si="2"/>
        <v>-0.02</v>
      </c>
      <c r="E53" s="502">
        <f t="shared" si="2"/>
        <v>7.0000000000000007E-2</v>
      </c>
      <c r="F53" s="502">
        <f t="shared" si="2"/>
        <v>0.03</v>
      </c>
      <c r="G53" s="502">
        <f t="shared" si="2"/>
        <v>-0.1</v>
      </c>
      <c r="H53" s="36" t="s">
        <v>1298</v>
      </c>
      <c r="I53" s="36" t="s">
        <v>1299</v>
      </c>
      <c r="M53" s="514"/>
      <c r="N53" s="515"/>
      <c r="O53" s="515"/>
      <c r="P53" s="515"/>
      <c r="Q53" s="515"/>
      <c r="R53" s="515"/>
      <c r="S53" s="515"/>
      <c r="T53" s="515"/>
      <c r="U53" s="515"/>
      <c r="V53" s="515"/>
      <c r="W53" s="515"/>
      <c r="X53" s="516"/>
      <c r="Y53" s="514"/>
      <c r="Z53" s="515"/>
      <c r="AA53" s="515"/>
      <c r="AB53" s="515"/>
      <c r="AC53" s="515"/>
      <c r="AD53" s="515"/>
      <c r="AE53" s="515"/>
      <c r="AF53" s="515"/>
      <c r="AG53" s="515"/>
      <c r="AH53" s="515"/>
      <c r="AI53" s="515"/>
      <c r="AJ53" s="516"/>
      <c r="AK53" s="514"/>
      <c r="AL53" s="515"/>
      <c r="AM53" s="515"/>
      <c r="AN53" s="515"/>
      <c r="AO53" s="515"/>
      <c r="AP53" s="515"/>
      <c r="AQ53" s="515"/>
      <c r="AR53" s="515"/>
      <c r="AS53" s="515"/>
      <c r="AT53" s="515"/>
      <c r="AU53" s="515"/>
      <c r="AV53" s="516"/>
    </row>
    <row r="54" spans="1:48">
      <c r="B54" s="34" t="s">
        <v>190</v>
      </c>
      <c r="C54" s="34">
        <v>1</v>
      </c>
      <c r="D54" s="34"/>
      <c r="E54" s="34"/>
      <c r="F54" s="34"/>
      <c r="G54" s="34"/>
      <c r="H54" s="82">
        <f>((1+$C$53)^C54)*((1+$D$53)^D54)*((1+$E$53)^E54)*((1+$F$53)^F54)*((1+$G$53)^G54)</f>
        <v>1.05</v>
      </c>
      <c r="I54" s="177">
        <f>0.5*2*4/144</f>
        <v>2.7777777777777776E-2</v>
      </c>
      <c r="T54" s="60" t="s">
        <v>1304</v>
      </c>
      <c r="AB54" s="60" t="s">
        <v>1305</v>
      </c>
      <c r="AK54" s="60" t="s">
        <v>1306</v>
      </c>
    </row>
    <row r="55" spans="1:48">
      <c r="B55" s="34" t="s">
        <v>191</v>
      </c>
      <c r="C55" s="34">
        <v>1</v>
      </c>
      <c r="D55" s="34">
        <v>1</v>
      </c>
      <c r="E55" s="34"/>
      <c r="F55" s="34"/>
      <c r="G55" s="34"/>
      <c r="H55" s="82">
        <f t="shared" ref="H55:H57" si="3">((1+$C$53)^C55)*((1+$D$53)^D55)*((1+$E$53)^E55)*((1+$F$53)^F55)*((1+$G$53)^G55)</f>
        <v>1.0289999999999999</v>
      </c>
      <c r="I55" s="177">
        <f>(4/12)-I54</f>
        <v>0.30555555555555552</v>
      </c>
    </row>
    <row r="56" spans="1:48">
      <c r="B56" s="34" t="s">
        <v>192</v>
      </c>
      <c r="C56" s="34">
        <v>1</v>
      </c>
      <c r="D56" s="34">
        <v>1</v>
      </c>
      <c r="E56" s="34"/>
      <c r="F56" s="34"/>
      <c r="G56" s="34">
        <v>1</v>
      </c>
      <c r="H56" s="82">
        <f t="shared" si="3"/>
        <v>0.92609999999999992</v>
      </c>
      <c r="I56" s="177">
        <f>1-SUM(I54:I55)</f>
        <v>0.66666666666666674</v>
      </c>
    </row>
    <row r="57" spans="1:48">
      <c r="B57" s="368" t="s">
        <v>1300</v>
      </c>
      <c r="C57" s="368">
        <v>1</v>
      </c>
      <c r="D57" s="368">
        <v>1</v>
      </c>
      <c r="E57" s="368">
        <v>1</v>
      </c>
      <c r="F57" s="368">
        <v>1</v>
      </c>
      <c r="G57" s="368">
        <v>1</v>
      </c>
      <c r="H57" s="503">
        <f t="shared" si="3"/>
        <v>1.0206548099999999</v>
      </c>
      <c r="I57" s="366"/>
    </row>
    <row r="58" spans="1:48">
      <c r="B58" s="2" t="s">
        <v>1301</v>
      </c>
      <c r="H58" s="82">
        <f>SUMPRODUCT(H54:H56,I54:I56)</f>
        <v>0.9609833333333333</v>
      </c>
    </row>
    <row r="59" spans="1:48">
      <c r="B59" s="2" t="s">
        <v>1302</v>
      </c>
      <c r="H59" s="82">
        <f>H57/H58</f>
        <v>1.0620941847760106</v>
      </c>
    </row>
    <row r="61" spans="1:48">
      <c r="A61" s="14"/>
      <c r="B61" s="14"/>
      <c r="C61" s="14"/>
      <c r="D61" s="14"/>
      <c r="E61" s="14"/>
      <c r="F61" s="1"/>
      <c r="G61" s="1"/>
      <c r="H61" s="1"/>
      <c r="I61" s="1"/>
      <c r="J61" s="1"/>
      <c r="K61" s="1"/>
    </row>
    <row r="62" spans="1:48">
      <c r="A62" s="831" t="s">
        <v>1313</v>
      </c>
      <c r="B62" s="831"/>
      <c r="C62" s="831"/>
      <c r="D62" s="831"/>
      <c r="E62" s="831"/>
      <c r="F62" s="831"/>
      <c r="G62" s="831"/>
      <c r="H62" s="831"/>
      <c r="I62" s="831"/>
      <c r="J62" s="831"/>
      <c r="K62" s="1"/>
    </row>
    <row r="63" spans="1:48">
      <c r="A63" s="831"/>
      <c r="B63" s="831"/>
      <c r="C63" s="831"/>
      <c r="D63" s="831"/>
      <c r="E63" s="831"/>
      <c r="F63" s="831"/>
      <c r="G63" s="831"/>
      <c r="H63" s="831"/>
      <c r="I63" s="831"/>
      <c r="J63" s="831"/>
      <c r="K63" s="1"/>
    </row>
    <row r="64" spans="1:48">
      <c r="A64" s="14"/>
      <c r="B64" s="14"/>
      <c r="C64" s="14"/>
      <c r="D64" s="14"/>
      <c r="E64" s="14"/>
      <c r="F64" s="1"/>
      <c r="G64" s="1"/>
      <c r="H64" s="1"/>
      <c r="I64" s="1"/>
      <c r="J64" s="1"/>
      <c r="K64" s="1"/>
    </row>
    <row r="66" spans="1:13">
      <c r="A66" s="17" t="s">
        <v>18</v>
      </c>
      <c r="B66" s="1" t="s">
        <v>1314</v>
      </c>
      <c r="C66" s="1"/>
      <c r="D66" s="1"/>
      <c r="E66" s="1"/>
      <c r="F66" s="1"/>
      <c r="G66" s="1"/>
      <c r="H66" s="1"/>
      <c r="I66" s="1"/>
      <c r="J66" s="1"/>
      <c r="K66" s="1"/>
    </row>
    <row r="67" spans="1:13">
      <c r="A67" s="14"/>
      <c r="B67" s="14"/>
      <c r="C67" s="14"/>
      <c r="D67" s="14"/>
      <c r="E67" s="14"/>
      <c r="F67" s="1"/>
      <c r="G67" s="1"/>
      <c r="H67" s="1"/>
      <c r="I67" s="1"/>
      <c r="J67" s="1"/>
      <c r="K67" s="1"/>
    </row>
    <row r="68" spans="1:13">
      <c r="A68" s="3"/>
      <c r="B68" s="3"/>
      <c r="C68" s="3"/>
      <c r="D68" s="3"/>
      <c r="E68" s="3"/>
      <c r="F68" s="3"/>
      <c r="G68" s="3"/>
      <c r="H68" s="3"/>
      <c r="I68" s="3"/>
      <c r="J68" s="3"/>
      <c r="K68" s="3"/>
    </row>
    <row r="69" spans="1:13">
      <c r="A69" s="3" t="s">
        <v>20</v>
      </c>
      <c r="B69" s="3"/>
      <c r="C69" s="3"/>
      <c r="D69" s="3"/>
      <c r="E69" s="3"/>
      <c r="F69" s="3"/>
      <c r="G69" s="3"/>
      <c r="H69" s="3"/>
      <c r="I69" s="3"/>
      <c r="J69" s="3"/>
      <c r="K69" s="3"/>
    </row>
    <row r="70" spans="1:13">
      <c r="A70" s="3"/>
      <c r="B70" s="3"/>
      <c r="C70" s="3"/>
      <c r="D70" s="3"/>
      <c r="E70" s="3"/>
      <c r="F70" s="3"/>
      <c r="G70" s="3"/>
      <c r="H70" s="3"/>
      <c r="I70" s="3"/>
      <c r="J70" s="3"/>
      <c r="K70" s="3"/>
    </row>
    <row r="71" spans="1:13">
      <c r="A71" s="3"/>
      <c r="B71" s="3" t="s">
        <v>1315</v>
      </c>
      <c r="C71" s="3"/>
      <c r="D71" s="3"/>
      <c r="E71" s="3"/>
      <c r="F71" s="3"/>
      <c r="G71" s="3"/>
      <c r="H71" s="3"/>
      <c r="I71" s="3"/>
      <c r="J71" s="3"/>
      <c r="K71" s="3"/>
    </row>
    <row r="72" spans="1:13">
      <c r="B72" s="2" t="s">
        <v>1316</v>
      </c>
    </row>
    <row r="73" spans="1:13">
      <c r="L73" s="3"/>
      <c r="M73" s="3"/>
    </row>
    <row r="74" spans="1:13">
      <c r="L74" s="3"/>
      <c r="M74" s="3"/>
    </row>
    <row r="75" spans="1:13">
      <c r="L75" s="3"/>
      <c r="M75" s="3"/>
    </row>
  </sheetData>
  <mergeCells count="9">
    <mergeCell ref="C51:G51"/>
    <mergeCell ref="A62:J63"/>
    <mergeCell ref="M23:X23"/>
    <mergeCell ref="Y23:AJ23"/>
    <mergeCell ref="AK23:AV23"/>
    <mergeCell ref="C25:G25"/>
    <mergeCell ref="M41:X41"/>
    <mergeCell ref="Y41:AJ41"/>
    <mergeCell ref="AK41:AV41"/>
  </mergeCells>
  <hyperlinks>
    <hyperlink ref="N1" location="TOC!A1" display="Table of Contents" xr:uid="{E5B3BD41-89C9-4681-ADDF-66578DCF7F96}"/>
  </hyperlinks>
  <pageMargins left="0.7" right="0.7" top="0.75" bottom="0.75" header="0.3" footer="0.3"/>
  <pageSetup orientation="portrait"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AD83-7066-4241-ACCB-7C46584CBF31}">
  <dimension ref="A1:R55"/>
  <sheetViews>
    <sheetView zoomScaleNormal="100" workbookViewId="0"/>
  </sheetViews>
  <sheetFormatPr defaultColWidth="8.88671875" defaultRowHeight="15.6"/>
  <cols>
    <col min="1" max="1" width="8.88671875" style="2" customWidth="1"/>
    <col min="2" max="2" width="14.33203125" style="2" customWidth="1"/>
    <col min="3" max="3" width="16.33203125" style="2" customWidth="1"/>
    <col min="4" max="4" width="15.6640625" style="2" customWidth="1"/>
    <col min="5" max="5" width="14.6640625" style="2" customWidth="1"/>
    <col min="6" max="8" width="12.6640625" style="2" customWidth="1"/>
    <col min="9" max="9" width="17.88671875" style="2" customWidth="1"/>
    <col min="10" max="12" width="9.6640625" style="2" customWidth="1"/>
    <col min="13" max="16384" width="8.88671875" style="2"/>
  </cols>
  <sheetData>
    <row r="1" spans="1:18" ht="17.399999999999999">
      <c r="A1" s="13" t="s">
        <v>1936</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260" t="s">
        <v>151</v>
      </c>
      <c r="B3" s="1"/>
      <c r="C3" s="1"/>
      <c r="D3" s="1"/>
      <c r="E3" s="1"/>
      <c r="F3" s="1"/>
      <c r="G3" s="1"/>
      <c r="H3" s="1"/>
      <c r="I3" s="1"/>
      <c r="J3" s="1"/>
      <c r="K3" s="1"/>
      <c r="L3" s="14"/>
    </row>
    <row r="4" spans="1:18">
      <c r="A4" s="43"/>
      <c r="B4" s="1"/>
      <c r="C4" s="1"/>
      <c r="D4" s="1"/>
      <c r="E4" s="1"/>
      <c r="F4" s="1"/>
      <c r="G4" s="1"/>
      <c r="H4" s="1"/>
      <c r="I4" s="1"/>
      <c r="J4" s="1"/>
      <c r="K4" s="1"/>
      <c r="L4" s="1"/>
    </row>
    <row r="5" spans="1:18" ht="62.4">
      <c r="A5" s="43"/>
      <c r="B5" s="4" t="s">
        <v>3</v>
      </c>
      <c r="C5" s="4" t="s">
        <v>47</v>
      </c>
      <c r="D5" s="4" t="s">
        <v>152</v>
      </c>
      <c r="E5" s="4" t="s">
        <v>153</v>
      </c>
      <c r="F5" s="1"/>
      <c r="G5" s="1"/>
      <c r="H5" s="1"/>
      <c r="I5" s="1"/>
      <c r="J5" s="1"/>
      <c r="K5" s="1"/>
      <c r="L5" s="1"/>
    </row>
    <row r="6" spans="1:18">
      <c r="A6" s="43"/>
      <c r="B6" s="32">
        <v>2016</v>
      </c>
      <c r="C6" s="92">
        <v>13525260</v>
      </c>
      <c r="D6" s="92">
        <v>17480000</v>
      </c>
      <c r="E6" s="92">
        <v>543630</v>
      </c>
      <c r="F6" s="1"/>
      <c r="G6" s="1"/>
      <c r="H6" s="1"/>
      <c r="I6" s="1"/>
      <c r="J6" s="1"/>
      <c r="K6" s="1"/>
      <c r="L6" s="1"/>
    </row>
    <row r="7" spans="1:18">
      <c r="A7" s="43"/>
      <c r="B7" s="32">
        <v>2017</v>
      </c>
      <c r="C7" s="92">
        <v>14287260</v>
      </c>
      <c r="D7" s="92">
        <v>18239240</v>
      </c>
      <c r="E7" s="92">
        <v>586640</v>
      </c>
      <c r="F7" s="1"/>
      <c r="G7" s="1"/>
      <c r="H7" s="1"/>
      <c r="I7" s="1"/>
      <c r="J7" s="1"/>
      <c r="K7" s="1"/>
      <c r="L7" s="1"/>
    </row>
    <row r="8" spans="1:18">
      <c r="A8" s="43"/>
      <c r="B8" s="32">
        <v>2018</v>
      </c>
      <c r="C8" s="92">
        <v>15646150</v>
      </c>
      <c r="D8" s="92">
        <v>19120010</v>
      </c>
      <c r="E8" s="92">
        <v>634770</v>
      </c>
      <c r="F8" s="1"/>
      <c r="G8" s="1"/>
      <c r="H8" s="1"/>
      <c r="I8" s="1"/>
      <c r="J8" s="1"/>
      <c r="K8" s="1"/>
      <c r="L8" s="1"/>
    </row>
    <row r="9" spans="1:18">
      <c r="A9" s="1"/>
      <c r="B9" s="32">
        <v>2019</v>
      </c>
      <c r="C9" s="92">
        <v>16642150</v>
      </c>
      <c r="D9" s="92">
        <v>19993320</v>
      </c>
      <c r="E9" s="92">
        <v>684470</v>
      </c>
      <c r="F9" s="1"/>
      <c r="G9" s="1"/>
      <c r="H9" s="1"/>
      <c r="I9" s="1"/>
      <c r="J9" s="1"/>
      <c r="K9" s="1"/>
      <c r="L9" s="1"/>
    </row>
    <row r="10" spans="1:18">
      <c r="A10" s="1"/>
      <c r="B10" s="32">
        <v>2020</v>
      </c>
      <c r="C10" s="92">
        <v>18527760</v>
      </c>
      <c r="D10" s="92">
        <v>20826540</v>
      </c>
      <c r="E10" s="92">
        <v>734250</v>
      </c>
      <c r="F10" s="1"/>
      <c r="G10" s="1"/>
      <c r="H10" s="1"/>
      <c r="I10" s="1"/>
      <c r="J10" s="1"/>
      <c r="K10" s="1"/>
      <c r="L10" s="1"/>
    </row>
    <row r="11" spans="1:18">
      <c r="A11" s="43"/>
      <c r="B11" s="32">
        <v>2021</v>
      </c>
      <c r="C11" s="92">
        <v>20737090</v>
      </c>
      <c r="D11" s="92">
        <v>21816000</v>
      </c>
      <c r="E11" s="92">
        <v>792360</v>
      </c>
      <c r="F11" s="1"/>
      <c r="G11" s="1"/>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91</v>
      </c>
      <c r="B14" s="1" t="s">
        <v>1317</v>
      </c>
      <c r="C14" s="1"/>
      <c r="D14" s="1"/>
      <c r="E14" s="1"/>
      <c r="F14" s="1"/>
      <c r="G14" s="1"/>
      <c r="H14" s="1"/>
      <c r="I14" s="1"/>
      <c r="J14" s="1"/>
      <c r="K14" s="1"/>
      <c r="L14" s="1"/>
      <c r="M14" s="9"/>
      <c r="N14" s="9"/>
      <c r="O14" s="9"/>
      <c r="P14" s="9"/>
      <c r="Q14" s="9"/>
      <c r="R14" s="9"/>
    </row>
    <row r="15" spans="1:18">
      <c r="A15" s="14"/>
      <c r="B15" s="14"/>
      <c r="C15" s="14"/>
      <c r="D15" s="14"/>
      <c r="E15" s="14"/>
      <c r="F15" s="14"/>
      <c r="G15" s="1"/>
      <c r="H15" s="1"/>
      <c r="I15" s="1"/>
      <c r="J15" s="1"/>
      <c r="K15" s="1"/>
      <c r="L15" s="1"/>
    </row>
    <row r="16" spans="1:18">
      <c r="A16" s="3"/>
      <c r="B16" s="3"/>
      <c r="C16" s="3"/>
      <c r="D16" s="3"/>
      <c r="E16" s="3"/>
      <c r="F16" s="3"/>
      <c r="G16" s="3"/>
      <c r="H16" s="3"/>
      <c r="I16" s="3"/>
      <c r="J16" s="3"/>
      <c r="K16" s="3"/>
      <c r="L16" s="3"/>
      <c r="M16" s="3"/>
    </row>
    <row r="17" spans="1:14">
      <c r="A17" s="3" t="s">
        <v>20</v>
      </c>
      <c r="B17" s="3"/>
      <c r="C17" s="3"/>
      <c r="D17" s="3"/>
      <c r="E17" s="3"/>
      <c r="F17" s="3"/>
      <c r="G17" s="3"/>
      <c r="H17" s="3"/>
      <c r="I17" s="3"/>
      <c r="J17" s="3"/>
      <c r="K17" s="3"/>
      <c r="L17" s="3"/>
      <c r="M17" s="3"/>
      <c r="N17" s="9"/>
    </row>
    <row r="18" spans="1:14" ht="62.4">
      <c r="A18" s="3"/>
      <c r="B18" s="93" t="s">
        <v>3</v>
      </c>
      <c r="C18" s="93" t="s">
        <v>156</v>
      </c>
      <c r="D18" s="93" t="s">
        <v>157</v>
      </c>
      <c r="G18" s="3"/>
      <c r="H18" s="3"/>
      <c r="I18" s="3"/>
      <c r="J18" s="3"/>
      <c r="K18" s="3"/>
      <c r="L18" s="3"/>
      <c r="M18" s="3"/>
      <c r="N18" s="9"/>
    </row>
    <row r="19" spans="1:14">
      <c r="A19" s="3"/>
      <c r="B19" s="94">
        <f>B6</f>
        <v>2016</v>
      </c>
      <c r="C19" s="517">
        <f>E6/D6</f>
        <v>3.1100114416475973E-2</v>
      </c>
      <c r="D19" s="518"/>
      <c r="G19" s="3"/>
      <c r="H19" s="3"/>
      <c r="I19" s="3"/>
      <c r="J19" s="3"/>
      <c r="K19" s="3"/>
      <c r="L19" s="3"/>
      <c r="M19" s="3"/>
      <c r="N19" s="9"/>
    </row>
    <row r="20" spans="1:14">
      <c r="B20" s="94">
        <f t="shared" ref="B20:B24" si="0">B7</f>
        <v>2017</v>
      </c>
      <c r="C20" s="517">
        <f t="shared" ref="C20:C24" si="1">E7/D7</f>
        <v>3.2163620852623247E-2</v>
      </c>
      <c r="D20" s="517">
        <f t="shared" ref="D20:D24" si="2">C20/C19-1</f>
        <v>3.419622262173605E-2</v>
      </c>
      <c r="M20" s="9"/>
      <c r="N20" s="9"/>
    </row>
    <row r="21" spans="1:14">
      <c r="B21" s="94">
        <f t="shared" si="0"/>
        <v>2018</v>
      </c>
      <c r="C21" s="517">
        <f t="shared" si="1"/>
        <v>3.3199250418802083E-2</v>
      </c>
      <c r="D21" s="517">
        <f t="shared" si="2"/>
        <v>3.2198786664106915E-2</v>
      </c>
      <c r="M21" s="9"/>
      <c r="N21" s="9"/>
    </row>
    <row r="22" spans="1:14">
      <c r="B22" s="94">
        <f t="shared" si="0"/>
        <v>2019</v>
      </c>
      <c r="C22" s="517">
        <f t="shared" si="1"/>
        <v>3.4234934468112349E-2</v>
      </c>
      <c r="D22" s="517">
        <f t="shared" si="2"/>
        <v>3.1196007025619865E-2</v>
      </c>
      <c r="M22" s="9"/>
      <c r="N22" s="9"/>
    </row>
    <row r="23" spans="1:14">
      <c r="B23" s="94">
        <f t="shared" si="0"/>
        <v>2020</v>
      </c>
      <c r="C23" s="517">
        <f t="shared" si="1"/>
        <v>3.5255496112172255E-2</v>
      </c>
      <c r="D23" s="517">
        <f t="shared" si="2"/>
        <v>2.9810533010089291E-2</v>
      </c>
      <c r="M23" s="9"/>
      <c r="N23" s="9"/>
    </row>
    <row r="24" spans="1:14">
      <c r="B24" s="94">
        <f t="shared" si="0"/>
        <v>2021</v>
      </c>
      <c r="C24" s="517">
        <f t="shared" si="1"/>
        <v>3.632013201320132E-2</v>
      </c>
      <c r="D24" s="517">
        <f t="shared" si="2"/>
        <v>3.0197728536898616E-2</v>
      </c>
      <c r="M24" s="9"/>
      <c r="N24" s="9"/>
    </row>
    <row r="26" spans="1:14">
      <c r="A26" s="17" t="s">
        <v>133</v>
      </c>
      <c r="B26" s="1" t="s">
        <v>1318</v>
      </c>
      <c r="C26" s="1"/>
      <c r="D26" s="1"/>
      <c r="E26" s="1"/>
      <c r="F26" s="1"/>
      <c r="G26" s="1"/>
      <c r="H26" s="1"/>
      <c r="I26" s="1"/>
      <c r="J26" s="1"/>
      <c r="K26" s="1"/>
      <c r="L26" s="1"/>
    </row>
    <row r="27" spans="1:14">
      <c r="A27" s="14"/>
      <c r="B27" s="14"/>
      <c r="C27" s="14"/>
      <c r="D27" s="14"/>
      <c r="E27" s="14"/>
      <c r="F27" s="14"/>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c r="A30" s="3"/>
      <c r="B30" s="2" t="s">
        <v>158</v>
      </c>
      <c r="C30" s="18"/>
      <c r="D30" s="157">
        <f>AVERAGE(D20:D24)</f>
        <v>3.1519855571690146E-2</v>
      </c>
      <c r="E30" s="18"/>
      <c r="G30" s="3"/>
      <c r="H30" s="3"/>
      <c r="I30" s="3"/>
      <c r="J30" s="3"/>
      <c r="K30" s="3"/>
      <c r="L30" s="3"/>
    </row>
    <row r="31" spans="1:14">
      <c r="A31" s="3"/>
      <c r="B31" s="2" t="s">
        <v>160</v>
      </c>
      <c r="C31" s="18"/>
      <c r="D31" s="157">
        <f>AVERAGE(D22:D24)</f>
        <v>3.0401422857535925E-2</v>
      </c>
      <c r="E31" s="18"/>
      <c r="G31" s="3"/>
      <c r="H31" s="3"/>
      <c r="I31" s="3"/>
      <c r="J31" s="3"/>
      <c r="K31" s="3"/>
      <c r="L31" s="3"/>
    </row>
    <row r="32" spans="1:14">
      <c r="M32" s="3"/>
    </row>
    <row r="33" spans="1:13">
      <c r="B33" s="98" t="s">
        <v>1319</v>
      </c>
      <c r="C33" s="18"/>
      <c r="D33" s="157">
        <v>3.04E-2</v>
      </c>
      <c r="M33" s="3"/>
    </row>
    <row r="34" spans="1:13">
      <c r="M34" s="3"/>
    </row>
    <row r="35" spans="1:13">
      <c r="B35" s="2" t="s">
        <v>1320</v>
      </c>
    </row>
    <row r="37" spans="1:13">
      <c r="A37" s="14"/>
      <c r="B37" s="14"/>
      <c r="C37" s="14"/>
      <c r="D37" s="14"/>
      <c r="E37" s="14"/>
      <c r="F37" s="14"/>
      <c r="G37" s="1"/>
      <c r="H37" s="1"/>
      <c r="I37" s="1"/>
      <c r="J37" s="1"/>
      <c r="K37" s="1"/>
      <c r="L37" s="1"/>
    </row>
    <row r="38" spans="1:13">
      <c r="A38" s="204" t="s">
        <v>12</v>
      </c>
      <c r="B38" s="1"/>
      <c r="C38" s="1"/>
      <c r="D38" s="1"/>
      <c r="E38" s="1"/>
      <c r="F38" s="1"/>
      <c r="G38" s="1"/>
      <c r="H38" s="1"/>
      <c r="I38" s="1"/>
      <c r="J38" s="1"/>
      <c r="K38" s="1"/>
      <c r="L38" s="1"/>
    </row>
    <row r="39" spans="1:13">
      <c r="A39" s="1"/>
      <c r="B39" s="519" t="s">
        <v>1321</v>
      </c>
      <c r="C39" s="1"/>
      <c r="D39" s="474">
        <v>45078</v>
      </c>
      <c r="E39" s="1" t="s">
        <v>1322</v>
      </c>
      <c r="F39" s="1"/>
      <c r="G39" s="1"/>
      <c r="H39" s="1"/>
      <c r="I39" s="1"/>
      <c r="J39" s="1"/>
      <c r="K39" s="1"/>
      <c r="L39" s="1"/>
    </row>
    <row r="40" spans="1:13">
      <c r="A40" s="1"/>
      <c r="B40" s="519" t="s">
        <v>1323</v>
      </c>
      <c r="C40" s="1"/>
      <c r="D40" s="1"/>
      <c r="E40" s="1"/>
      <c r="F40" s="1"/>
      <c r="G40" s="1"/>
      <c r="H40" s="1"/>
      <c r="I40" s="1"/>
      <c r="J40" s="1"/>
      <c r="K40" s="1"/>
      <c r="L40" s="1"/>
    </row>
    <row r="41" spans="1:13">
      <c r="A41" s="1"/>
      <c r="B41" s="519" t="s">
        <v>1324</v>
      </c>
      <c r="C41" s="1"/>
      <c r="D41" s="377">
        <v>0.01</v>
      </c>
      <c r="E41" s="14"/>
      <c r="F41" s="14"/>
      <c r="G41" s="1"/>
      <c r="H41" s="1"/>
      <c r="I41" s="1"/>
      <c r="J41" s="1"/>
      <c r="K41" s="1"/>
      <c r="L41" s="1"/>
    </row>
    <row r="42" spans="1:13">
      <c r="A42" s="14"/>
      <c r="B42" s="14"/>
      <c r="C42" s="14"/>
      <c r="D42" s="14"/>
      <c r="E42" s="14"/>
      <c r="F42" s="14"/>
      <c r="G42" s="1"/>
      <c r="H42" s="1"/>
      <c r="I42" s="1"/>
      <c r="J42" s="1"/>
      <c r="K42" s="1"/>
      <c r="L42" s="1"/>
    </row>
    <row r="44" spans="1:13">
      <c r="A44" s="17" t="s">
        <v>18</v>
      </c>
      <c r="B44" s="1" t="s">
        <v>1325</v>
      </c>
      <c r="C44" s="1"/>
      <c r="D44" s="1"/>
      <c r="E44" s="1"/>
      <c r="F44" s="1"/>
      <c r="G44" s="1"/>
      <c r="H44" s="1"/>
      <c r="I44" s="1"/>
      <c r="J44" s="1"/>
      <c r="K44" s="1"/>
      <c r="L44" s="1"/>
    </row>
    <row r="45" spans="1:13">
      <c r="A45" s="14"/>
      <c r="B45" s="14"/>
      <c r="C45" s="14"/>
      <c r="D45" s="14"/>
      <c r="E45" s="14"/>
      <c r="F45" s="14"/>
      <c r="G45" s="1"/>
      <c r="H45" s="1"/>
      <c r="I45" s="1"/>
      <c r="J45" s="1"/>
      <c r="K45" s="1"/>
      <c r="L45" s="1"/>
    </row>
    <row r="46" spans="1:13">
      <c r="A46" s="3"/>
      <c r="B46" s="3"/>
      <c r="C46" s="3"/>
      <c r="D46" s="3"/>
      <c r="E46" s="3"/>
      <c r="F46" s="3"/>
      <c r="G46" s="3"/>
      <c r="H46" s="3"/>
      <c r="I46" s="3"/>
      <c r="J46" s="3"/>
      <c r="K46" s="3"/>
      <c r="L46" s="3"/>
    </row>
    <row r="47" spans="1:13">
      <c r="A47" s="3" t="s">
        <v>20</v>
      </c>
      <c r="B47" s="3"/>
      <c r="C47" s="3"/>
      <c r="D47" s="3"/>
      <c r="E47" s="3"/>
      <c r="F47" s="3"/>
      <c r="G47" s="3"/>
      <c r="H47" s="3"/>
      <c r="I47" s="3"/>
      <c r="J47" s="3"/>
      <c r="K47" s="3"/>
      <c r="L47" s="3"/>
    </row>
    <row r="48" spans="1:13">
      <c r="A48" s="3"/>
      <c r="B48" s="3" t="s">
        <v>168</v>
      </c>
      <c r="C48" s="3"/>
      <c r="D48" s="3"/>
      <c r="E48" s="520">
        <f>DATE(YEAR(D39)+1,MONTH(D39),DAY(D39))</f>
        <v>45444</v>
      </c>
      <c r="F48" s="274" t="s">
        <v>1326</v>
      </c>
      <c r="G48" s="3"/>
      <c r="H48" s="3"/>
      <c r="I48" s="101"/>
      <c r="J48" s="3"/>
      <c r="K48" s="3"/>
      <c r="L48" s="3"/>
    </row>
    <row r="49" spans="2:14">
      <c r="B49" s="3"/>
      <c r="C49" s="18"/>
      <c r="D49" s="18"/>
      <c r="E49" s="18"/>
      <c r="F49" s="18"/>
      <c r="G49" s="18"/>
      <c r="H49" s="18"/>
      <c r="I49" s="18"/>
    </row>
    <row r="50" spans="2:14">
      <c r="B50" s="3"/>
      <c r="C50" s="521" t="s">
        <v>169</v>
      </c>
      <c r="D50" s="102"/>
      <c r="E50" s="3"/>
      <c r="F50" s="3"/>
      <c r="G50" s="3"/>
      <c r="H50" s="3"/>
      <c r="I50" s="3"/>
    </row>
    <row r="51" spans="2:14" ht="62.4">
      <c r="B51" s="93" t="s">
        <v>3</v>
      </c>
      <c r="C51" s="93" t="s">
        <v>170</v>
      </c>
      <c r="D51" s="93" t="s">
        <v>171</v>
      </c>
      <c r="E51" s="93" t="s">
        <v>172</v>
      </c>
      <c r="F51" s="93" t="s">
        <v>1327</v>
      </c>
      <c r="G51" s="93" t="s">
        <v>174</v>
      </c>
      <c r="H51" s="93" t="s">
        <v>1328</v>
      </c>
      <c r="I51" s="93" t="s">
        <v>1329</v>
      </c>
      <c r="M51" s="3"/>
      <c r="N51" s="3"/>
    </row>
    <row r="52" spans="2:14">
      <c r="B52" s="94">
        <f>B22</f>
        <v>2019</v>
      </c>
      <c r="C52" s="520">
        <f t="shared" ref="C52:C54" si="3">DATE(B52,7,1)</f>
        <v>43647</v>
      </c>
      <c r="D52" s="520">
        <f>$E$48</f>
        <v>45444</v>
      </c>
      <c r="E52" s="94">
        <f>(12*YEAR(D52)+MONTH(D52))-(12*YEAR(C52)+MONTH(C52))</f>
        <v>59</v>
      </c>
      <c r="F52" s="105">
        <f>(1+$D$33)^(E52/12)</f>
        <v>1.1586317605138396</v>
      </c>
      <c r="G52" s="106">
        <f>F52*E9</f>
        <v>793048.68111890787</v>
      </c>
      <c r="H52" s="106">
        <f>D9*(1+$D$41)^(E52/12)</f>
        <v>20995763.468828142</v>
      </c>
      <c r="I52" s="95">
        <f>G52/H52</f>
        <v>3.7771842986149391E-2</v>
      </c>
      <c r="M52" s="3"/>
      <c r="N52" s="3"/>
    </row>
    <row r="53" spans="2:14">
      <c r="B53" s="94">
        <f t="shared" ref="B53:B54" si="4">B23</f>
        <v>2020</v>
      </c>
      <c r="C53" s="520">
        <f t="shared" si="3"/>
        <v>44013</v>
      </c>
      <c r="D53" s="520">
        <f t="shared" ref="D53:D54" si="5">$E$48</f>
        <v>45444</v>
      </c>
      <c r="E53" s="94">
        <f>(12*YEAR(D53)+MONTH(D53))-(12*YEAR(C53)+MONTH(C53))</f>
        <v>47</v>
      </c>
      <c r="F53" s="105">
        <f>(1+$D$33)^(E53/12)</f>
        <v>1.1244485253434002</v>
      </c>
      <c r="G53" s="106">
        <f>F53*E10</f>
        <v>825626.32973339164</v>
      </c>
      <c r="H53" s="106">
        <f>D10*(1+$D$41)^(E53/12)</f>
        <v>21654218.0392255</v>
      </c>
      <c r="I53" s="95">
        <f t="shared" ref="I53:I54" si="6">G53/H53</f>
        <v>3.812773697197526E-2</v>
      </c>
      <c r="M53" s="3"/>
      <c r="N53" s="3"/>
    </row>
    <row r="54" spans="2:14">
      <c r="B54" s="107">
        <f t="shared" si="4"/>
        <v>2021</v>
      </c>
      <c r="C54" s="522">
        <f t="shared" si="3"/>
        <v>44378</v>
      </c>
      <c r="D54" s="522">
        <f t="shared" si="5"/>
        <v>45444</v>
      </c>
      <c r="E54" s="107">
        <f>(12*YEAR(D54)+MONTH(D54))-(12*YEAR(C54)+MONTH(C54))</f>
        <v>35</v>
      </c>
      <c r="F54" s="109">
        <f>(1+$D$33)^(E54/12)</f>
        <v>1.0912738017696044</v>
      </c>
      <c r="G54" s="110">
        <f>F54*E11</f>
        <v>864681.70957016374</v>
      </c>
      <c r="H54" s="110">
        <f>D11*(1+$D$41)^(E54/12)</f>
        <v>22458416.503522467</v>
      </c>
      <c r="I54" s="111">
        <f t="shared" si="6"/>
        <v>3.850145487481469E-2</v>
      </c>
    </row>
    <row r="55" spans="2:14">
      <c r="B55" s="3"/>
      <c r="C55" s="3"/>
      <c r="D55" s="3"/>
      <c r="E55" s="3"/>
      <c r="F55" s="3"/>
      <c r="G55" s="3" t="s">
        <v>175</v>
      </c>
      <c r="H55" s="3"/>
      <c r="I55" s="112">
        <f>AVERAGE(I52:I54)</f>
        <v>3.8133678277646445E-2</v>
      </c>
    </row>
  </sheetData>
  <hyperlinks>
    <hyperlink ref="O1" location="TOC!A1" display="Table of Contents" xr:uid="{8DA6ACFA-4890-4CDB-B55D-70321F9FF00B}"/>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4E7C-8883-4A65-B2D7-48CAB1643CDB}">
  <dimension ref="A1:R66"/>
  <sheetViews>
    <sheetView zoomScaleNormal="100" workbookViewId="0"/>
  </sheetViews>
  <sheetFormatPr defaultRowHeight="15.6"/>
  <cols>
    <col min="1" max="1" width="12.77734375" style="2" customWidth="1"/>
    <col min="2" max="2" width="10.77734375" style="2" customWidth="1"/>
    <col min="3" max="7" width="12.77734375" style="2" customWidth="1"/>
    <col min="8" max="12" width="9.77734375" style="2" customWidth="1"/>
    <col min="13" max="14" width="11.6640625" style="2" customWidth="1"/>
    <col min="15" max="16384" width="8.88671875" style="2"/>
  </cols>
  <sheetData>
    <row r="1" spans="1:18" ht="17.399999999999999">
      <c r="A1" s="13" t="s">
        <v>351</v>
      </c>
      <c r="B1" s="1"/>
      <c r="C1" s="1"/>
      <c r="D1" s="1" t="s">
        <v>0</v>
      </c>
      <c r="E1" s="1"/>
      <c r="F1" s="1"/>
      <c r="G1" s="1"/>
      <c r="H1" s="1"/>
      <c r="I1" s="1"/>
      <c r="J1" s="1"/>
      <c r="K1" s="1"/>
      <c r="L1" s="14"/>
      <c r="P1" s="21" t="s">
        <v>2927</v>
      </c>
    </row>
    <row r="2" spans="1:18">
      <c r="A2" s="1"/>
      <c r="B2" s="1"/>
      <c r="C2" s="1"/>
      <c r="D2" s="1"/>
      <c r="E2" s="1"/>
      <c r="F2" s="1"/>
      <c r="G2" s="1"/>
      <c r="H2" s="1"/>
      <c r="I2" s="1"/>
      <c r="J2" s="1"/>
      <c r="K2" s="1"/>
      <c r="L2" s="14"/>
    </row>
    <row r="3" spans="1:18">
      <c r="A3" s="1" t="s">
        <v>118</v>
      </c>
      <c r="B3" s="1"/>
      <c r="C3" s="1"/>
      <c r="D3" s="1"/>
      <c r="E3" s="1"/>
      <c r="F3" s="1"/>
      <c r="G3" s="1"/>
      <c r="H3" s="1"/>
      <c r="I3" s="1"/>
      <c r="J3" s="1"/>
      <c r="K3" s="1"/>
      <c r="L3" s="14"/>
    </row>
    <row r="4" spans="1:18">
      <c r="A4" s="1"/>
      <c r="B4" s="1"/>
      <c r="C4" s="64"/>
      <c r="D4" s="64"/>
      <c r="E4" s="64"/>
      <c r="F4" s="64"/>
      <c r="G4" s="64"/>
      <c r="H4" s="1"/>
      <c r="I4" s="1"/>
      <c r="J4" s="1"/>
      <c r="K4" s="1"/>
      <c r="L4" s="1"/>
    </row>
    <row r="5" spans="1:18">
      <c r="A5" s="1"/>
      <c r="B5" s="65"/>
      <c r="C5" s="817" t="s">
        <v>119</v>
      </c>
      <c r="D5" s="818"/>
      <c r="E5" s="817" t="s">
        <v>120</v>
      </c>
      <c r="F5" s="819"/>
      <c r="G5" s="66"/>
      <c r="H5" s="1"/>
      <c r="I5" s="1"/>
      <c r="J5" s="1"/>
      <c r="K5" s="1"/>
      <c r="L5" s="1"/>
    </row>
    <row r="6" spans="1:18">
      <c r="A6" s="1"/>
      <c r="B6" s="67" t="s">
        <v>53</v>
      </c>
      <c r="C6" s="820" t="s">
        <v>121</v>
      </c>
      <c r="D6" s="821"/>
      <c r="E6" s="822" t="s">
        <v>122</v>
      </c>
      <c r="F6" s="822"/>
      <c r="G6" s="68" t="s">
        <v>123</v>
      </c>
      <c r="H6" s="1"/>
      <c r="I6" s="1"/>
      <c r="J6" s="1"/>
      <c r="K6" s="1"/>
      <c r="L6" s="1"/>
    </row>
    <row r="7" spans="1:18">
      <c r="A7" s="1"/>
      <c r="B7" s="69" t="s">
        <v>55</v>
      </c>
      <c r="C7" s="45" t="s">
        <v>66</v>
      </c>
      <c r="D7" s="5" t="s">
        <v>65</v>
      </c>
      <c r="E7" s="45" t="s">
        <v>66</v>
      </c>
      <c r="F7" s="45" t="s">
        <v>65</v>
      </c>
      <c r="G7" s="24" t="s">
        <v>124</v>
      </c>
      <c r="H7" s="1"/>
      <c r="I7" s="1"/>
      <c r="J7" s="1"/>
      <c r="K7" s="1"/>
      <c r="L7" s="1"/>
    </row>
    <row r="8" spans="1:18">
      <c r="A8" s="1"/>
      <c r="B8" s="70">
        <v>2016</v>
      </c>
      <c r="C8" s="71">
        <v>889190</v>
      </c>
      <c r="D8" s="72">
        <v>898170</v>
      </c>
      <c r="E8" s="71">
        <v>916755</v>
      </c>
      <c r="F8" s="72">
        <v>916133</v>
      </c>
      <c r="G8" s="73">
        <v>889488</v>
      </c>
      <c r="H8" s="1"/>
      <c r="I8" s="1"/>
      <c r="J8" s="1"/>
      <c r="K8" s="1"/>
      <c r="L8" s="1"/>
    </row>
    <row r="9" spans="1:18">
      <c r="A9" s="1"/>
      <c r="B9" s="70">
        <f>B8+1</f>
        <v>2017</v>
      </c>
      <c r="C9" s="74">
        <v>916340</v>
      </c>
      <c r="D9" s="72">
        <v>964570</v>
      </c>
      <c r="E9" s="74">
        <v>1014895</v>
      </c>
      <c r="F9" s="72">
        <v>1003537</v>
      </c>
      <c r="G9" s="73">
        <v>998479</v>
      </c>
      <c r="H9" s="1"/>
      <c r="I9" s="1"/>
      <c r="J9" s="1"/>
      <c r="K9" s="1"/>
      <c r="L9" s="1"/>
    </row>
    <row r="10" spans="1:18">
      <c r="A10" s="1"/>
      <c r="B10" s="70">
        <f t="shared" ref="B10:B11" si="0">B9+1</f>
        <v>2018</v>
      </c>
      <c r="C10" s="74">
        <v>824940</v>
      </c>
      <c r="D10" s="72">
        <v>959230</v>
      </c>
      <c r="E10" s="74">
        <v>1065872</v>
      </c>
      <c r="F10" s="72">
        <v>1077820</v>
      </c>
      <c r="G10" s="73">
        <v>1113814</v>
      </c>
      <c r="H10" s="1"/>
      <c r="I10" s="1"/>
      <c r="J10" s="1"/>
      <c r="K10" s="1"/>
      <c r="L10" s="1"/>
    </row>
    <row r="11" spans="1:18">
      <c r="A11" s="1"/>
      <c r="B11" s="75">
        <f t="shared" si="0"/>
        <v>2019</v>
      </c>
      <c r="C11" s="76">
        <v>586850</v>
      </c>
      <c r="D11" s="77">
        <v>838361.61017831089</v>
      </c>
      <c r="E11" s="76">
        <v>1140237</v>
      </c>
      <c r="F11" s="77">
        <v>1139829</v>
      </c>
      <c r="G11" s="78">
        <v>1142919</v>
      </c>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91</v>
      </c>
      <c r="B14" s="1" t="s">
        <v>125</v>
      </c>
      <c r="C14" s="1"/>
      <c r="D14" s="1"/>
      <c r="E14" s="1"/>
      <c r="F14" s="1"/>
      <c r="G14" s="1"/>
      <c r="H14" s="1"/>
      <c r="I14" s="1"/>
      <c r="J14" s="1"/>
      <c r="K14" s="1"/>
      <c r="L14" s="1"/>
      <c r="M14" s="9"/>
      <c r="N14" s="9"/>
      <c r="O14" s="9"/>
      <c r="P14" s="9"/>
      <c r="Q14" s="9"/>
      <c r="R14" s="9"/>
    </row>
    <row r="15" spans="1:18">
      <c r="A15" s="17"/>
      <c r="B15" s="1"/>
      <c r="C15" s="1"/>
      <c r="D15" s="1"/>
      <c r="E15" s="1"/>
      <c r="F15" s="1"/>
      <c r="G15" s="1"/>
      <c r="H15" s="1"/>
      <c r="I15" s="1"/>
      <c r="J15" s="1"/>
      <c r="K15" s="1"/>
      <c r="L15" s="1"/>
      <c r="M15" s="9"/>
      <c r="N15" s="9"/>
      <c r="O15" s="9"/>
      <c r="P15" s="9"/>
      <c r="Q15" s="9"/>
      <c r="R15" s="9"/>
    </row>
    <row r="16" spans="1:18">
      <c r="A16" s="17"/>
      <c r="B16" s="1" t="s">
        <v>73</v>
      </c>
      <c r="C16" s="1" t="s">
        <v>126</v>
      </c>
      <c r="D16" s="1"/>
      <c r="E16" s="1"/>
      <c r="F16" s="1"/>
      <c r="G16" s="1"/>
      <c r="H16" s="1"/>
      <c r="I16" s="1"/>
      <c r="J16" s="1"/>
      <c r="K16" s="1"/>
      <c r="L16" s="1"/>
      <c r="M16" s="9"/>
      <c r="N16" s="9"/>
      <c r="O16" s="9"/>
      <c r="P16" s="9"/>
      <c r="Q16" s="9"/>
      <c r="R16" s="9"/>
    </row>
    <row r="17" spans="1:18">
      <c r="A17" s="17"/>
      <c r="B17" s="1"/>
      <c r="C17" s="1"/>
      <c r="D17" s="1"/>
      <c r="E17" s="1"/>
      <c r="F17" s="1"/>
      <c r="G17" s="1"/>
      <c r="H17" s="1"/>
      <c r="I17" s="1"/>
      <c r="J17" s="1"/>
      <c r="K17" s="1"/>
      <c r="L17" s="1"/>
      <c r="M17" s="9"/>
      <c r="N17" s="9"/>
      <c r="O17" s="9"/>
      <c r="P17" s="9"/>
      <c r="Q17" s="9"/>
      <c r="R17" s="9"/>
    </row>
    <row r="18" spans="1:18">
      <c r="A18" s="17"/>
      <c r="B18" s="1" t="s">
        <v>75</v>
      </c>
      <c r="C18" s="1" t="s">
        <v>127</v>
      </c>
      <c r="D18" s="1"/>
      <c r="E18" s="1"/>
      <c r="F18" s="1"/>
      <c r="G18" s="1"/>
      <c r="H18" s="1"/>
      <c r="I18" s="1"/>
      <c r="J18" s="1"/>
      <c r="K18" s="1"/>
      <c r="L18" s="1"/>
      <c r="M18" s="9"/>
      <c r="N18" s="9"/>
      <c r="O18" s="9"/>
      <c r="P18" s="9"/>
      <c r="Q18" s="9"/>
      <c r="R18" s="9"/>
    </row>
    <row r="19" spans="1:18">
      <c r="A19" s="14"/>
      <c r="B19" s="14"/>
      <c r="C19" s="14"/>
      <c r="D19" s="14"/>
      <c r="E19" s="14"/>
      <c r="F19" s="14"/>
      <c r="G19" s="1"/>
      <c r="H19" s="1"/>
      <c r="I19" s="1"/>
      <c r="J19" s="1"/>
      <c r="K19" s="1"/>
      <c r="L19" s="1"/>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2" spans="1:18">
      <c r="A22" s="3"/>
      <c r="C22" s="816" t="s">
        <v>128</v>
      </c>
      <c r="D22" s="816"/>
      <c r="E22" s="816" t="s">
        <v>129</v>
      </c>
      <c r="F22" s="816"/>
      <c r="G22" s="3"/>
      <c r="H22" s="3"/>
      <c r="I22" s="3"/>
      <c r="J22" s="3"/>
      <c r="K22" s="3"/>
      <c r="L22" s="3"/>
      <c r="M22" s="3"/>
      <c r="N22" s="9"/>
    </row>
    <row r="23" spans="1:18">
      <c r="B23" s="79" t="s">
        <v>53</v>
      </c>
      <c r="C23" s="815" t="s">
        <v>130</v>
      </c>
      <c r="D23" s="815"/>
      <c r="E23" s="815" t="s">
        <v>131</v>
      </c>
      <c r="F23" s="815"/>
      <c r="M23" s="9"/>
      <c r="N23" s="9"/>
    </row>
    <row r="24" spans="1:18">
      <c r="B24" s="80" t="s">
        <v>55</v>
      </c>
      <c r="C24" s="35" t="s">
        <v>66</v>
      </c>
      <c r="D24" s="35" t="s">
        <v>65</v>
      </c>
      <c r="E24" s="35" t="s">
        <v>66</v>
      </c>
      <c r="F24" s="35" t="s">
        <v>65</v>
      </c>
      <c r="M24" s="9"/>
      <c r="N24" s="9"/>
    </row>
    <row r="25" spans="1:18">
      <c r="B25" s="81">
        <v>2016</v>
      </c>
      <c r="C25" s="82">
        <f t="shared" ref="C25:D28" si="1">E8/C8</f>
        <v>1.0310001237080939</v>
      </c>
      <c r="D25" s="82">
        <f t="shared" si="1"/>
        <v>1.0199995546500107</v>
      </c>
      <c r="E25" s="83">
        <f t="shared" ref="E25:F28" si="2">C8+$G8*(1-1/C25)</f>
        <v>915935.13552694023</v>
      </c>
      <c r="F25" s="83">
        <f t="shared" si="2"/>
        <v>915610.5604251785</v>
      </c>
      <c r="H25" s="18"/>
      <c r="I25" s="18"/>
      <c r="J25" s="18"/>
      <c r="K25" s="18"/>
      <c r="M25" s="9"/>
      <c r="N25" s="9"/>
    </row>
    <row r="26" spans="1:18">
      <c r="B26" s="81">
        <f>B25+1</f>
        <v>2017</v>
      </c>
      <c r="C26" s="82">
        <f t="shared" si="1"/>
        <v>1.1075528733876072</v>
      </c>
      <c r="D26" s="82">
        <f t="shared" si="1"/>
        <v>1.0403983122012919</v>
      </c>
      <c r="E26" s="83">
        <f t="shared" si="2"/>
        <v>1013300.8657496588</v>
      </c>
      <c r="F26" s="83">
        <f t="shared" si="2"/>
        <v>1003340.5995822776</v>
      </c>
      <c r="H26" s="18"/>
      <c r="I26" s="18"/>
      <c r="J26" s="18"/>
      <c r="K26" s="18"/>
      <c r="M26" s="9"/>
      <c r="N26" s="9"/>
    </row>
    <row r="27" spans="1:18">
      <c r="B27" s="81">
        <f t="shared" ref="B27:B28" si="3">B26+1</f>
        <v>2018</v>
      </c>
      <c r="C27" s="82">
        <f t="shared" si="1"/>
        <v>1.2920600286081412</v>
      </c>
      <c r="D27" s="82">
        <f t="shared" si="1"/>
        <v>1.1236304118928724</v>
      </c>
      <c r="E27" s="83">
        <f t="shared" si="2"/>
        <v>1076708.9128225527</v>
      </c>
      <c r="F27" s="83">
        <f t="shared" si="2"/>
        <v>1081780.3351765601</v>
      </c>
      <c r="H27" s="18"/>
      <c r="I27" s="18"/>
      <c r="J27" s="18"/>
      <c r="K27" s="18"/>
      <c r="M27" s="9"/>
      <c r="N27" s="9"/>
    </row>
    <row r="28" spans="1:18">
      <c r="B28" s="84">
        <f t="shared" si="3"/>
        <v>2019</v>
      </c>
      <c r="C28" s="85">
        <f t="shared" si="1"/>
        <v>1.9429786146374712</v>
      </c>
      <c r="D28" s="85">
        <f t="shared" si="1"/>
        <v>1.3595911193471395</v>
      </c>
      <c r="E28" s="86">
        <f t="shared" si="2"/>
        <v>1141538.645126408</v>
      </c>
      <c r="F28" s="86">
        <f t="shared" si="2"/>
        <v>1140646.2578821464</v>
      </c>
      <c r="H28" s="18"/>
      <c r="I28" s="18"/>
      <c r="J28" s="18"/>
      <c r="K28" s="18"/>
      <c r="M28" s="9"/>
      <c r="N28" s="9"/>
    </row>
    <row r="29" spans="1:18">
      <c r="B29" s="34" t="s">
        <v>132</v>
      </c>
      <c r="E29" s="83">
        <f>SUM(E25:E28)</f>
        <v>4147483.5592255597</v>
      </c>
      <c r="F29" s="83">
        <f>SUM(F25:F28)</f>
        <v>4141377.7530661626</v>
      </c>
      <c r="H29" s="18"/>
      <c r="I29" s="18"/>
      <c r="J29" s="18"/>
      <c r="K29" s="18"/>
      <c r="M29" s="9"/>
      <c r="N29" s="9"/>
    </row>
    <row r="30" spans="1:18">
      <c r="B30" s="18"/>
      <c r="C30" s="60"/>
    </row>
    <row r="31" spans="1:18">
      <c r="A31" s="17" t="s">
        <v>133</v>
      </c>
      <c r="B31" s="1" t="s">
        <v>134</v>
      </c>
      <c r="C31" s="1"/>
      <c r="D31" s="1"/>
      <c r="E31" s="1"/>
      <c r="F31" s="1"/>
      <c r="G31" s="1"/>
      <c r="H31" s="1"/>
      <c r="I31" s="1"/>
      <c r="J31" s="1"/>
      <c r="K31" s="1"/>
      <c r="L31" s="1"/>
    </row>
    <row r="32" spans="1:18">
      <c r="A32" s="17"/>
      <c r="B32" s="1"/>
      <c r="C32" s="1"/>
      <c r="D32" s="1"/>
      <c r="E32" s="1"/>
      <c r="F32" s="1"/>
      <c r="G32" s="1"/>
      <c r="H32" s="1"/>
      <c r="I32" s="1"/>
      <c r="J32" s="1"/>
      <c r="K32" s="1"/>
      <c r="L32" s="1"/>
    </row>
    <row r="33" spans="1:16">
      <c r="A33" s="17"/>
      <c r="B33" s="17" t="s">
        <v>73</v>
      </c>
      <c r="C33" s="1" t="s">
        <v>135</v>
      </c>
      <c r="D33" s="1"/>
      <c r="E33" s="1"/>
      <c r="F33" s="1"/>
      <c r="G33" s="1"/>
      <c r="H33" s="1"/>
      <c r="I33" s="1"/>
      <c r="J33" s="1"/>
      <c r="K33" s="1"/>
      <c r="L33" s="1"/>
    </row>
    <row r="34" spans="1:16">
      <c r="A34" s="17"/>
      <c r="B34" s="17"/>
      <c r="C34" s="1"/>
      <c r="D34" s="1"/>
      <c r="E34" s="1"/>
      <c r="F34" s="1"/>
      <c r="G34" s="1"/>
      <c r="H34" s="1"/>
      <c r="I34" s="1"/>
      <c r="J34" s="1"/>
      <c r="K34" s="1"/>
      <c r="L34" s="1"/>
    </row>
    <row r="35" spans="1:16">
      <c r="A35" s="17"/>
      <c r="B35" s="17" t="s">
        <v>75</v>
      </c>
      <c r="C35" s="1" t="s">
        <v>136</v>
      </c>
      <c r="D35" s="1"/>
      <c r="E35" s="1"/>
      <c r="F35" s="1"/>
      <c r="G35" s="1"/>
      <c r="H35" s="1"/>
      <c r="I35" s="1"/>
      <c r="J35" s="1"/>
      <c r="K35" s="1"/>
      <c r="L35" s="1"/>
    </row>
    <row r="36" spans="1:16">
      <c r="A36" s="14"/>
      <c r="B36" s="14"/>
      <c r="C36" s="14"/>
      <c r="D36" s="14"/>
      <c r="E36" s="14"/>
      <c r="F36" s="14"/>
      <c r="G36" s="1"/>
      <c r="H36" s="1"/>
      <c r="I36" s="1"/>
      <c r="J36" s="1"/>
      <c r="K36" s="1"/>
      <c r="L36" s="1"/>
    </row>
    <row r="37" spans="1:16">
      <c r="A37" s="3"/>
      <c r="B37" s="3"/>
      <c r="C37" s="3"/>
      <c r="D37" s="3"/>
      <c r="E37" s="3"/>
      <c r="F37" s="3"/>
      <c r="G37" s="3"/>
      <c r="H37" s="3"/>
      <c r="I37" s="3"/>
      <c r="J37" s="3"/>
      <c r="K37" s="3"/>
      <c r="L37" s="3"/>
    </row>
    <row r="38" spans="1:16">
      <c r="A38" s="3" t="s">
        <v>20</v>
      </c>
      <c r="B38" s="3"/>
      <c r="C38" s="3"/>
      <c r="D38" s="3"/>
      <c r="E38" s="3"/>
      <c r="F38" s="3"/>
      <c r="G38" s="3"/>
      <c r="H38" s="3"/>
      <c r="I38" s="3"/>
      <c r="J38" s="3"/>
      <c r="K38" s="3"/>
      <c r="L38" s="3"/>
    </row>
    <row r="39" spans="1:16">
      <c r="A39" s="3"/>
      <c r="B39" s="18"/>
      <c r="C39" s="816" t="s">
        <v>137</v>
      </c>
      <c r="D39" s="816"/>
      <c r="E39" s="87" t="s">
        <v>138</v>
      </c>
      <c r="F39" s="87"/>
      <c r="G39" s="87" t="s">
        <v>139</v>
      </c>
      <c r="H39" s="87"/>
      <c r="I39" s="3"/>
      <c r="J39" s="18"/>
      <c r="K39" s="18"/>
      <c r="L39" s="18"/>
      <c r="M39" s="18"/>
      <c r="N39" s="18"/>
      <c r="O39" s="18"/>
      <c r="P39" s="18"/>
    </row>
    <row r="40" spans="1:16">
      <c r="B40" s="79" t="s">
        <v>53</v>
      </c>
      <c r="C40" s="816" t="s">
        <v>140</v>
      </c>
      <c r="D40" s="816"/>
      <c r="E40" s="88" t="s">
        <v>141</v>
      </c>
      <c r="F40" s="87"/>
      <c r="G40" s="88" t="s">
        <v>142</v>
      </c>
      <c r="H40" s="87"/>
      <c r="J40" s="18"/>
      <c r="K40" s="18"/>
      <c r="L40" s="18"/>
      <c r="M40" s="18"/>
      <c r="N40" s="18"/>
      <c r="O40" s="18"/>
      <c r="P40" s="18"/>
    </row>
    <row r="41" spans="1:16">
      <c r="B41" s="80" t="s">
        <v>55</v>
      </c>
      <c r="C41" s="80" t="s">
        <v>66</v>
      </c>
      <c r="D41" s="80" t="s">
        <v>65</v>
      </c>
      <c r="E41" s="35" t="s">
        <v>66</v>
      </c>
      <c r="F41" s="35" t="s">
        <v>65</v>
      </c>
      <c r="G41" s="35" t="s">
        <v>66</v>
      </c>
      <c r="H41" s="35" t="s">
        <v>65</v>
      </c>
      <c r="J41" s="18"/>
      <c r="K41" s="18"/>
      <c r="L41" s="18"/>
      <c r="M41" s="18"/>
      <c r="N41" s="18"/>
      <c r="O41" s="18"/>
      <c r="P41" s="18"/>
    </row>
    <row r="42" spans="1:16">
      <c r="B42" s="79">
        <v>2016</v>
      </c>
      <c r="C42" s="89">
        <f t="shared" ref="C42:D45" si="4">1/C25</f>
        <v>0.96993198837202954</v>
      </c>
      <c r="D42" s="89">
        <f t="shared" si="4"/>
        <v>0.98039258491943848</v>
      </c>
      <c r="E42" s="83">
        <f t="shared" ref="E42:F45" si="5">C42*$G8</f>
        <v>862742.86447305977</v>
      </c>
      <c r="F42" s="83">
        <f t="shared" si="5"/>
        <v>872047.4395748215</v>
      </c>
      <c r="G42" s="83">
        <f t="shared" ref="G42:H45" si="6">C8-E42</f>
        <v>26447.135526940227</v>
      </c>
      <c r="H42" s="83">
        <f t="shared" si="6"/>
        <v>26122.560425178497</v>
      </c>
      <c r="J42" s="18"/>
      <c r="K42" s="18"/>
      <c r="L42" s="18"/>
      <c r="M42" s="18"/>
      <c r="N42" s="18"/>
      <c r="O42" s="18"/>
      <c r="P42" s="18"/>
    </row>
    <row r="43" spans="1:16">
      <c r="B43" s="79">
        <f>B42+1</f>
        <v>2017</v>
      </c>
      <c r="C43" s="89">
        <f t="shared" si="4"/>
        <v>0.90289143211859357</v>
      </c>
      <c r="D43" s="89">
        <f t="shared" si="4"/>
        <v>0.96117034050563144</v>
      </c>
      <c r="E43" s="83">
        <f t="shared" si="5"/>
        <v>901518.13425034122</v>
      </c>
      <c r="F43" s="83">
        <f t="shared" si="5"/>
        <v>959708.40041772241</v>
      </c>
      <c r="G43" s="83">
        <f t="shared" si="6"/>
        <v>14821.865749658784</v>
      </c>
      <c r="H43" s="83">
        <f t="shared" si="6"/>
        <v>4861.5995822775876</v>
      </c>
      <c r="J43" s="18"/>
      <c r="K43" s="18"/>
      <c r="L43" s="18"/>
      <c r="M43" s="18"/>
      <c r="N43" s="18"/>
      <c r="O43" s="18"/>
      <c r="P43" s="18"/>
    </row>
    <row r="44" spans="1:16">
      <c r="B44" s="79">
        <f t="shared" ref="B44:B45" si="7">B43+1</f>
        <v>2018</v>
      </c>
      <c r="C44" s="89">
        <f t="shared" si="4"/>
        <v>0.77395784859720496</v>
      </c>
      <c r="D44" s="89">
        <f t="shared" si="4"/>
        <v>0.88997235159859722</v>
      </c>
      <c r="E44" s="83">
        <f t="shared" si="5"/>
        <v>862045.08717744728</v>
      </c>
      <c r="F44" s="83">
        <f t="shared" si="5"/>
        <v>991263.66482344002</v>
      </c>
      <c r="G44" s="83">
        <f t="shared" si="6"/>
        <v>-37105.087177447276</v>
      </c>
      <c r="H44" s="83">
        <f t="shared" si="6"/>
        <v>-32033.66482344002</v>
      </c>
      <c r="J44" s="18"/>
      <c r="K44" s="18"/>
      <c r="L44" s="18"/>
      <c r="M44" s="18"/>
      <c r="N44" s="18"/>
      <c r="O44" s="18"/>
      <c r="P44" s="18"/>
    </row>
    <row r="45" spans="1:16">
      <c r="B45" s="80">
        <f t="shared" si="7"/>
        <v>2019</v>
      </c>
      <c r="C45" s="90">
        <f t="shared" si="4"/>
        <v>0.51467370380017485</v>
      </c>
      <c r="D45" s="90">
        <f t="shared" si="4"/>
        <v>0.73551524849631911</v>
      </c>
      <c r="E45" s="86">
        <f t="shared" si="5"/>
        <v>588230.35487359203</v>
      </c>
      <c r="F45" s="86">
        <f t="shared" si="5"/>
        <v>840634.35229616449</v>
      </c>
      <c r="G45" s="86">
        <f t="shared" si="6"/>
        <v>-1380.354873592034</v>
      </c>
      <c r="H45" s="86">
        <f t="shared" si="6"/>
        <v>-2272.7421178536024</v>
      </c>
      <c r="J45" s="18"/>
      <c r="K45" s="18"/>
      <c r="L45" s="18"/>
      <c r="M45" s="18"/>
      <c r="N45" s="18"/>
      <c r="O45" s="18"/>
      <c r="P45" s="18"/>
    </row>
    <row r="46" spans="1:16">
      <c r="B46" s="34" t="s">
        <v>132</v>
      </c>
      <c r="E46" s="83">
        <f t="shared" ref="E46:H46" si="8">SUM(E42:E45)</f>
        <v>3214536.4407744403</v>
      </c>
      <c r="F46" s="83">
        <f t="shared" si="8"/>
        <v>3663653.8571121488</v>
      </c>
      <c r="G46" s="83">
        <f t="shared" si="8"/>
        <v>2783.5592255597003</v>
      </c>
      <c r="H46" s="83">
        <f t="shared" si="8"/>
        <v>-3322.2469338375377</v>
      </c>
      <c r="J46" s="18"/>
      <c r="K46" s="18"/>
      <c r="L46" s="18"/>
      <c r="M46" s="18"/>
      <c r="N46" s="18"/>
      <c r="O46" s="18"/>
      <c r="P46" s="18"/>
    </row>
    <row r="48" spans="1:16">
      <c r="B48" s="2" t="s">
        <v>143</v>
      </c>
    </row>
    <row r="50" spans="1:14">
      <c r="A50" s="15" t="s">
        <v>144</v>
      </c>
      <c r="B50" s="1"/>
      <c r="C50" s="1"/>
      <c r="D50" s="1"/>
      <c r="E50" s="1"/>
      <c r="F50" s="1"/>
      <c r="G50" s="1"/>
      <c r="H50" s="1"/>
      <c r="I50" s="1"/>
      <c r="J50" s="1"/>
      <c r="K50" s="1"/>
      <c r="L50" s="1"/>
    </row>
    <row r="52" spans="1:14">
      <c r="A52" s="1" t="s">
        <v>145</v>
      </c>
      <c r="B52" s="1"/>
      <c r="C52" s="1"/>
      <c r="D52" s="1"/>
      <c r="E52" s="1"/>
      <c r="F52" s="1"/>
      <c r="G52" s="1"/>
      <c r="H52" s="1"/>
      <c r="I52" s="1"/>
      <c r="J52" s="1"/>
      <c r="K52" s="1"/>
      <c r="L52" s="14"/>
    </row>
    <row r="54" spans="1:14">
      <c r="A54" s="15" t="s">
        <v>146</v>
      </c>
      <c r="B54" s="1"/>
      <c r="C54" s="1"/>
      <c r="D54" s="1"/>
      <c r="E54" s="1"/>
      <c r="F54" s="1"/>
      <c r="G54" s="1"/>
      <c r="H54" s="1"/>
      <c r="I54" s="1"/>
      <c r="J54" s="1"/>
      <c r="K54" s="1"/>
      <c r="L54" s="1"/>
    </row>
    <row r="56" spans="1:14">
      <c r="A56" s="17" t="s">
        <v>147</v>
      </c>
      <c r="B56" s="1" t="s">
        <v>148</v>
      </c>
      <c r="C56" s="1"/>
      <c r="D56" s="1"/>
      <c r="E56" s="1"/>
      <c r="F56" s="1"/>
      <c r="G56" s="1"/>
      <c r="H56" s="1"/>
      <c r="I56" s="1"/>
      <c r="J56" s="1"/>
      <c r="K56" s="1"/>
      <c r="L56" s="1"/>
    </row>
    <row r="57" spans="1:14">
      <c r="A57" s="14"/>
      <c r="B57" s="14"/>
      <c r="C57" s="14"/>
      <c r="D57" s="14"/>
      <c r="E57" s="14"/>
      <c r="F57" s="14"/>
      <c r="G57" s="1"/>
      <c r="H57" s="1"/>
      <c r="I57" s="1"/>
      <c r="J57" s="1"/>
      <c r="K57" s="1"/>
      <c r="L57" s="1"/>
    </row>
    <row r="58" spans="1:14">
      <c r="A58" s="3"/>
      <c r="B58" s="3"/>
      <c r="C58" s="3"/>
      <c r="D58" s="3"/>
      <c r="E58" s="3"/>
      <c r="F58" s="3"/>
      <c r="G58" s="3"/>
      <c r="H58" s="3"/>
      <c r="I58" s="3"/>
      <c r="J58" s="3"/>
      <c r="K58" s="3"/>
      <c r="L58" s="3"/>
    </row>
    <row r="59" spans="1:14">
      <c r="A59" s="3" t="s">
        <v>20</v>
      </c>
      <c r="B59" s="3"/>
      <c r="C59" s="3"/>
      <c r="D59" s="3"/>
      <c r="E59" s="3"/>
      <c r="F59" s="3"/>
      <c r="G59" s="3"/>
      <c r="H59" s="3"/>
      <c r="I59" s="3"/>
      <c r="J59" s="3"/>
      <c r="K59" s="3"/>
      <c r="L59" s="3"/>
    </row>
    <row r="60" spans="1:14">
      <c r="A60" s="3"/>
      <c r="B60" s="79" t="s">
        <v>53</v>
      </c>
      <c r="C60" s="34" t="s">
        <v>149</v>
      </c>
      <c r="D60" s="3"/>
      <c r="E60" s="3"/>
      <c r="F60" s="3"/>
      <c r="G60" s="3"/>
      <c r="H60" s="3"/>
      <c r="I60" s="3"/>
      <c r="J60" s="3"/>
      <c r="K60" s="3"/>
      <c r="L60" s="3"/>
    </row>
    <row r="61" spans="1:14">
      <c r="B61" s="80" t="s">
        <v>55</v>
      </c>
      <c r="C61" s="35" t="s">
        <v>150</v>
      </c>
    </row>
    <row r="62" spans="1:14">
      <c r="B62" s="79">
        <v>2016</v>
      </c>
      <c r="C62" s="83">
        <f>C8+E25*(1-1/C25)</f>
        <v>916730.34830549068</v>
      </c>
    </row>
    <row r="63" spans="1:14">
      <c r="B63" s="79">
        <f>B62+1</f>
        <v>2017</v>
      </c>
      <c r="C63" s="83">
        <f>C9+E26*(1-1/C26)</f>
        <v>1014740.1959059386</v>
      </c>
      <c r="M63" s="3"/>
      <c r="N63" s="3"/>
    </row>
    <row r="64" spans="1:14">
      <c r="B64" s="79">
        <f t="shared" ref="B64:B65" si="9">B63+1</f>
        <v>2018</v>
      </c>
      <c r="C64" s="83">
        <f>C10+E27*(1-1/C27)</f>
        <v>1068321.5990889743</v>
      </c>
      <c r="M64" s="3"/>
      <c r="N64" s="3"/>
    </row>
    <row r="65" spans="2:14">
      <c r="B65" s="80">
        <f t="shared" si="9"/>
        <v>2019</v>
      </c>
      <c r="C65" s="86">
        <f>C11+E28*(1-1/C28)</f>
        <v>1140868.7226081663</v>
      </c>
      <c r="M65" s="3"/>
      <c r="N65" s="3"/>
    </row>
    <row r="66" spans="2:14">
      <c r="B66" s="34" t="s">
        <v>132</v>
      </c>
      <c r="C66" s="83">
        <f>SUM(C62:C65)</f>
        <v>4140660.8659085701</v>
      </c>
    </row>
  </sheetData>
  <mergeCells count="10">
    <mergeCell ref="C23:D23"/>
    <mergeCell ref="E23:F23"/>
    <mergeCell ref="C39:D39"/>
    <mergeCell ref="C40:D40"/>
    <mergeCell ref="C5:D5"/>
    <mergeCell ref="E5:F5"/>
    <mergeCell ref="C6:D6"/>
    <mergeCell ref="E6:F6"/>
    <mergeCell ref="C22:D22"/>
    <mergeCell ref="E22:F22"/>
  </mergeCells>
  <hyperlinks>
    <hyperlink ref="P1" location="TOC!A1" display="Table of Contents" xr:uid="{A6510C86-8BF7-4E50-BDCA-C68F44978806}"/>
  </hyperlinks>
  <pageMargins left="0.39370078740157483" right="0.39370078740157483" top="0.39370078740157483" bottom="0.39370078740157483" header="0.31496062992125984" footer="0.31496062992125984"/>
  <pageSetup scale="78" orientation="portrait" verticalDpi="1200" r:id="rId1"/>
  <headerFooter>
    <oddFooter>&amp;L&amp;F [&amp;A]&amp;R&amp;P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AF3D-AA18-4585-8D82-400DD102919B}">
  <dimension ref="A1:R215"/>
  <sheetViews>
    <sheetView zoomScaleNormal="100" workbookViewId="0"/>
  </sheetViews>
  <sheetFormatPr defaultColWidth="8.88671875" defaultRowHeight="15.6"/>
  <cols>
    <col min="1" max="1" width="8.88671875" style="2" customWidth="1"/>
    <col min="2" max="2" width="12.6640625" style="2" customWidth="1"/>
    <col min="3" max="3" width="13.6640625" style="2" customWidth="1"/>
    <col min="4" max="4" width="16.109375" style="2" customWidth="1"/>
    <col min="5" max="5" width="16.44140625" style="2" customWidth="1"/>
    <col min="6" max="6" width="12.6640625" style="2" customWidth="1"/>
    <col min="7" max="7" width="13.6640625" style="2" customWidth="1"/>
    <col min="8" max="9" width="12.6640625" style="2" customWidth="1"/>
    <col min="10" max="16384" width="8.88671875" style="2"/>
  </cols>
  <sheetData>
    <row r="1" spans="1:15" ht="17.399999999999999">
      <c r="A1" s="13" t="s">
        <v>1937</v>
      </c>
      <c r="B1" s="1"/>
      <c r="C1" s="1"/>
      <c r="D1" s="1" t="s">
        <v>1330</v>
      </c>
      <c r="E1" s="1"/>
      <c r="F1" s="1"/>
      <c r="G1" s="1"/>
      <c r="H1" s="1"/>
      <c r="I1" s="1"/>
      <c r="J1" s="1"/>
      <c r="K1" s="1"/>
      <c r="L1" s="14"/>
      <c r="O1" s="21" t="s">
        <v>2927</v>
      </c>
    </row>
    <row r="2" spans="1:15">
      <c r="A2" s="1"/>
      <c r="B2" s="1"/>
      <c r="C2" s="1"/>
      <c r="D2" s="1"/>
      <c r="E2" s="1"/>
      <c r="F2" s="1"/>
      <c r="G2" s="1"/>
      <c r="H2" s="1"/>
      <c r="I2" s="1"/>
      <c r="J2" s="1"/>
      <c r="K2" s="1"/>
      <c r="L2" s="14"/>
    </row>
    <row r="3" spans="1:15">
      <c r="A3" s="1" t="s">
        <v>1331</v>
      </c>
      <c r="B3" s="1"/>
      <c r="C3" s="1"/>
      <c r="D3" s="1"/>
      <c r="E3" s="1"/>
      <c r="F3" s="1"/>
      <c r="G3" s="1"/>
      <c r="H3" s="1"/>
      <c r="I3" s="1"/>
      <c r="J3" s="1"/>
      <c r="K3" s="1"/>
      <c r="L3" s="14"/>
    </row>
    <row r="4" spans="1:15">
      <c r="A4" s="43"/>
      <c r="B4" s="1"/>
      <c r="C4" s="1"/>
      <c r="D4" s="1"/>
      <c r="E4" s="1"/>
      <c r="F4" s="1"/>
      <c r="G4" s="1"/>
      <c r="H4" s="1"/>
      <c r="I4" s="1"/>
      <c r="J4" s="1"/>
      <c r="K4" s="1"/>
      <c r="L4" s="1"/>
    </row>
    <row r="5" spans="1:15" ht="31.2" customHeight="1">
      <c r="A5" s="43"/>
      <c r="B5" s="828" t="s">
        <v>49</v>
      </c>
      <c r="C5" s="828" t="s">
        <v>4</v>
      </c>
      <c r="D5" s="829" t="s">
        <v>1332</v>
      </c>
      <c r="E5" s="829"/>
      <c r="F5" s="829"/>
      <c r="G5" s="1"/>
      <c r="H5" s="1"/>
      <c r="I5" s="1"/>
      <c r="J5" s="1"/>
      <c r="K5" s="1"/>
      <c r="L5" s="1"/>
    </row>
    <row r="6" spans="1:15">
      <c r="A6" s="43"/>
      <c r="B6" s="828"/>
      <c r="C6" s="828"/>
      <c r="D6" s="5" t="s">
        <v>304</v>
      </c>
      <c r="E6" s="5" t="s">
        <v>124</v>
      </c>
      <c r="F6" s="5" t="s">
        <v>512</v>
      </c>
      <c r="G6" s="1"/>
      <c r="H6" s="1"/>
      <c r="I6" s="1"/>
      <c r="J6" s="1"/>
      <c r="K6" s="1"/>
      <c r="L6" s="1"/>
    </row>
    <row r="7" spans="1:15">
      <c r="A7" s="43"/>
      <c r="B7" s="32">
        <v>2015</v>
      </c>
      <c r="C7" s="92">
        <v>11090</v>
      </c>
      <c r="D7" s="92">
        <v>1230</v>
      </c>
      <c r="E7" s="92">
        <v>5348724</v>
      </c>
      <c r="F7" s="7">
        <v>4349</v>
      </c>
      <c r="G7" s="1"/>
      <c r="H7" s="1"/>
      <c r="I7" s="1"/>
      <c r="J7" s="1"/>
      <c r="K7" s="1"/>
      <c r="L7" s="1"/>
    </row>
    <row r="8" spans="1:15">
      <c r="A8" s="43"/>
      <c r="B8" s="32">
        <v>2016</v>
      </c>
      <c r="C8" s="92">
        <v>11250</v>
      </c>
      <c r="D8" s="92">
        <v>1270</v>
      </c>
      <c r="E8" s="92">
        <v>5926222</v>
      </c>
      <c r="F8" s="7">
        <v>4666</v>
      </c>
      <c r="G8" s="1"/>
      <c r="H8" s="1"/>
      <c r="I8" s="1"/>
      <c r="J8" s="1"/>
      <c r="K8" s="1"/>
      <c r="L8" s="1"/>
    </row>
    <row r="9" spans="1:15">
      <c r="A9" s="1"/>
      <c r="B9" s="32">
        <v>2017</v>
      </c>
      <c r="C9" s="92">
        <v>11460</v>
      </c>
      <c r="D9" s="92">
        <v>1305</v>
      </c>
      <c r="E9" s="92">
        <v>6528246</v>
      </c>
      <c r="F9" s="7">
        <v>5002</v>
      </c>
      <c r="G9" s="1"/>
      <c r="H9" s="1"/>
      <c r="I9" s="1"/>
      <c r="J9" s="1"/>
      <c r="K9" s="1"/>
      <c r="L9" s="1"/>
    </row>
    <row r="10" spans="1:15">
      <c r="A10" s="1"/>
      <c r="B10" s="32">
        <v>2018</v>
      </c>
      <c r="C10" s="92">
        <v>11770</v>
      </c>
      <c r="D10" s="92">
        <v>1349</v>
      </c>
      <c r="E10" s="92">
        <v>7227370</v>
      </c>
      <c r="F10" s="7">
        <v>5358</v>
      </c>
      <c r="G10" s="1"/>
      <c r="H10" s="1"/>
      <c r="I10" s="1"/>
      <c r="J10" s="1"/>
      <c r="K10" s="1"/>
      <c r="L10" s="1"/>
    </row>
    <row r="11" spans="1:15">
      <c r="A11" s="43"/>
      <c r="B11" s="32">
        <v>2019</v>
      </c>
      <c r="C11" s="92">
        <v>12070</v>
      </c>
      <c r="D11" s="92">
        <v>1381</v>
      </c>
      <c r="E11" s="92">
        <v>8120976</v>
      </c>
      <c r="F11" s="7">
        <v>5881</v>
      </c>
      <c r="G11" s="1"/>
      <c r="H11" s="1"/>
      <c r="I11" s="1"/>
      <c r="J11" s="1"/>
      <c r="K11" s="1"/>
      <c r="L11" s="1"/>
    </row>
    <row r="12" spans="1:15">
      <c r="A12" s="1"/>
      <c r="B12" s="32">
        <v>2020</v>
      </c>
      <c r="C12" s="92">
        <v>12360</v>
      </c>
      <c r="D12" s="92">
        <v>1447</v>
      </c>
      <c r="E12" s="92">
        <v>9136918</v>
      </c>
      <c r="F12" s="7">
        <v>6314</v>
      </c>
      <c r="G12" s="1"/>
      <c r="H12" s="1"/>
      <c r="I12" s="1"/>
      <c r="J12" s="1"/>
      <c r="K12" s="1"/>
      <c r="L12" s="1"/>
    </row>
    <row r="13" spans="1:15">
      <c r="A13" s="1"/>
      <c r="B13" s="32">
        <v>2021</v>
      </c>
      <c r="C13" s="92">
        <v>12480</v>
      </c>
      <c r="D13" s="92">
        <v>1480</v>
      </c>
      <c r="E13" s="92">
        <v>9678673</v>
      </c>
      <c r="F13" s="7">
        <v>6540</v>
      </c>
      <c r="G13" s="1"/>
      <c r="H13" s="1"/>
      <c r="I13" s="1"/>
      <c r="J13" s="1"/>
      <c r="K13" s="1"/>
      <c r="L13" s="1"/>
    </row>
    <row r="14" spans="1:15">
      <c r="A14" s="1"/>
      <c r="B14" s="27" t="s">
        <v>132</v>
      </c>
      <c r="C14" s="196">
        <v>82480</v>
      </c>
      <c r="D14" s="196">
        <v>9462</v>
      </c>
      <c r="E14" s="196">
        <v>51967129</v>
      </c>
      <c r="F14" s="5"/>
      <c r="G14" s="1"/>
      <c r="H14" s="1"/>
      <c r="I14" s="1"/>
      <c r="J14" s="1"/>
      <c r="K14" s="1"/>
      <c r="L14" s="1"/>
    </row>
    <row r="15" spans="1:15">
      <c r="A15" s="1"/>
      <c r="B15" s="260"/>
      <c r="C15" s="46"/>
      <c r="D15" s="46"/>
      <c r="E15" s="46"/>
      <c r="F15" s="46"/>
      <c r="G15" s="1"/>
      <c r="H15" s="1"/>
      <c r="I15" s="1"/>
      <c r="J15" s="1"/>
      <c r="K15" s="1"/>
      <c r="L15" s="1"/>
    </row>
    <row r="16" spans="1:15">
      <c r="A16" s="1"/>
      <c r="B16" s="492" t="s">
        <v>1333</v>
      </c>
      <c r="C16" s="46"/>
      <c r="D16" s="46"/>
      <c r="E16" s="377">
        <v>0.01</v>
      </c>
      <c r="F16" s="46"/>
      <c r="G16" s="1"/>
      <c r="H16" s="1"/>
      <c r="I16" s="1"/>
      <c r="J16" s="1"/>
      <c r="K16" s="1"/>
      <c r="L16" s="1"/>
    </row>
    <row r="17" spans="1:18">
      <c r="A17" s="1"/>
      <c r="B17" s="492" t="s">
        <v>1334</v>
      </c>
      <c r="C17" s="46"/>
      <c r="D17" s="46"/>
      <c r="E17" s="485">
        <v>6.5000000000000002E-2</v>
      </c>
      <c r="F17" s="46"/>
      <c r="G17" s="1"/>
      <c r="H17" s="1"/>
      <c r="I17" s="1"/>
      <c r="J17" s="1"/>
      <c r="K17" s="1"/>
      <c r="L17" s="1"/>
    </row>
    <row r="18" spans="1:18">
      <c r="A18" s="1"/>
      <c r="B18" s="492"/>
      <c r="C18" s="46"/>
      <c r="D18" s="46"/>
      <c r="E18" s="523"/>
      <c r="F18" s="46"/>
      <c r="G18" s="1"/>
      <c r="H18" s="1"/>
      <c r="I18" s="1"/>
      <c r="J18" s="1"/>
      <c r="K18" s="1"/>
      <c r="L18" s="1"/>
    </row>
    <row r="19" spans="1:18">
      <c r="A19" s="3"/>
      <c r="B19" s="3"/>
      <c r="C19" s="3"/>
      <c r="D19" s="3"/>
      <c r="E19" s="3"/>
      <c r="F19" s="3"/>
      <c r="G19" s="3"/>
      <c r="H19" s="3"/>
      <c r="I19" s="3"/>
      <c r="J19" s="3"/>
      <c r="K19" s="3"/>
      <c r="L19" s="3"/>
    </row>
    <row r="20" spans="1:18">
      <c r="A20" s="17" t="s">
        <v>91</v>
      </c>
      <c r="B20" s="1" t="s">
        <v>1335</v>
      </c>
      <c r="C20" s="1"/>
      <c r="D20" s="1"/>
      <c r="E20" s="1"/>
      <c r="F20" s="1"/>
      <c r="G20" s="1"/>
      <c r="H20" s="1"/>
      <c r="I20" s="1"/>
      <c r="J20" s="1"/>
      <c r="K20" s="1"/>
      <c r="L20" s="1"/>
      <c r="M20" s="9"/>
      <c r="N20" s="9"/>
      <c r="O20" s="9"/>
      <c r="P20" s="9"/>
      <c r="Q20" s="9"/>
      <c r="R20" s="9"/>
    </row>
    <row r="21" spans="1:18">
      <c r="A21" s="14"/>
      <c r="B21" s="14"/>
      <c r="C21" s="14"/>
      <c r="D21" s="14"/>
      <c r="E21" s="14"/>
      <c r="F21" s="14"/>
      <c r="G21" s="1"/>
      <c r="H21" s="1"/>
      <c r="I21" s="1"/>
      <c r="J21" s="1"/>
      <c r="K21" s="1"/>
      <c r="L21" s="1"/>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ht="46.8">
      <c r="A24" s="3"/>
      <c r="B24" s="36" t="s">
        <v>49</v>
      </c>
      <c r="C24" s="36" t="s">
        <v>4</v>
      </c>
      <c r="D24" s="36" t="s">
        <v>528</v>
      </c>
      <c r="E24" s="36" t="s">
        <v>1336</v>
      </c>
      <c r="F24" s="36" t="s">
        <v>1337</v>
      </c>
      <c r="G24" s="36" t="s">
        <v>518</v>
      </c>
      <c r="H24" s="36" t="s">
        <v>1338</v>
      </c>
      <c r="I24" s="3"/>
      <c r="J24" s="3"/>
      <c r="K24" s="3"/>
      <c r="L24" s="3"/>
      <c r="M24" s="3"/>
      <c r="N24" s="9"/>
    </row>
    <row r="25" spans="1:18">
      <c r="B25" s="34">
        <f t="shared" ref="B25:D31" si="0">B7</f>
        <v>2015</v>
      </c>
      <c r="C25" s="83">
        <f t="shared" si="0"/>
        <v>11090</v>
      </c>
      <c r="D25" s="83">
        <f t="shared" si="0"/>
        <v>1230</v>
      </c>
      <c r="E25" s="132">
        <f t="shared" ref="E25:E31" si="1">D25/C25</f>
        <v>0.1109107303877367</v>
      </c>
      <c r="F25" s="132">
        <f>F26*(1+$E$16)</f>
        <v>1.0615201506009999</v>
      </c>
      <c r="G25" s="132">
        <f t="shared" ref="G25:G31" si="2">F25*E25</f>
        <v>0.11773397522445717</v>
      </c>
      <c r="H25" s="83">
        <f>$G$33*C25/F25</f>
        <v>1233.5449884350055</v>
      </c>
      <c r="M25" s="9"/>
      <c r="N25" s="9"/>
    </row>
    <row r="26" spans="1:18">
      <c r="B26" s="34">
        <f t="shared" si="0"/>
        <v>2016</v>
      </c>
      <c r="C26" s="83">
        <f t="shared" si="0"/>
        <v>11250</v>
      </c>
      <c r="D26" s="83">
        <f t="shared" si="0"/>
        <v>1270</v>
      </c>
      <c r="E26" s="132">
        <f t="shared" si="1"/>
        <v>0.11288888888888889</v>
      </c>
      <c r="F26" s="132">
        <f t="shared" ref="F26:F30" si="3">F27*(1+$E$16)</f>
        <v>1.0510100500999999</v>
      </c>
      <c r="G26" s="132">
        <f t="shared" si="2"/>
        <v>0.11864735676684443</v>
      </c>
      <c r="H26" s="83">
        <f t="shared" ref="H26:H31" si="4">$G$33*C26/F26</f>
        <v>1263.8552688090849</v>
      </c>
      <c r="M26" s="9"/>
      <c r="N26" s="9"/>
    </row>
    <row r="27" spans="1:18">
      <c r="B27" s="34">
        <f t="shared" si="0"/>
        <v>2017</v>
      </c>
      <c r="C27" s="83">
        <f t="shared" si="0"/>
        <v>11460</v>
      </c>
      <c r="D27" s="83">
        <f t="shared" si="0"/>
        <v>1305</v>
      </c>
      <c r="E27" s="132">
        <f t="shared" si="1"/>
        <v>0.11387434554973822</v>
      </c>
      <c r="F27" s="132">
        <f t="shared" si="3"/>
        <v>1.04060401</v>
      </c>
      <c r="G27" s="132">
        <f t="shared" si="2"/>
        <v>0.11849810061518325</v>
      </c>
      <c r="H27" s="83">
        <f t="shared" si="4"/>
        <v>1300.3217061651228</v>
      </c>
      <c r="M27" s="9"/>
      <c r="N27" s="9"/>
    </row>
    <row r="28" spans="1:18">
      <c r="B28" s="34">
        <f t="shared" si="0"/>
        <v>2018</v>
      </c>
      <c r="C28" s="83">
        <f t="shared" si="0"/>
        <v>11770</v>
      </c>
      <c r="D28" s="83">
        <f t="shared" si="0"/>
        <v>1349</v>
      </c>
      <c r="E28" s="132">
        <f t="shared" si="1"/>
        <v>0.11461342395921835</v>
      </c>
      <c r="F28" s="132">
        <f t="shared" si="3"/>
        <v>1.0303009999999999</v>
      </c>
      <c r="G28" s="132">
        <f t="shared" si="2"/>
        <v>0.11808632531860662</v>
      </c>
      <c r="H28" s="83">
        <f t="shared" si="4"/>
        <v>1348.851164605509</v>
      </c>
      <c r="M28" s="9"/>
      <c r="N28" s="9"/>
    </row>
    <row r="29" spans="1:18">
      <c r="B29" s="34">
        <f t="shared" si="0"/>
        <v>2019</v>
      </c>
      <c r="C29" s="83">
        <f t="shared" si="0"/>
        <v>12070</v>
      </c>
      <c r="D29" s="83">
        <f t="shared" si="0"/>
        <v>1381</v>
      </c>
      <c r="E29" s="132">
        <f t="shared" si="1"/>
        <v>0.11441590720795361</v>
      </c>
      <c r="F29" s="132">
        <f t="shared" si="3"/>
        <v>1.0201</v>
      </c>
      <c r="G29" s="132">
        <f t="shared" si="2"/>
        <v>0.11671566694283347</v>
      </c>
      <c r="H29" s="83">
        <f t="shared" si="4"/>
        <v>1397.0637121798111</v>
      </c>
      <c r="M29" s="9"/>
      <c r="N29" s="9"/>
    </row>
    <row r="30" spans="1:18">
      <c r="B30" s="34">
        <f t="shared" si="0"/>
        <v>2020</v>
      </c>
      <c r="C30" s="83">
        <f t="shared" si="0"/>
        <v>12360</v>
      </c>
      <c r="D30" s="83">
        <f t="shared" si="0"/>
        <v>1447</v>
      </c>
      <c r="E30" s="132">
        <f t="shared" si="1"/>
        <v>0.11707119741100323</v>
      </c>
      <c r="F30" s="132">
        <f t="shared" si="3"/>
        <v>1.01</v>
      </c>
      <c r="G30" s="132">
        <f t="shared" si="2"/>
        <v>0.11824190938511327</v>
      </c>
      <c r="H30" s="83">
        <f t="shared" si="4"/>
        <v>1444.9365830462211</v>
      </c>
      <c r="M30" s="9"/>
      <c r="N30" s="9"/>
    </row>
    <row r="31" spans="1:18">
      <c r="B31" s="35">
        <f t="shared" si="0"/>
        <v>2021</v>
      </c>
      <c r="C31" s="86">
        <f t="shared" si="0"/>
        <v>12480</v>
      </c>
      <c r="D31" s="86">
        <f t="shared" si="0"/>
        <v>1480</v>
      </c>
      <c r="E31" s="297">
        <f t="shared" si="1"/>
        <v>0.11858974358974358</v>
      </c>
      <c r="F31" s="297">
        <v>1</v>
      </c>
      <c r="G31" s="297">
        <f t="shared" si="2"/>
        <v>0.11858974358974358</v>
      </c>
      <c r="H31" s="86">
        <f t="shared" si="4"/>
        <v>1473.5547444968454</v>
      </c>
      <c r="M31" s="9"/>
      <c r="N31" s="9"/>
    </row>
    <row r="32" spans="1:18">
      <c r="E32" s="2" t="s">
        <v>1339</v>
      </c>
      <c r="G32" s="132">
        <f>AVERAGE(G25:G31)</f>
        <v>0.11807329683468312</v>
      </c>
      <c r="M32" s="9"/>
      <c r="N32" s="9"/>
    </row>
    <row r="33" spans="2:14">
      <c r="E33" s="2" t="s">
        <v>1340</v>
      </c>
      <c r="G33" s="126">
        <f>G32</f>
        <v>0.11807329683468312</v>
      </c>
      <c r="M33" s="9"/>
      <c r="N33" s="9"/>
    </row>
    <row r="34" spans="2:14">
      <c r="E34" s="60" t="s">
        <v>1341</v>
      </c>
      <c r="M34" s="9"/>
      <c r="N34" s="9"/>
    </row>
    <row r="35" spans="2:14">
      <c r="M35" s="9"/>
      <c r="N35" s="9"/>
    </row>
    <row r="36" spans="2:14" ht="46.8">
      <c r="B36" s="36" t="s">
        <v>49</v>
      </c>
      <c r="C36" s="36" t="s">
        <v>529</v>
      </c>
      <c r="D36" s="36" t="s">
        <v>1342</v>
      </c>
      <c r="E36" s="36" t="s">
        <v>526</v>
      </c>
      <c r="F36" s="36" t="s">
        <v>1343</v>
      </c>
      <c r="G36" s="36" t="s">
        <v>646</v>
      </c>
      <c r="H36" s="18"/>
      <c r="M36" s="9"/>
      <c r="N36" s="9"/>
    </row>
    <row r="37" spans="2:14">
      <c r="B37" s="34">
        <f>B25</f>
        <v>2015</v>
      </c>
      <c r="C37" s="83">
        <f>F7</f>
        <v>4349</v>
      </c>
      <c r="D37" s="132">
        <f t="shared" ref="D37:D41" si="5">D38*(1+$E$17)</f>
        <v>1.4591422965376402</v>
      </c>
      <c r="E37" s="237">
        <f t="shared" ref="E37:E43" si="6">D37*C37</f>
        <v>6345.8098476421974</v>
      </c>
      <c r="F37" s="83">
        <f>$E$46/D37</f>
        <v>4501.5330005176174</v>
      </c>
      <c r="G37" s="83">
        <f t="shared" ref="G37:G43" si="7">F37*H25</f>
        <v>5552843.4730633004</v>
      </c>
      <c r="H37" s="18"/>
      <c r="M37" s="9"/>
      <c r="N37" s="9"/>
    </row>
    <row r="38" spans="2:14">
      <c r="B38" s="34">
        <f t="shared" ref="B38:B43" si="8">B26</f>
        <v>2016</v>
      </c>
      <c r="C38" s="83">
        <f t="shared" ref="C38:C43" si="9">F8</f>
        <v>4666</v>
      </c>
      <c r="D38" s="132">
        <f t="shared" si="5"/>
        <v>1.3700866634156246</v>
      </c>
      <c r="E38" s="237">
        <f t="shared" si="6"/>
        <v>6392.8243714973041</v>
      </c>
      <c r="F38" s="83">
        <f t="shared" ref="F38:F43" si="10">$E$46/D38</f>
        <v>4794.1326455512617</v>
      </c>
      <c r="G38" s="83">
        <f t="shared" si="7"/>
        <v>6059089.8034495991</v>
      </c>
      <c r="H38" s="18"/>
      <c r="M38" s="9"/>
      <c r="N38" s="9"/>
    </row>
    <row r="39" spans="2:14">
      <c r="B39" s="34">
        <f t="shared" si="8"/>
        <v>2017</v>
      </c>
      <c r="C39" s="83">
        <f t="shared" si="9"/>
        <v>5002</v>
      </c>
      <c r="D39" s="132">
        <f t="shared" si="5"/>
        <v>1.2864663506249996</v>
      </c>
      <c r="E39" s="237">
        <f t="shared" si="6"/>
        <v>6434.9046858262482</v>
      </c>
      <c r="F39" s="83">
        <f t="shared" si="10"/>
        <v>5105.7512675120943</v>
      </c>
      <c r="G39" s="83">
        <f t="shared" si="7"/>
        <v>6639119.1994260652</v>
      </c>
      <c r="H39" s="18"/>
      <c r="M39" s="9"/>
      <c r="N39" s="9"/>
    </row>
    <row r="40" spans="2:14">
      <c r="B40" s="34">
        <f t="shared" si="8"/>
        <v>2018</v>
      </c>
      <c r="C40" s="83">
        <f t="shared" si="9"/>
        <v>5358</v>
      </c>
      <c r="D40" s="132">
        <f t="shared" si="5"/>
        <v>1.2079496249999997</v>
      </c>
      <c r="E40" s="237">
        <f t="shared" si="6"/>
        <v>6472.1940907499984</v>
      </c>
      <c r="F40" s="83">
        <f t="shared" si="10"/>
        <v>5437.6250999003796</v>
      </c>
      <c r="G40" s="83">
        <f t="shared" si="7"/>
        <v>7334546.9486887744</v>
      </c>
      <c r="H40" s="18"/>
      <c r="M40" s="9"/>
      <c r="N40" s="9"/>
    </row>
    <row r="41" spans="2:14">
      <c r="B41" s="34">
        <f t="shared" si="8"/>
        <v>2019</v>
      </c>
      <c r="C41" s="83">
        <f t="shared" si="9"/>
        <v>5881</v>
      </c>
      <c r="D41" s="132">
        <f t="shared" si="5"/>
        <v>1.1342249999999998</v>
      </c>
      <c r="E41" s="237">
        <f t="shared" si="6"/>
        <v>6670.3772249999993</v>
      </c>
      <c r="F41" s="83">
        <f t="shared" si="10"/>
        <v>5791.0707313939038</v>
      </c>
      <c r="G41" s="83">
        <f t="shared" si="7"/>
        <v>8090494.7734970208</v>
      </c>
      <c r="H41" s="18"/>
      <c r="M41" s="9"/>
      <c r="N41" s="9"/>
    </row>
    <row r="42" spans="2:14">
      <c r="B42" s="34">
        <f t="shared" si="8"/>
        <v>2020</v>
      </c>
      <c r="C42" s="83">
        <f t="shared" si="9"/>
        <v>6314</v>
      </c>
      <c r="D42" s="132">
        <f>D43*(1+$E$17)</f>
        <v>1.0649999999999999</v>
      </c>
      <c r="E42" s="237">
        <f t="shared" si="6"/>
        <v>6724.41</v>
      </c>
      <c r="F42" s="83">
        <f t="shared" si="10"/>
        <v>6167.4903289345075</v>
      </c>
      <c r="G42" s="83">
        <f t="shared" si="7"/>
        <v>8911632.4018612411</v>
      </c>
      <c r="H42" s="18"/>
      <c r="M42" s="9"/>
      <c r="N42" s="9"/>
    </row>
    <row r="43" spans="2:14">
      <c r="B43" s="35">
        <f t="shared" si="8"/>
        <v>2021</v>
      </c>
      <c r="C43" s="86">
        <f t="shared" si="9"/>
        <v>6540</v>
      </c>
      <c r="D43" s="297">
        <v>1</v>
      </c>
      <c r="E43" s="241">
        <f t="shared" si="6"/>
        <v>6540</v>
      </c>
      <c r="F43" s="86">
        <f t="shared" si="10"/>
        <v>6568.3772003152499</v>
      </c>
      <c r="G43" s="86">
        <f t="shared" si="7"/>
        <v>9678863.3871694431</v>
      </c>
      <c r="H43" s="18"/>
      <c r="M43" s="9"/>
      <c r="N43" s="9"/>
    </row>
    <row r="44" spans="2:14">
      <c r="C44" s="2" t="s">
        <v>1339</v>
      </c>
      <c r="E44" s="237">
        <f>AVERAGE(E37:E43)</f>
        <v>6511.5028886736782</v>
      </c>
      <c r="G44" s="83">
        <f>SUM(G37:G43)</f>
        <v>52266589.987155445</v>
      </c>
      <c r="H44" s="18"/>
      <c r="M44" s="9"/>
      <c r="N44" s="9"/>
    </row>
    <row r="45" spans="2:14">
      <c r="C45" s="2" t="s">
        <v>1344</v>
      </c>
      <c r="E45" s="237">
        <f>AVERAGE(E39:E43)</f>
        <v>6568.3772003152499</v>
      </c>
      <c r="G45" s="18"/>
      <c r="H45" s="18"/>
      <c r="M45" s="9"/>
      <c r="N45" s="9"/>
    </row>
    <row r="46" spans="2:14">
      <c r="C46" s="2" t="s">
        <v>1345</v>
      </c>
      <c r="E46" s="240">
        <f>E45</f>
        <v>6568.3772003152499</v>
      </c>
      <c r="G46" s="18"/>
      <c r="H46" s="18"/>
      <c r="M46" s="9"/>
      <c r="N46" s="9"/>
    </row>
    <row r="47" spans="2:14">
      <c r="C47" s="60" t="s">
        <v>1346</v>
      </c>
      <c r="E47" s="18"/>
      <c r="G47" s="18"/>
      <c r="M47" s="9"/>
      <c r="N47" s="9"/>
    </row>
    <row r="48" spans="2:14">
      <c r="M48" s="9"/>
      <c r="N48" s="9"/>
    </row>
    <row r="49" spans="1:14">
      <c r="A49" s="14"/>
      <c r="B49" s="14"/>
      <c r="C49" s="14"/>
      <c r="D49" s="14"/>
      <c r="E49" s="14"/>
      <c r="F49" s="14"/>
      <c r="G49" s="1"/>
      <c r="H49" s="1"/>
      <c r="I49" s="1"/>
      <c r="J49" s="1"/>
      <c r="K49" s="1"/>
      <c r="L49" s="1"/>
      <c r="M49" s="9"/>
      <c r="N49" s="9"/>
    </row>
    <row r="50" spans="1:14">
      <c r="A50" s="851" t="s">
        <v>1347</v>
      </c>
      <c r="B50" s="851"/>
      <c r="C50" s="851"/>
      <c r="D50" s="851"/>
      <c r="E50" s="851"/>
      <c r="F50" s="851"/>
      <c r="G50" s="851"/>
      <c r="H50" s="851"/>
      <c r="I50" s="851"/>
      <c r="J50" s="851"/>
      <c r="K50" s="851"/>
      <c r="L50" s="1"/>
      <c r="M50" s="9"/>
      <c r="N50" s="9"/>
    </row>
    <row r="51" spans="1:14">
      <c r="A51" s="851"/>
      <c r="B51" s="851"/>
      <c r="C51" s="851"/>
      <c r="D51" s="851"/>
      <c r="E51" s="851"/>
      <c r="F51" s="851"/>
      <c r="G51" s="851"/>
      <c r="H51" s="851"/>
      <c r="I51" s="851"/>
      <c r="J51" s="851"/>
      <c r="K51" s="851"/>
      <c r="L51" s="1"/>
      <c r="M51" s="9"/>
      <c r="N51" s="9"/>
    </row>
    <row r="52" spans="1:14">
      <c r="A52" s="14"/>
      <c r="B52" s="14"/>
      <c r="C52" s="14"/>
      <c r="D52" s="14"/>
      <c r="E52" s="14"/>
      <c r="F52" s="14"/>
      <c r="G52" s="1"/>
      <c r="H52" s="1"/>
      <c r="I52" s="1"/>
      <c r="J52" s="1"/>
      <c r="K52" s="1"/>
      <c r="L52" s="1"/>
      <c r="M52" s="9"/>
      <c r="N52" s="9"/>
    </row>
    <row r="53" spans="1:14">
      <c r="A53" s="14"/>
      <c r="B53" s="829" t="s">
        <v>49</v>
      </c>
      <c r="C53" s="841" t="s">
        <v>59</v>
      </c>
      <c r="D53" s="841"/>
      <c r="E53" s="841"/>
      <c r="F53" s="841"/>
      <c r="G53" s="841"/>
      <c r="H53" s="841"/>
      <c r="I53" s="841"/>
      <c r="J53" s="1"/>
      <c r="K53" s="1"/>
      <c r="L53" s="1"/>
      <c r="M53" s="9"/>
      <c r="N53" s="9"/>
    </row>
    <row r="54" spans="1:14">
      <c r="A54" s="14"/>
      <c r="B54" s="829"/>
      <c r="C54" s="27">
        <v>12</v>
      </c>
      <c r="D54" s="27">
        <v>24</v>
      </c>
      <c r="E54" s="27">
        <v>36</v>
      </c>
      <c r="F54" s="27">
        <v>48</v>
      </c>
      <c r="G54" s="27">
        <v>60</v>
      </c>
      <c r="H54" s="27">
        <v>72</v>
      </c>
      <c r="I54" s="27">
        <v>84</v>
      </c>
      <c r="J54" s="1"/>
      <c r="K54" s="1"/>
      <c r="L54" s="1"/>
      <c r="M54" s="9"/>
      <c r="N54" s="9"/>
    </row>
    <row r="55" spans="1:14">
      <c r="A55" s="14"/>
      <c r="B55" s="32">
        <v>2015</v>
      </c>
      <c r="C55" s="92">
        <v>1906608</v>
      </c>
      <c r="D55" s="92">
        <v>2666402</v>
      </c>
      <c r="E55" s="92">
        <v>3459325</v>
      </c>
      <c r="F55" s="92">
        <v>4177978</v>
      </c>
      <c r="G55" s="92">
        <v>4782824</v>
      </c>
      <c r="H55" s="92">
        <v>5202046</v>
      </c>
      <c r="I55" s="92">
        <v>5274875</v>
      </c>
      <c r="J55" s="1"/>
      <c r="K55" s="1"/>
      <c r="L55" s="1"/>
      <c r="M55" s="9"/>
      <c r="N55" s="9"/>
    </row>
    <row r="56" spans="1:14">
      <c r="A56" s="14"/>
      <c r="B56" s="32">
        <v>2016</v>
      </c>
      <c r="C56" s="92">
        <v>2023029</v>
      </c>
      <c r="D56" s="92">
        <v>2921757</v>
      </c>
      <c r="E56" s="92">
        <v>3795342</v>
      </c>
      <c r="F56" s="92">
        <v>4577229</v>
      </c>
      <c r="G56" s="92">
        <v>5158981</v>
      </c>
      <c r="H56" s="92">
        <v>5763708</v>
      </c>
      <c r="I56" s="32"/>
      <c r="J56" s="1"/>
      <c r="K56" s="1"/>
      <c r="L56" s="1"/>
      <c r="M56" s="9"/>
      <c r="N56" s="9"/>
    </row>
    <row r="57" spans="1:14">
      <c r="A57" s="14"/>
      <c r="B57" s="32">
        <v>2017</v>
      </c>
      <c r="C57" s="92">
        <v>2207357</v>
      </c>
      <c r="D57" s="92">
        <v>3082180</v>
      </c>
      <c r="E57" s="92">
        <v>4057723</v>
      </c>
      <c r="F57" s="92">
        <v>4924637</v>
      </c>
      <c r="G57" s="92">
        <v>5759272</v>
      </c>
      <c r="H57" s="32"/>
      <c r="I57" s="32"/>
      <c r="J57" s="1"/>
      <c r="K57" s="1"/>
      <c r="L57" s="1"/>
      <c r="M57" s="9"/>
      <c r="N57" s="9"/>
    </row>
    <row r="58" spans="1:14">
      <c r="A58" s="14"/>
      <c r="B58" s="32">
        <v>2018</v>
      </c>
      <c r="C58" s="92">
        <v>2389192</v>
      </c>
      <c r="D58" s="92">
        <v>3427092</v>
      </c>
      <c r="E58" s="92">
        <v>4397500</v>
      </c>
      <c r="F58" s="92">
        <v>5558325</v>
      </c>
      <c r="G58" s="32"/>
      <c r="H58" s="32"/>
      <c r="I58" s="32"/>
      <c r="J58" s="1"/>
      <c r="K58" s="1"/>
      <c r="L58" s="1"/>
      <c r="M58" s="9"/>
      <c r="N58" s="9"/>
    </row>
    <row r="59" spans="1:14">
      <c r="A59" s="14"/>
      <c r="B59" s="32">
        <v>2019</v>
      </c>
      <c r="C59" s="92">
        <v>2550446</v>
      </c>
      <c r="D59" s="92">
        <v>3683042</v>
      </c>
      <c r="E59" s="92">
        <v>5107412</v>
      </c>
      <c r="F59" s="32"/>
      <c r="G59" s="32"/>
      <c r="H59" s="32"/>
      <c r="I59" s="32"/>
      <c r="J59" s="1"/>
      <c r="K59" s="1"/>
      <c r="L59" s="1"/>
      <c r="M59" s="9"/>
      <c r="N59" s="9"/>
    </row>
    <row r="60" spans="1:14">
      <c r="A60" s="14"/>
      <c r="B60" s="32">
        <v>2020</v>
      </c>
      <c r="C60" s="92">
        <v>2695059</v>
      </c>
      <c r="D60" s="92">
        <v>4364690</v>
      </c>
      <c r="E60" s="32"/>
      <c r="F60" s="32"/>
      <c r="G60" s="32"/>
      <c r="H60" s="32"/>
      <c r="I60" s="32"/>
      <c r="J60" s="1"/>
      <c r="K60" s="1"/>
      <c r="L60" s="1"/>
      <c r="M60" s="9"/>
      <c r="N60" s="9"/>
    </row>
    <row r="61" spans="1:14">
      <c r="A61" s="14"/>
      <c r="B61" s="32">
        <v>2021</v>
      </c>
      <c r="C61" s="92">
        <v>3175077</v>
      </c>
      <c r="D61" s="32"/>
      <c r="E61" s="32"/>
      <c r="F61" s="32"/>
      <c r="G61" s="32"/>
      <c r="H61" s="32"/>
      <c r="I61" s="32"/>
      <c r="J61" s="1"/>
      <c r="K61" s="1"/>
      <c r="L61" s="1"/>
      <c r="M61" s="9"/>
      <c r="N61" s="9"/>
    </row>
    <row r="62" spans="1:14">
      <c r="A62" s="14"/>
      <c r="B62" s="1"/>
      <c r="C62" s="1"/>
      <c r="D62" s="1"/>
      <c r="E62" s="1"/>
      <c r="F62" s="1"/>
      <c r="G62" s="1"/>
      <c r="H62" s="1"/>
      <c r="I62" s="1"/>
      <c r="J62" s="1"/>
      <c r="K62" s="1"/>
      <c r="L62" s="1"/>
      <c r="M62" s="9"/>
      <c r="N62" s="9"/>
    </row>
    <row r="63" spans="1:14">
      <c r="A63" s="14"/>
      <c r="B63" s="829" t="s">
        <v>49</v>
      </c>
      <c r="C63" s="841" t="s">
        <v>324</v>
      </c>
      <c r="D63" s="841"/>
      <c r="E63" s="841"/>
      <c r="F63" s="841"/>
      <c r="G63" s="841"/>
      <c r="H63" s="841"/>
      <c r="I63" s="841"/>
      <c r="J63" s="1"/>
      <c r="K63" s="1"/>
      <c r="L63" s="1"/>
      <c r="M63" s="9"/>
      <c r="N63" s="9"/>
    </row>
    <row r="64" spans="1:14">
      <c r="A64" s="14"/>
      <c r="B64" s="829"/>
      <c r="C64" s="27">
        <v>12</v>
      </c>
      <c r="D64" s="27">
        <v>24</v>
      </c>
      <c r="E64" s="27">
        <v>36</v>
      </c>
      <c r="F64" s="27">
        <v>48</v>
      </c>
      <c r="G64" s="27">
        <v>60</v>
      </c>
      <c r="H64" s="27">
        <v>72</v>
      </c>
      <c r="I64" s="27">
        <v>84</v>
      </c>
      <c r="J64" s="1"/>
      <c r="K64" s="1"/>
      <c r="L64" s="1"/>
      <c r="M64" s="9"/>
      <c r="N64" s="9"/>
    </row>
    <row r="65" spans="1:15">
      <c r="A65" s="14"/>
      <c r="B65" s="32">
        <v>2015</v>
      </c>
      <c r="C65" s="92">
        <v>734782</v>
      </c>
      <c r="D65" s="92">
        <v>1253583</v>
      </c>
      <c r="E65" s="92">
        <v>1905611</v>
      </c>
      <c r="F65" s="92">
        <v>2640076</v>
      </c>
      <c r="G65" s="92">
        <v>3434180</v>
      </c>
      <c r="H65" s="92">
        <v>4178154</v>
      </c>
      <c r="I65" s="92">
        <v>4637751</v>
      </c>
      <c r="J65" s="1"/>
      <c r="K65" s="1"/>
      <c r="L65" s="1"/>
      <c r="M65" s="9"/>
      <c r="N65" s="9"/>
    </row>
    <row r="66" spans="1:15">
      <c r="A66" s="14"/>
      <c r="B66" s="32">
        <v>2016</v>
      </c>
      <c r="C66" s="92">
        <v>767982</v>
      </c>
      <c r="D66" s="92">
        <v>1372261</v>
      </c>
      <c r="E66" s="92">
        <v>2087061</v>
      </c>
      <c r="F66" s="92">
        <v>2927979</v>
      </c>
      <c r="G66" s="92">
        <v>3704517</v>
      </c>
      <c r="H66" s="92">
        <v>4546408</v>
      </c>
      <c r="I66" s="32"/>
      <c r="J66" s="1"/>
      <c r="K66" s="1"/>
      <c r="L66" s="1"/>
      <c r="M66" s="9"/>
      <c r="N66" s="9"/>
    </row>
    <row r="67" spans="1:15">
      <c r="A67" s="14"/>
      <c r="B67" s="32">
        <v>2017</v>
      </c>
      <c r="C67" s="92">
        <v>799315</v>
      </c>
      <c r="D67" s="92">
        <v>1350784</v>
      </c>
      <c r="E67" s="92">
        <v>2259191</v>
      </c>
      <c r="F67" s="92">
        <v>3126494</v>
      </c>
      <c r="G67" s="92">
        <v>4007167</v>
      </c>
      <c r="H67" s="32"/>
      <c r="I67" s="32"/>
      <c r="J67" s="1"/>
      <c r="K67" s="1"/>
      <c r="L67" s="1"/>
      <c r="M67" s="9"/>
      <c r="N67" s="9"/>
    </row>
    <row r="68" spans="1:15">
      <c r="A68" s="14"/>
      <c r="B68" s="32">
        <v>2018</v>
      </c>
      <c r="C68" s="92">
        <v>899087</v>
      </c>
      <c r="D68" s="92">
        <v>1635498</v>
      </c>
      <c r="E68" s="92">
        <v>2443217</v>
      </c>
      <c r="F68" s="92">
        <v>3379326</v>
      </c>
      <c r="G68" s="32"/>
      <c r="H68" s="32"/>
      <c r="I68" s="32"/>
      <c r="J68" s="1"/>
      <c r="K68" s="1"/>
      <c r="L68" s="1"/>
      <c r="M68" s="9"/>
      <c r="N68" s="9"/>
    </row>
    <row r="69" spans="1:15">
      <c r="A69" s="14"/>
      <c r="B69" s="32">
        <v>2019</v>
      </c>
      <c r="C69" s="92">
        <v>968418</v>
      </c>
      <c r="D69" s="92">
        <v>1736844</v>
      </c>
      <c r="E69" s="92">
        <v>2639562</v>
      </c>
      <c r="F69" s="32"/>
      <c r="G69" s="32"/>
      <c r="H69" s="32"/>
      <c r="I69" s="32"/>
      <c r="J69" s="1"/>
      <c r="K69" s="1"/>
      <c r="L69" s="1"/>
      <c r="M69" s="9"/>
      <c r="N69" s="9"/>
    </row>
    <row r="70" spans="1:15">
      <c r="A70" s="14"/>
      <c r="B70" s="32">
        <v>2020</v>
      </c>
      <c r="C70" s="92">
        <v>1026656</v>
      </c>
      <c r="D70" s="92">
        <v>1937498</v>
      </c>
      <c r="E70" s="32"/>
      <c r="F70" s="32"/>
      <c r="G70" s="32"/>
      <c r="H70" s="32"/>
      <c r="I70" s="32"/>
      <c r="J70" s="1"/>
      <c r="K70" s="1"/>
      <c r="L70" s="1"/>
      <c r="M70" s="9"/>
      <c r="N70" s="9"/>
    </row>
    <row r="71" spans="1:15">
      <c r="A71" s="14"/>
      <c r="B71" s="32">
        <v>2021</v>
      </c>
      <c r="C71" s="92">
        <v>1082487</v>
      </c>
      <c r="D71" s="32"/>
      <c r="E71" s="32"/>
      <c r="F71" s="32"/>
      <c r="G71" s="32"/>
      <c r="H71" s="32"/>
      <c r="I71" s="32"/>
      <c r="J71" s="1"/>
      <c r="K71" s="1"/>
      <c r="L71" s="1"/>
      <c r="M71" s="9"/>
      <c r="N71" s="9"/>
    </row>
    <row r="72" spans="1:15">
      <c r="A72" s="14"/>
      <c r="B72" s="260"/>
      <c r="C72" s="524"/>
      <c r="D72" s="524"/>
      <c r="E72" s="524"/>
      <c r="F72" s="524"/>
      <c r="G72" s="524"/>
      <c r="H72" s="524"/>
      <c r="I72" s="524"/>
      <c r="J72" s="1"/>
      <c r="K72" s="1"/>
      <c r="L72" s="1"/>
      <c r="M72" s="9"/>
      <c r="N72" s="9"/>
      <c r="O72" s="60"/>
    </row>
    <row r="73" spans="1:15">
      <c r="A73" s="14"/>
      <c r="B73" s="829" t="s">
        <v>49</v>
      </c>
      <c r="C73" s="841" t="s">
        <v>550</v>
      </c>
      <c r="D73" s="841"/>
      <c r="E73" s="841"/>
      <c r="F73" s="841"/>
      <c r="G73" s="841"/>
      <c r="H73" s="841"/>
      <c r="I73" s="841"/>
      <c r="J73" s="1"/>
      <c r="K73" s="1"/>
      <c r="L73" s="1"/>
      <c r="M73" s="9"/>
      <c r="N73" s="9"/>
    </row>
    <row r="74" spans="1:15">
      <c r="A74" s="14"/>
      <c r="B74" s="829"/>
      <c r="C74" s="27">
        <v>12</v>
      </c>
      <c r="D74" s="27">
        <v>24</v>
      </c>
      <c r="E74" s="27">
        <v>36</v>
      </c>
      <c r="F74" s="27">
        <v>48</v>
      </c>
      <c r="G74" s="27">
        <v>60</v>
      </c>
      <c r="H74" s="27">
        <v>72</v>
      </c>
      <c r="I74" s="27">
        <v>84</v>
      </c>
      <c r="J74" s="1"/>
      <c r="K74" s="1"/>
      <c r="L74" s="1"/>
      <c r="M74" s="9"/>
      <c r="N74" s="9"/>
    </row>
    <row r="75" spans="1:15">
      <c r="A75" s="14"/>
      <c r="B75" s="32">
        <v>2015</v>
      </c>
      <c r="C75" s="32">
        <v>732</v>
      </c>
      <c r="D75" s="32">
        <v>865</v>
      </c>
      <c r="E75" s="32">
        <v>996</v>
      </c>
      <c r="F75" s="92">
        <v>1095</v>
      </c>
      <c r="G75" s="92">
        <v>1166</v>
      </c>
      <c r="H75" s="92">
        <v>1214</v>
      </c>
      <c r="I75" s="92">
        <v>1222</v>
      </c>
      <c r="J75" s="1"/>
      <c r="K75" s="1"/>
      <c r="L75" s="1"/>
      <c r="M75" s="9"/>
      <c r="N75" s="9"/>
    </row>
    <row r="76" spans="1:15">
      <c r="A76" s="14"/>
      <c r="B76" s="32">
        <v>2016</v>
      </c>
      <c r="C76" s="32">
        <v>752</v>
      </c>
      <c r="D76" s="32">
        <v>902</v>
      </c>
      <c r="E76" s="92">
        <v>1023</v>
      </c>
      <c r="F76" s="92">
        <v>1125</v>
      </c>
      <c r="G76" s="92">
        <v>1200</v>
      </c>
      <c r="H76" s="92">
        <v>1253</v>
      </c>
      <c r="I76" s="32"/>
      <c r="J76" s="1"/>
      <c r="K76" s="1"/>
      <c r="L76" s="1"/>
      <c r="M76" s="9"/>
      <c r="N76" s="9"/>
    </row>
    <row r="77" spans="1:15">
      <c r="A77" s="14"/>
      <c r="B77" s="32">
        <v>2017</v>
      </c>
      <c r="C77" s="32">
        <v>780</v>
      </c>
      <c r="D77" s="32">
        <v>921</v>
      </c>
      <c r="E77" s="92">
        <v>1041</v>
      </c>
      <c r="F77" s="92">
        <v>1167</v>
      </c>
      <c r="G77" s="92">
        <v>1235</v>
      </c>
      <c r="H77" s="32"/>
      <c r="I77" s="32"/>
      <c r="J77" s="1"/>
      <c r="K77" s="1"/>
      <c r="L77" s="1"/>
      <c r="M77" s="9"/>
      <c r="N77" s="9"/>
    </row>
    <row r="78" spans="1:15">
      <c r="A78" s="14"/>
      <c r="B78" s="32">
        <v>2018</v>
      </c>
      <c r="C78" s="32">
        <v>804</v>
      </c>
      <c r="D78" s="32">
        <v>961</v>
      </c>
      <c r="E78" s="92">
        <v>1083</v>
      </c>
      <c r="F78" s="92">
        <v>1201</v>
      </c>
      <c r="G78" s="32"/>
      <c r="H78" s="32"/>
      <c r="I78" s="32"/>
      <c r="J78" s="1"/>
      <c r="K78" s="1"/>
      <c r="L78" s="1"/>
      <c r="M78" s="9"/>
      <c r="N78" s="9"/>
    </row>
    <row r="79" spans="1:15">
      <c r="A79" s="14"/>
      <c r="B79" s="32">
        <v>2019</v>
      </c>
      <c r="C79" s="32">
        <v>813</v>
      </c>
      <c r="D79" s="32">
        <v>975</v>
      </c>
      <c r="E79" s="92">
        <v>1110</v>
      </c>
      <c r="F79" s="32"/>
      <c r="G79" s="32"/>
      <c r="H79" s="32"/>
      <c r="I79" s="32"/>
      <c r="J79" s="1"/>
      <c r="K79" s="1"/>
      <c r="L79" s="1"/>
      <c r="M79" s="9"/>
      <c r="N79" s="9"/>
    </row>
    <row r="80" spans="1:15">
      <c r="A80" s="14"/>
      <c r="B80" s="32">
        <v>2020</v>
      </c>
      <c r="C80" s="32">
        <v>835</v>
      </c>
      <c r="D80" s="92">
        <v>1024</v>
      </c>
      <c r="E80" s="32"/>
      <c r="F80" s="32"/>
      <c r="G80" s="32"/>
      <c r="H80" s="32"/>
      <c r="I80" s="32"/>
      <c r="J80" s="1"/>
      <c r="K80" s="1"/>
      <c r="L80" s="1"/>
      <c r="M80" s="9"/>
      <c r="N80" s="9"/>
    </row>
    <row r="81" spans="1:14">
      <c r="A81" s="14"/>
      <c r="B81" s="32">
        <v>2021</v>
      </c>
      <c r="C81" s="32">
        <v>875</v>
      </c>
      <c r="D81" s="32"/>
      <c r="E81" s="32"/>
      <c r="F81" s="32"/>
      <c r="G81" s="32"/>
      <c r="H81" s="32"/>
      <c r="I81" s="32"/>
      <c r="J81" s="1"/>
      <c r="K81" s="1"/>
      <c r="L81" s="1"/>
      <c r="M81" s="9"/>
      <c r="N81" s="9"/>
    </row>
    <row r="82" spans="1:14">
      <c r="A82" s="14"/>
      <c r="B82" s="260"/>
      <c r="C82" s="524"/>
      <c r="D82" s="524"/>
      <c r="E82" s="524"/>
      <c r="F82" s="524"/>
      <c r="G82" s="524"/>
      <c r="H82" s="524"/>
      <c r="I82" s="524"/>
      <c r="J82" s="1"/>
      <c r="K82" s="1"/>
      <c r="L82" s="1"/>
      <c r="M82" s="9"/>
      <c r="N82" s="9"/>
    </row>
    <row r="83" spans="1:14">
      <c r="A83" s="14"/>
      <c r="B83" s="829" t="s">
        <v>49</v>
      </c>
      <c r="C83" s="841" t="s">
        <v>551</v>
      </c>
      <c r="D83" s="841"/>
      <c r="E83" s="841"/>
      <c r="F83" s="841"/>
      <c r="G83" s="841"/>
      <c r="H83" s="841"/>
      <c r="I83" s="841"/>
      <c r="J83" s="1"/>
      <c r="K83" s="1"/>
      <c r="L83" s="1"/>
      <c r="M83" s="9"/>
      <c r="N83" s="9"/>
    </row>
    <row r="84" spans="1:14">
      <c r="A84" s="14"/>
      <c r="B84" s="829"/>
      <c r="C84" s="27">
        <v>12</v>
      </c>
      <c r="D84" s="27">
        <v>24</v>
      </c>
      <c r="E84" s="27">
        <v>36</v>
      </c>
      <c r="F84" s="27">
        <v>48</v>
      </c>
      <c r="G84" s="27">
        <v>60</v>
      </c>
      <c r="H84" s="27">
        <v>72</v>
      </c>
      <c r="I84" s="27">
        <v>84</v>
      </c>
      <c r="J84" s="1"/>
      <c r="K84" s="1"/>
      <c r="L84" s="1"/>
      <c r="M84" s="9"/>
      <c r="N84" s="9"/>
    </row>
    <row r="85" spans="1:14">
      <c r="A85" s="14"/>
      <c r="B85" s="32">
        <v>2015</v>
      </c>
      <c r="C85" s="32">
        <v>336</v>
      </c>
      <c r="D85" s="32">
        <v>545</v>
      </c>
      <c r="E85" s="32">
        <v>730</v>
      </c>
      <c r="F85" s="32">
        <v>879</v>
      </c>
      <c r="G85" s="32">
        <v>998</v>
      </c>
      <c r="H85" s="92">
        <v>1094</v>
      </c>
      <c r="I85" s="92">
        <v>1138</v>
      </c>
      <c r="J85" s="1"/>
      <c r="K85" s="1"/>
      <c r="L85" s="1"/>
      <c r="M85" s="9"/>
      <c r="N85" s="9"/>
    </row>
    <row r="86" spans="1:14">
      <c r="A86" s="14"/>
      <c r="B86" s="32">
        <v>2016</v>
      </c>
      <c r="C86" s="32">
        <v>346</v>
      </c>
      <c r="D86" s="32">
        <v>575</v>
      </c>
      <c r="E86" s="32">
        <v>747</v>
      </c>
      <c r="F86" s="32">
        <v>902</v>
      </c>
      <c r="G86" s="92">
        <v>1027</v>
      </c>
      <c r="H86" s="92">
        <v>1129</v>
      </c>
      <c r="I86" s="32"/>
      <c r="J86" s="1"/>
      <c r="K86" s="1"/>
      <c r="L86" s="1"/>
      <c r="M86" s="9"/>
      <c r="N86" s="9"/>
    </row>
    <row r="87" spans="1:14">
      <c r="A87" s="14"/>
      <c r="B87" s="32">
        <v>2017</v>
      </c>
      <c r="C87" s="32">
        <v>356</v>
      </c>
      <c r="D87" s="32">
        <v>575</v>
      </c>
      <c r="E87" s="32">
        <v>760</v>
      </c>
      <c r="F87" s="32">
        <v>936</v>
      </c>
      <c r="G87" s="92">
        <v>1056</v>
      </c>
      <c r="H87" s="32"/>
      <c r="I87" s="32"/>
      <c r="J87" s="1"/>
      <c r="K87" s="1"/>
      <c r="L87" s="1"/>
      <c r="M87" s="9"/>
      <c r="N87" s="9"/>
    </row>
    <row r="88" spans="1:14">
      <c r="A88" s="14"/>
      <c r="B88" s="32">
        <v>2018</v>
      </c>
      <c r="C88" s="32">
        <v>368</v>
      </c>
      <c r="D88" s="32">
        <v>611</v>
      </c>
      <c r="E88" s="32">
        <v>794</v>
      </c>
      <c r="F88" s="32">
        <v>964</v>
      </c>
      <c r="G88" s="32"/>
      <c r="H88" s="32"/>
      <c r="I88" s="32"/>
      <c r="J88" s="1"/>
      <c r="K88" s="1"/>
      <c r="L88" s="1"/>
      <c r="M88" s="9"/>
      <c r="N88" s="9"/>
    </row>
    <row r="89" spans="1:14">
      <c r="A89" s="14"/>
      <c r="B89" s="32">
        <v>2019</v>
      </c>
      <c r="C89" s="32">
        <v>369</v>
      </c>
      <c r="D89" s="32">
        <v>618</v>
      </c>
      <c r="E89" s="32">
        <v>807</v>
      </c>
      <c r="F89" s="32"/>
      <c r="G89" s="32"/>
      <c r="H89" s="32"/>
      <c r="I89" s="32"/>
      <c r="J89" s="1"/>
      <c r="K89" s="1"/>
      <c r="L89" s="1"/>
      <c r="M89" s="9"/>
      <c r="N89" s="9"/>
    </row>
    <row r="90" spans="1:14">
      <c r="A90" s="14"/>
      <c r="B90" s="32">
        <v>2020</v>
      </c>
      <c r="C90" s="32">
        <v>380</v>
      </c>
      <c r="D90" s="32">
        <v>648</v>
      </c>
      <c r="E90" s="32"/>
      <c r="F90" s="32"/>
      <c r="G90" s="32"/>
      <c r="H90" s="32"/>
      <c r="I90" s="32"/>
      <c r="J90" s="1"/>
      <c r="K90" s="1"/>
      <c r="L90" s="1"/>
      <c r="M90" s="9"/>
      <c r="N90" s="9"/>
    </row>
    <row r="91" spans="1:14">
      <c r="A91" s="14"/>
      <c r="B91" s="32">
        <v>2021</v>
      </c>
      <c r="C91" s="32">
        <v>400</v>
      </c>
      <c r="D91" s="32"/>
      <c r="E91" s="32"/>
      <c r="F91" s="32"/>
      <c r="G91" s="32"/>
      <c r="H91" s="32"/>
      <c r="I91" s="32"/>
      <c r="J91" s="1"/>
      <c r="K91" s="1"/>
      <c r="L91" s="1"/>
      <c r="M91" s="9"/>
      <c r="N91" s="9"/>
    </row>
    <row r="92" spans="1:14">
      <c r="A92" s="14"/>
      <c r="B92" s="14"/>
      <c r="C92" s="14"/>
      <c r="D92" s="14"/>
      <c r="E92" s="14"/>
      <c r="F92" s="14"/>
      <c r="G92" s="1"/>
      <c r="H92" s="1"/>
      <c r="I92" s="1"/>
      <c r="J92" s="1"/>
      <c r="K92" s="1"/>
      <c r="L92" s="1"/>
      <c r="M92" s="9"/>
      <c r="N92" s="9"/>
    </row>
    <row r="94" spans="1:14">
      <c r="A94" s="17" t="s">
        <v>133</v>
      </c>
      <c r="B94" s="1" t="s">
        <v>1348</v>
      </c>
      <c r="C94" s="1"/>
      <c r="D94" s="1"/>
      <c r="E94" s="1"/>
      <c r="F94" s="1"/>
      <c r="G94" s="1"/>
      <c r="H94" s="1"/>
      <c r="I94" s="1"/>
      <c r="J94" s="1"/>
      <c r="K94" s="1"/>
      <c r="L94" s="1"/>
    </row>
    <row r="95" spans="1:14">
      <c r="A95" s="14"/>
      <c r="B95" s="14"/>
      <c r="C95" s="14"/>
      <c r="D95" s="14"/>
      <c r="E95" s="14"/>
      <c r="F95" s="14"/>
      <c r="G95" s="1"/>
      <c r="H95" s="1"/>
      <c r="I95" s="1"/>
      <c r="J95" s="1"/>
      <c r="K95" s="1"/>
      <c r="L95" s="1"/>
    </row>
    <row r="96" spans="1:14">
      <c r="A96" s="3"/>
      <c r="B96" s="3"/>
      <c r="C96" s="3"/>
      <c r="D96" s="3"/>
      <c r="E96" s="3"/>
      <c r="F96" s="3"/>
      <c r="G96" s="3"/>
      <c r="H96" s="3"/>
      <c r="I96" s="3"/>
      <c r="J96" s="3"/>
      <c r="K96" s="3"/>
      <c r="L96" s="3"/>
    </row>
    <row r="97" spans="1:12">
      <c r="A97" s="3" t="s">
        <v>20</v>
      </c>
      <c r="B97" s="3"/>
      <c r="C97" s="3"/>
      <c r="D97" s="3"/>
      <c r="E97" s="3"/>
      <c r="F97" s="3"/>
      <c r="G97" s="3"/>
      <c r="H97" s="3"/>
      <c r="I97" s="3"/>
      <c r="J97" s="3"/>
      <c r="K97" s="3"/>
      <c r="L97" s="3"/>
    </row>
    <row r="98" spans="1:12">
      <c r="A98" s="3"/>
      <c r="B98" s="919" t="s">
        <v>49</v>
      </c>
      <c r="C98" s="920" t="s">
        <v>1165</v>
      </c>
      <c r="D98" s="921"/>
      <c r="E98" s="921"/>
      <c r="F98" s="921"/>
      <c r="G98" s="921"/>
      <c r="H98" s="921"/>
      <c r="I98" s="922"/>
      <c r="J98" s="3"/>
      <c r="K98" s="3"/>
      <c r="L98" s="3"/>
    </row>
    <row r="99" spans="1:12">
      <c r="A99" s="3"/>
      <c r="B99" s="919"/>
      <c r="C99" s="526">
        <v>12</v>
      </c>
      <c r="D99" s="526">
        <v>24</v>
      </c>
      <c r="E99" s="526">
        <v>36</v>
      </c>
      <c r="F99" s="526">
        <v>48</v>
      </c>
      <c r="G99" s="526">
        <v>60</v>
      </c>
      <c r="H99" s="526">
        <v>72</v>
      </c>
      <c r="I99" s="526">
        <v>84</v>
      </c>
      <c r="J99" s="3"/>
      <c r="K99" s="3"/>
      <c r="L99" s="3"/>
    </row>
    <row r="100" spans="1:12">
      <c r="A100" s="3"/>
      <c r="B100" s="526">
        <v>2015</v>
      </c>
      <c r="C100" s="527">
        <f t="shared" ref="C100:G104" si="11">C101/(1+$E$17)</f>
        <v>3019.2069971739752</v>
      </c>
      <c r="D100" s="527">
        <f t="shared" si="11"/>
        <v>4711.5982110557698</v>
      </c>
      <c r="E100" s="527">
        <f t="shared" si="11"/>
        <v>6331.0785144051943</v>
      </c>
      <c r="F100" s="527">
        <f t="shared" si="11"/>
        <v>7611.3179037535911</v>
      </c>
      <c r="G100" s="527">
        <f t="shared" si="11"/>
        <v>8629.9421097096929</v>
      </c>
      <c r="H100" s="527">
        <f>H101/(1+$E$17)</f>
        <v>9217.7797970619413</v>
      </c>
      <c r="I100" s="528">
        <f>(I55-I65)/(I75-I85)</f>
        <v>7584.8095238095239</v>
      </c>
      <c r="J100" s="3"/>
      <c r="K100" s="3"/>
      <c r="L100" s="3"/>
    </row>
    <row r="101" spans="1:12">
      <c r="A101" s="3"/>
      <c r="B101" s="526">
        <v>2016</v>
      </c>
      <c r="C101" s="527">
        <f t="shared" si="11"/>
        <v>3215.4554519902836</v>
      </c>
      <c r="D101" s="527">
        <f t="shared" si="11"/>
        <v>5017.8520947743946</v>
      </c>
      <c r="E101" s="527">
        <f t="shared" si="11"/>
        <v>6742.5986178415314</v>
      </c>
      <c r="F101" s="527">
        <f t="shared" si="11"/>
        <v>8106.0535674975745</v>
      </c>
      <c r="G101" s="527">
        <f t="shared" si="11"/>
        <v>9190.8883468408221</v>
      </c>
      <c r="H101" s="528">
        <f>(H56-H66)/(H76-H86)</f>
        <v>9816.9354838709678</v>
      </c>
      <c r="I101" s="527"/>
      <c r="J101" s="3"/>
      <c r="K101" s="3"/>
      <c r="L101" s="3"/>
    </row>
    <row r="102" spans="1:12">
      <c r="A102" s="3"/>
      <c r="B102" s="526">
        <v>2017</v>
      </c>
      <c r="C102" s="527">
        <f t="shared" si="11"/>
        <v>3424.4600563696517</v>
      </c>
      <c r="D102" s="527">
        <f t="shared" si="11"/>
        <v>5344.0124809347299</v>
      </c>
      <c r="E102" s="527">
        <f t="shared" si="11"/>
        <v>7180.8675280012303</v>
      </c>
      <c r="F102" s="527">
        <f t="shared" si="11"/>
        <v>8632.9470493849167</v>
      </c>
      <c r="G102" s="528">
        <f>(G57-G67)/(G77-G87)</f>
        <v>9788.2960893854743</v>
      </c>
      <c r="H102" s="527"/>
      <c r="I102" s="527"/>
      <c r="J102" s="3"/>
      <c r="K102" s="3"/>
      <c r="L102" s="3"/>
    </row>
    <row r="103" spans="1:12">
      <c r="A103" s="3"/>
      <c r="B103" s="526">
        <v>2018</v>
      </c>
      <c r="C103" s="527">
        <f t="shared" si="11"/>
        <v>3647.0499600336789</v>
      </c>
      <c r="D103" s="527">
        <f t="shared" si="11"/>
        <v>5691.373292195487</v>
      </c>
      <c r="E103" s="527">
        <f t="shared" si="11"/>
        <v>7647.6239173213098</v>
      </c>
      <c r="F103" s="528">
        <f>(F58-F68)/(F78-F88)</f>
        <v>9194.0886075949365</v>
      </c>
      <c r="G103" s="527"/>
      <c r="H103" s="527"/>
      <c r="I103" s="527"/>
      <c r="J103" s="3"/>
      <c r="K103" s="3"/>
      <c r="L103" s="3"/>
    </row>
    <row r="104" spans="1:12">
      <c r="A104" s="3"/>
      <c r="B104" s="526">
        <v>2019</v>
      </c>
      <c r="C104" s="527">
        <f t="shared" si="11"/>
        <v>3884.1082074358678</v>
      </c>
      <c r="D104" s="527">
        <f t="shared" si="11"/>
        <v>6061.3125561881934</v>
      </c>
      <c r="E104" s="528">
        <f>(E59-E69)/(E79-E89)</f>
        <v>8144.7194719471945</v>
      </c>
      <c r="F104" s="527"/>
      <c r="G104" s="527"/>
      <c r="H104" s="527"/>
      <c r="I104" s="527"/>
      <c r="J104" s="3"/>
      <c r="K104" s="3"/>
      <c r="L104" s="3"/>
    </row>
    <row r="105" spans="1:12">
      <c r="A105" s="3"/>
      <c r="B105" s="526">
        <v>2020</v>
      </c>
      <c r="C105" s="527">
        <f>C106/(1+$E$17)</f>
        <v>4136.5752409191991</v>
      </c>
      <c r="D105" s="528">
        <f>(D60-D70)/(D80-D90)</f>
        <v>6455.2978723404258</v>
      </c>
      <c r="E105" s="527"/>
      <c r="F105" s="527"/>
      <c r="G105" s="527"/>
      <c r="H105" s="527"/>
      <c r="I105" s="527"/>
      <c r="J105" s="3"/>
      <c r="K105" s="3"/>
      <c r="L105" s="3"/>
    </row>
    <row r="106" spans="1:12">
      <c r="A106" s="3"/>
      <c r="B106" s="526">
        <v>2021</v>
      </c>
      <c r="C106" s="528">
        <f>(C61-C71)/(C81-C91)</f>
        <v>4405.4526315789471</v>
      </c>
      <c r="D106" s="527"/>
      <c r="E106" s="527"/>
      <c r="F106" s="527"/>
      <c r="G106" s="527"/>
      <c r="H106" s="527"/>
      <c r="I106" s="527"/>
      <c r="J106" s="3"/>
      <c r="K106" s="3"/>
      <c r="L106" s="3"/>
    </row>
    <row r="107" spans="1:12">
      <c r="A107" s="3"/>
      <c r="B107" s="18"/>
      <c r="C107" s="18"/>
      <c r="D107" s="18"/>
      <c r="E107" s="18"/>
      <c r="F107" s="18"/>
      <c r="G107" s="18"/>
      <c r="H107" s="18"/>
      <c r="I107" s="18"/>
      <c r="J107" s="3"/>
      <c r="K107" s="3"/>
      <c r="L107" s="3"/>
    </row>
    <row r="108" spans="1:12">
      <c r="A108" s="3"/>
      <c r="B108" s="919" t="s">
        <v>49</v>
      </c>
      <c r="C108" s="920" t="s">
        <v>566</v>
      </c>
      <c r="D108" s="921"/>
      <c r="E108" s="921"/>
      <c r="F108" s="921"/>
      <c r="G108" s="921"/>
      <c r="H108" s="921"/>
      <c r="I108" s="922"/>
      <c r="J108" s="3"/>
      <c r="K108" s="3"/>
      <c r="L108" s="3"/>
    </row>
    <row r="109" spans="1:12">
      <c r="A109" s="3"/>
      <c r="B109" s="919"/>
      <c r="C109" s="526">
        <v>12</v>
      </c>
      <c r="D109" s="526">
        <v>24</v>
      </c>
      <c r="E109" s="526">
        <v>36</v>
      </c>
      <c r="F109" s="526">
        <v>48</v>
      </c>
      <c r="G109" s="526">
        <v>60</v>
      </c>
      <c r="H109" s="526">
        <v>72</v>
      </c>
      <c r="I109" s="526">
        <v>84</v>
      </c>
      <c r="J109" s="3"/>
      <c r="K109" s="3"/>
      <c r="L109" s="3"/>
    </row>
    <row r="110" spans="1:12">
      <c r="A110" s="3"/>
      <c r="B110" s="526">
        <v>2015</v>
      </c>
      <c r="C110" s="529">
        <f t="shared" ref="C110:G114" si="12">C100*(C75-C85)+C65</f>
        <v>1930387.9708808942</v>
      </c>
      <c r="D110" s="529">
        <f t="shared" si="12"/>
        <v>2761294.4275378464</v>
      </c>
      <c r="E110" s="529">
        <f t="shared" si="12"/>
        <v>3589677.8848317815</v>
      </c>
      <c r="F110" s="529">
        <f t="shared" si="12"/>
        <v>4284120.6672107754</v>
      </c>
      <c r="G110" s="529">
        <f t="shared" si="12"/>
        <v>4884010.2744312286</v>
      </c>
      <c r="H110" s="529">
        <f>H100*(H75-H85)+H65</f>
        <v>5284287.5756474333</v>
      </c>
      <c r="I110" s="530">
        <f>I55</f>
        <v>5274875</v>
      </c>
      <c r="J110" s="3"/>
      <c r="K110" s="3"/>
      <c r="L110" s="3"/>
    </row>
    <row r="111" spans="1:12">
      <c r="A111" s="3"/>
      <c r="B111" s="526">
        <v>2016</v>
      </c>
      <c r="C111" s="529">
        <f t="shared" si="12"/>
        <v>2073456.913508055</v>
      </c>
      <c r="D111" s="529">
        <f t="shared" si="12"/>
        <v>3013098.6349912267</v>
      </c>
      <c r="E111" s="529">
        <f t="shared" si="12"/>
        <v>3948018.2185242628</v>
      </c>
      <c r="F111" s="529">
        <f t="shared" si="12"/>
        <v>4735628.9455519589</v>
      </c>
      <c r="G111" s="529">
        <f t="shared" si="12"/>
        <v>5294540.6840034621</v>
      </c>
      <c r="H111" s="530">
        <f>H56</f>
        <v>5763708</v>
      </c>
      <c r="I111" s="529"/>
      <c r="J111" s="3"/>
      <c r="K111" s="3"/>
      <c r="L111" s="3"/>
    </row>
    <row r="112" spans="1:12">
      <c r="A112" s="3"/>
      <c r="B112" s="526">
        <v>2017</v>
      </c>
      <c r="C112" s="529">
        <f t="shared" si="12"/>
        <v>2251286.0639007324</v>
      </c>
      <c r="D112" s="529">
        <f t="shared" si="12"/>
        <v>3199812.3184034163</v>
      </c>
      <c r="E112" s="529">
        <f t="shared" si="12"/>
        <v>4277014.7753683459</v>
      </c>
      <c r="F112" s="529">
        <f t="shared" si="12"/>
        <v>5120704.7684079157</v>
      </c>
      <c r="G112" s="530">
        <f>G57</f>
        <v>5759272</v>
      </c>
      <c r="H112" s="529"/>
      <c r="I112" s="529"/>
      <c r="J112" s="3"/>
      <c r="K112" s="3"/>
      <c r="L112" s="3"/>
    </row>
    <row r="113" spans="1:13">
      <c r="A113" s="3"/>
      <c r="B113" s="526">
        <v>2018</v>
      </c>
      <c r="C113" s="529">
        <f t="shared" si="12"/>
        <v>2489200.7825746839</v>
      </c>
      <c r="D113" s="529">
        <f t="shared" si="12"/>
        <v>3627478.6522684204</v>
      </c>
      <c r="E113" s="529">
        <f t="shared" si="12"/>
        <v>4653380.3121058587</v>
      </c>
      <c r="F113" s="530">
        <f>F58</f>
        <v>5558325</v>
      </c>
      <c r="G113" s="529"/>
      <c r="H113" s="529"/>
      <c r="I113" s="529"/>
      <c r="J113" s="3"/>
      <c r="K113" s="3"/>
      <c r="L113" s="3"/>
    </row>
    <row r="114" spans="1:13">
      <c r="B114" s="526">
        <v>2019</v>
      </c>
      <c r="C114" s="529">
        <f t="shared" si="12"/>
        <v>2692962.0441015251</v>
      </c>
      <c r="D114" s="529">
        <f t="shared" si="12"/>
        <v>3900732.5825591851</v>
      </c>
      <c r="E114" s="530">
        <f>E59</f>
        <v>5107412</v>
      </c>
      <c r="F114" s="529"/>
      <c r="G114" s="529"/>
      <c r="H114" s="529"/>
      <c r="I114" s="529"/>
      <c r="M114" s="3"/>
    </row>
    <row r="115" spans="1:13">
      <c r="B115" s="526">
        <v>2020</v>
      </c>
      <c r="C115" s="529">
        <f>C105*(C80-C90)+C70</f>
        <v>2908797.7346182354</v>
      </c>
      <c r="D115" s="530">
        <f>D60</f>
        <v>4364690</v>
      </c>
      <c r="E115" s="529"/>
      <c r="F115" s="529"/>
      <c r="G115" s="529"/>
      <c r="H115" s="529"/>
      <c r="I115" s="529"/>
      <c r="M115" s="3"/>
    </row>
    <row r="116" spans="1:13">
      <c r="B116" s="526">
        <v>2021</v>
      </c>
      <c r="C116" s="530">
        <f>C61</f>
        <v>3175077</v>
      </c>
      <c r="D116" s="529"/>
      <c r="E116" s="529"/>
      <c r="F116" s="529"/>
      <c r="G116" s="529"/>
      <c r="H116" s="529"/>
      <c r="I116" s="529"/>
      <c r="M116" s="3"/>
    </row>
    <row r="118" spans="1:13">
      <c r="A118" s="14"/>
      <c r="B118" s="14"/>
      <c r="C118" s="14"/>
      <c r="D118" s="14"/>
      <c r="E118" s="14"/>
      <c r="F118" s="14"/>
      <c r="G118" s="1"/>
      <c r="H118" s="1"/>
      <c r="I118" s="1"/>
      <c r="J118" s="1"/>
      <c r="K118" s="1"/>
      <c r="L118" s="1"/>
    </row>
    <row r="119" spans="1:13">
      <c r="A119" s="260" t="s">
        <v>1349</v>
      </c>
      <c r="B119" s="46"/>
      <c r="C119" s="1"/>
      <c r="D119" s="1"/>
      <c r="E119" s="1"/>
      <c r="F119" s="14"/>
      <c r="G119" s="1"/>
      <c r="H119" s="1"/>
      <c r="I119" s="1"/>
      <c r="J119" s="1"/>
      <c r="K119" s="1"/>
      <c r="L119" s="1"/>
    </row>
    <row r="120" spans="1:13">
      <c r="A120" s="260"/>
      <c r="B120" s="46"/>
      <c r="C120" s="1"/>
      <c r="D120" s="1"/>
      <c r="E120" s="1"/>
      <c r="F120" s="14"/>
      <c r="G120" s="1"/>
      <c r="H120" s="1"/>
      <c r="I120" s="1"/>
      <c r="J120" s="1"/>
      <c r="K120" s="1"/>
      <c r="L120" s="1"/>
    </row>
    <row r="121" spans="1:13" ht="46.8">
      <c r="A121" s="1"/>
      <c r="B121" s="4" t="s">
        <v>49</v>
      </c>
      <c r="C121" s="5" t="s">
        <v>1350</v>
      </c>
      <c r="D121" s="1"/>
      <c r="E121" s="1"/>
      <c r="F121" s="14"/>
      <c r="G121" s="1"/>
      <c r="H121" s="1"/>
      <c r="I121" s="1"/>
      <c r="J121" s="1"/>
      <c r="K121" s="1"/>
      <c r="L121" s="1"/>
    </row>
    <row r="122" spans="1:13">
      <c r="A122" s="1"/>
      <c r="B122" s="32">
        <v>2015</v>
      </c>
      <c r="C122" s="531">
        <v>4316.59</v>
      </c>
      <c r="D122" s="1"/>
      <c r="E122" s="1"/>
      <c r="F122" s="14"/>
      <c r="G122" s="1"/>
      <c r="H122" s="1"/>
      <c r="I122" s="1"/>
      <c r="J122" s="1"/>
      <c r="K122" s="1"/>
      <c r="L122" s="1"/>
    </row>
    <row r="123" spans="1:13">
      <c r="A123" s="1"/>
      <c r="B123" s="32">
        <v>2016</v>
      </c>
      <c r="C123" s="531">
        <v>4561.67</v>
      </c>
      <c r="D123" s="1"/>
      <c r="E123" s="1"/>
      <c r="F123" s="14"/>
      <c r="G123" s="1"/>
      <c r="H123" s="1"/>
      <c r="I123" s="1"/>
      <c r="J123" s="1"/>
      <c r="K123" s="1"/>
      <c r="L123" s="1"/>
    </row>
    <row r="124" spans="1:13">
      <c r="A124" s="1"/>
      <c r="B124" s="32">
        <v>2017</v>
      </c>
      <c r="C124" s="531">
        <v>4813.6099999999997</v>
      </c>
      <c r="D124" s="1"/>
      <c r="E124" s="1"/>
      <c r="F124" s="14"/>
      <c r="G124" s="1"/>
      <c r="H124" s="1"/>
      <c r="I124" s="1"/>
      <c r="J124" s="1"/>
      <c r="K124" s="1"/>
      <c r="L124" s="1"/>
    </row>
    <row r="125" spans="1:13">
      <c r="A125" s="1"/>
      <c r="B125" s="32">
        <v>2018</v>
      </c>
      <c r="C125" s="531">
        <v>5066.25</v>
      </c>
      <c r="D125" s="1"/>
      <c r="E125" s="1"/>
      <c r="F125" s="14"/>
      <c r="G125" s="1"/>
      <c r="H125" s="1"/>
      <c r="I125" s="1"/>
      <c r="J125" s="1"/>
      <c r="K125" s="1"/>
      <c r="L125" s="1"/>
    </row>
    <row r="126" spans="1:13">
      <c r="A126" s="1"/>
      <c r="B126" s="32">
        <v>2019</v>
      </c>
      <c r="C126" s="531">
        <v>5441.62</v>
      </c>
      <c r="D126" s="1"/>
      <c r="E126" s="1"/>
      <c r="F126" s="14"/>
      <c r="G126" s="1"/>
      <c r="H126" s="1"/>
      <c r="I126" s="1"/>
      <c r="J126" s="1"/>
      <c r="K126" s="1"/>
      <c r="L126" s="1"/>
    </row>
    <row r="127" spans="1:13">
      <c r="A127" s="1"/>
      <c r="B127" s="32">
        <v>2020</v>
      </c>
      <c r="C127" s="531">
        <v>5802.31</v>
      </c>
      <c r="D127" s="1"/>
      <c r="E127" s="1"/>
      <c r="F127" s="14"/>
      <c r="G127" s="1"/>
      <c r="H127" s="1"/>
      <c r="I127" s="1"/>
      <c r="J127" s="1"/>
      <c r="K127" s="1"/>
      <c r="L127" s="1"/>
    </row>
    <row r="128" spans="1:13">
      <c r="A128" s="1"/>
      <c r="B128" s="32">
        <v>2021</v>
      </c>
      <c r="C128" s="531">
        <v>5990.39</v>
      </c>
      <c r="D128" s="1"/>
      <c r="E128" s="1"/>
      <c r="F128" s="14"/>
      <c r="G128" s="1"/>
      <c r="H128" s="1"/>
      <c r="I128" s="1"/>
      <c r="J128" s="1"/>
      <c r="K128" s="1"/>
      <c r="L128" s="1"/>
    </row>
    <row r="129" spans="1:14">
      <c r="A129" s="14"/>
      <c r="B129" s="14"/>
      <c r="C129" s="14"/>
      <c r="D129" s="14"/>
      <c r="E129" s="14"/>
      <c r="F129" s="14"/>
      <c r="G129" s="1"/>
      <c r="H129" s="1"/>
      <c r="I129" s="1"/>
      <c r="J129" s="1"/>
      <c r="K129" s="1"/>
      <c r="L129" s="1"/>
    </row>
    <row r="131" spans="1:14">
      <c r="A131" s="17" t="s">
        <v>18</v>
      </c>
      <c r="B131" s="1" t="s">
        <v>1351</v>
      </c>
      <c r="C131" s="1"/>
      <c r="D131" s="1"/>
      <c r="E131" s="1"/>
      <c r="F131" s="1"/>
      <c r="G131" s="1"/>
      <c r="H131" s="1"/>
      <c r="I131" s="1"/>
      <c r="J131" s="1"/>
      <c r="K131" s="1"/>
      <c r="L131" s="1"/>
    </row>
    <row r="132" spans="1:14">
      <c r="A132" s="14"/>
      <c r="B132" s="14"/>
      <c r="C132" s="14"/>
      <c r="D132" s="14"/>
      <c r="E132" s="14"/>
      <c r="F132" s="14"/>
      <c r="G132" s="1"/>
      <c r="H132" s="1"/>
      <c r="I132" s="1"/>
      <c r="J132" s="1"/>
      <c r="K132" s="1"/>
      <c r="L132" s="1"/>
    </row>
    <row r="133" spans="1:14">
      <c r="A133" s="3"/>
      <c r="B133" s="3"/>
      <c r="C133" s="3"/>
      <c r="D133" s="3"/>
      <c r="E133" s="3"/>
      <c r="F133" s="3"/>
      <c r="G133" s="3"/>
      <c r="H133" s="3"/>
      <c r="I133" s="3"/>
      <c r="J133" s="3"/>
      <c r="K133" s="3"/>
      <c r="L133" s="3"/>
    </row>
    <row r="134" spans="1:14">
      <c r="A134" s="3" t="s">
        <v>20</v>
      </c>
      <c r="B134" s="3"/>
      <c r="C134" s="3"/>
      <c r="D134" s="3"/>
      <c r="E134" s="3"/>
      <c r="F134" s="3"/>
      <c r="G134" s="3"/>
      <c r="H134" s="3"/>
      <c r="I134" s="3"/>
      <c r="J134" s="3"/>
      <c r="K134" s="3"/>
      <c r="L134" s="3"/>
    </row>
    <row r="135" spans="1:14" ht="46.8">
      <c r="A135" s="3"/>
      <c r="B135" s="93" t="s">
        <v>49</v>
      </c>
      <c r="C135" s="93" t="s">
        <v>1350</v>
      </c>
      <c r="D135" s="93" t="s">
        <v>1352</v>
      </c>
      <c r="E135" s="3"/>
      <c r="F135" s="3"/>
      <c r="G135" s="3"/>
      <c r="H135" s="3"/>
      <c r="I135" s="3"/>
      <c r="J135" s="3"/>
      <c r="K135" s="3"/>
      <c r="L135" s="3"/>
    </row>
    <row r="136" spans="1:14">
      <c r="A136" s="3"/>
      <c r="B136" s="94">
        <v>2015</v>
      </c>
      <c r="C136" s="240">
        <f>C122</f>
        <v>4316.59</v>
      </c>
      <c r="D136" s="3"/>
      <c r="E136" s="3"/>
      <c r="F136" s="3"/>
      <c r="G136" s="3"/>
      <c r="H136" s="3"/>
      <c r="I136" s="3"/>
      <c r="J136" s="3"/>
      <c r="K136" s="3"/>
      <c r="L136" s="3"/>
    </row>
    <row r="137" spans="1:14">
      <c r="B137" s="94">
        <v>2016</v>
      </c>
      <c r="C137" s="240">
        <f t="shared" ref="C137:C142" si="13">C123</f>
        <v>4561.67</v>
      </c>
      <c r="D137" s="258">
        <f>C137/C136-1</f>
        <v>5.6776297957415345E-2</v>
      </c>
    </row>
    <row r="138" spans="1:14">
      <c r="B138" s="94">
        <v>2017</v>
      </c>
      <c r="C138" s="240">
        <f t="shared" si="13"/>
        <v>4813.6099999999997</v>
      </c>
      <c r="D138" s="258">
        <f t="shared" ref="D138:D142" si="14">C138/C137-1</f>
        <v>5.5229773306705532E-2</v>
      </c>
    </row>
    <row r="139" spans="1:14">
      <c r="B139" s="94">
        <v>2018</v>
      </c>
      <c r="C139" s="240">
        <f t="shared" si="13"/>
        <v>5066.25</v>
      </c>
      <c r="D139" s="258">
        <f t="shared" si="14"/>
        <v>5.248451785666064E-2</v>
      </c>
    </row>
    <row r="140" spans="1:14">
      <c r="B140" s="94">
        <v>2019</v>
      </c>
      <c r="C140" s="240">
        <f t="shared" si="13"/>
        <v>5441.62</v>
      </c>
      <c r="D140" s="258">
        <f t="shared" si="14"/>
        <v>7.4092277325437994E-2</v>
      </c>
    </row>
    <row r="141" spans="1:14">
      <c r="B141" s="94">
        <v>2020</v>
      </c>
      <c r="C141" s="240">
        <f t="shared" si="13"/>
        <v>5802.31</v>
      </c>
      <c r="D141" s="258">
        <f t="shared" si="14"/>
        <v>6.6283569966296918E-2</v>
      </c>
    </row>
    <row r="142" spans="1:14">
      <c r="B142" s="107">
        <v>2021</v>
      </c>
      <c r="C142" s="370">
        <f t="shared" si="13"/>
        <v>5990.39</v>
      </c>
      <c r="D142" s="111">
        <f t="shared" si="14"/>
        <v>3.2414676223779804E-2</v>
      </c>
    </row>
    <row r="143" spans="1:14">
      <c r="B143" s="3" t="s">
        <v>158</v>
      </c>
      <c r="C143" s="3"/>
      <c r="D143" s="112">
        <f>AVERAGE(D137:D142)</f>
        <v>5.6213518772716041E-2</v>
      </c>
    </row>
    <row r="144" spans="1:14">
      <c r="B144" s="3" t="s">
        <v>1353</v>
      </c>
      <c r="C144" s="3"/>
      <c r="D144" s="112">
        <f>AVERAGE(D137:D139,D141)</f>
        <v>5.7693539771769609E-2</v>
      </c>
      <c r="M144" s="3"/>
      <c r="N144" s="3"/>
    </row>
    <row r="145" spans="1:14">
      <c r="B145" s="3" t="s">
        <v>1354</v>
      </c>
      <c r="C145" s="3"/>
      <c r="D145" s="112">
        <f>AVERAGE(D137:D141)</f>
        <v>6.0973287282503286E-2</v>
      </c>
      <c r="M145" s="3"/>
      <c r="N145" s="3"/>
    </row>
    <row r="146" spans="1:14">
      <c r="B146" s="3" t="s">
        <v>1355</v>
      </c>
      <c r="C146" s="3"/>
      <c r="D146" s="112">
        <f>D144</f>
        <v>5.7693539771769609E-2</v>
      </c>
      <c r="M146" s="3"/>
      <c r="N146" s="3"/>
    </row>
    <row r="147" spans="1:14">
      <c r="B147" s="3" t="s">
        <v>1356</v>
      </c>
      <c r="C147" s="3"/>
      <c r="D147" s="3"/>
    </row>
    <row r="150" spans="1:14">
      <c r="A150" s="17" t="s">
        <v>25</v>
      </c>
      <c r="B150" s="1" t="s">
        <v>1357</v>
      </c>
      <c r="C150" s="1"/>
      <c r="D150" s="1"/>
      <c r="E150" s="1"/>
      <c r="F150" s="1"/>
      <c r="G150" s="1"/>
      <c r="H150" s="1"/>
      <c r="I150" s="1"/>
      <c r="J150" s="1"/>
      <c r="K150" s="1"/>
      <c r="L150" s="1"/>
    </row>
    <row r="151" spans="1:14">
      <c r="A151" s="14"/>
      <c r="B151" s="14"/>
      <c r="C151" s="14"/>
      <c r="D151" s="14"/>
      <c r="E151" s="14"/>
      <c r="F151" s="14"/>
      <c r="G151" s="1"/>
      <c r="H151" s="1"/>
      <c r="I151" s="1"/>
      <c r="J151" s="1"/>
      <c r="K151" s="1"/>
      <c r="L151" s="1"/>
    </row>
    <row r="152" spans="1:14">
      <c r="A152" s="3"/>
      <c r="B152" s="3"/>
      <c r="C152" s="3"/>
      <c r="D152" s="3"/>
      <c r="E152" s="3"/>
      <c r="F152" s="3"/>
      <c r="G152" s="3"/>
      <c r="H152" s="3"/>
      <c r="I152" s="3"/>
      <c r="J152" s="3"/>
      <c r="K152" s="3"/>
      <c r="L152" s="3"/>
    </row>
    <row r="153" spans="1:14">
      <c r="A153" s="3" t="s">
        <v>20</v>
      </c>
      <c r="B153" s="3"/>
      <c r="C153" s="3"/>
      <c r="D153" s="3"/>
      <c r="E153" s="3"/>
      <c r="F153" s="3"/>
      <c r="G153" s="3"/>
      <c r="H153" s="3"/>
      <c r="I153" s="3"/>
      <c r="J153" s="3"/>
      <c r="K153" s="3"/>
      <c r="L153" s="3"/>
    </row>
    <row r="154" spans="1:14">
      <c r="A154" s="3"/>
      <c r="B154" s="3" t="s">
        <v>1358</v>
      </c>
      <c r="C154" s="3"/>
      <c r="D154" s="3"/>
      <c r="E154" s="3"/>
      <c r="F154" s="3"/>
      <c r="G154" s="3"/>
      <c r="H154" s="3"/>
      <c r="I154" s="3"/>
      <c r="J154" s="3"/>
      <c r="K154" s="3"/>
      <c r="L154" s="3"/>
    </row>
    <row r="155" spans="1:14">
      <c r="A155" s="3"/>
      <c r="B155" s="3" t="s">
        <v>1359</v>
      </c>
      <c r="C155" s="3"/>
      <c r="D155" s="3"/>
      <c r="E155" s="3"/>
      <c r="F155" s="3"/>
      <c r="G155" s="3"/>
      <c r="H155" s="3"/>
      <c r="I155" s="3"/>
      <c r="J155" s="3"/>
      <c r="K155" s="3"/>
      <c r="L155" s="3"/>
    </row>
    <row r="157" spans="1:14">
      <c r="A157" s="17" t="s">
        <v>147</v>
      </c>
      <c r="B157" s="1" t="s">
        <v>1360</v>
      </c>
      <c r="C157" s="1"/>
      <c r="D157" s="1"/>
      <c r="E157" s="1"/>
      <c r="F157" s="1"/>
      <c r="G157" s="1"/>
      <c r="H157" s="1"/>
      <c r="I157" s="1"/>
      <c r="J157" s="1"/>
      <c r="K157" s="1"/>
      <c r="L157" s="1"/>
    </row>
    <row r="158" spans="1:14">
      <c r="A158" s="14"/>
      <c r="B158" s="14"/>
      <c r="C158" s="14"/>
      <c r="D158" s="14"/>
      <c r="E158" s="14"/>
      <c r="F158" s="14"/>
      <c r="G158" s="1"/>
      <c r="H158" s="1"/>
      <c r="I158" s="1"/>
      <c r="J158" s="1"/>
      <c r="K158" s="1"/>
      <c r="L158" s="1"/>
    </row>
    <row r="159" spans="1:14">
      <c r="A159" s="3"/>
      <c r="B159" s="3"/>
      <c r="C159" s="3"/>
      <c r="D159" s="3"/>
      <c r="E159" s="3"/>
      <c r="F159" s="3"/>
      <c r="G159" s="3"/>
      <c r="H159" s="3"/>
      <c r="I159" s="3"/>
      <c r="J159" s="3"/>
      <c r="K159" s="3"/>
      <c r="L159" s="3"/>
    </row>
    <row r="160" spans="1:14">
      <c r="A160" s="3" t="s">
        <v>20</v>
      </c>
      <c r="B160" s="3"/>
      <c r="C160" s="3"/>
      <c r="D160" s="3"/>
      <c r="E160" s="3"/>
      <c r="F160" s="3"/>
      <c r="G160" s="3"/>
      <c r="H160" s="3"/>
      <c r="I160" s="3"/>
      <c r="J160" s="3"/>
      <c r="K160" s="3"/>
      <c r="L160" s="3"/>
    </row>
    <row r="161" spans="1:12" ht="46.8">
      <c r="A161" s="3"/>
      <c r="B161" s="93" t="s">
        <v>49</v>
      </c>
      <c r="C161" s="93" t="s">
        <v>528</v>
      </c>
      <c r="D161" s="93" t="s">
        <v>1350</v>
      </c>
      <c r="E161" s="93" t="s">
        <v>131</v>
      </c>
      <c r="G161" s="3"/>
      <c r="H161" s="3"/>
      <c r="I161" s="3"/>
      <c r="J161" s="3"/>
      <c r="K161" s="3"/>
      <c r="L161" s="3"/>
    </row>
    <row r="162" spans="1:12">
      <c r="A162" s="3"/>
      <c r="B162" s="94">
        <f>B7</f>
        <v>2015</v>
      </c>
      <c r="C162" s="106">
        <f t="shared" ref="C162:C168" si="15">D7</f>
        <v>1230</v>
      </c>
      <c r="D162" s="240">
        <f t="shared" ref="D162:D168" si="16">C122</f>
        <v>4316.59</v>
      </c>
      <c r="E162" s="106">
        <f>C162*D162</f>
        <v>5309405.7</v>
      </c>
      <c r="G162" s="3"/>
      <c r="H162" s="3"/>
      <c r="I162" s="3"/>
      <c r="J162" s="3"/>
      <c r="K162" s="3"/>
      <c r="L162" s="3"/>
    </row>
    <row r="163" spans="1:12">
      <c r="A163" s="3"/>
      <c r="B163" s="94">
        <f t="shared" ref="B163:B168" si="17">B8</f>
        <v>2016</v>
      </c>
      <c r="C163" s="106">
        <f t="shared" si="15"/>
        <v>1270</v>
      </c>
      <c r="D163" s="240">
        <f t="shared" si="16"/>
        <v>4561.67</v>
      </c>
      <c r="E163" s="106">
        <f t="shared" ref="E163:E168" si="18">C163*D163</f>
        <v>5793320.9000000004</v>
      </c>
      <c r="G163" s="3"/>
      <c r="H163" s="3"/>
      <c r="I163" s="3"/>
      <c r="J163" s="3"/>
      <c r="K163" s="3"/>
      <c r="L163" s="3"/>
    </row>
    <row r="164" spans="1:12">
      <c r="A164" s="3"/>
      <c r="B164" s="94">
        <f t="shared" si="17"/>
        <v>2017</v>
      </c>
      <c r="C164" s="106">
        <f t="shared" si="15"/>
        <v>1305</v>
      </c>
      <c r="D164" s="240">
        <f t="shared" si="16"/>
        <v>4813.6099999999997</v>
      </c>
      <c r="E164" s="106">
        <f t="shared" si="18"/>
        <v>6281761.0499999998</v>
      </c>
      <c r="G164" s="3"/>
      <c r="H164" s="3"/>
      <c r="I164" s="3"/>
      <c r="J164" s="3"/>
      <c r="K164" s="3"/>
      <c r="L164" s="3"/>
    </row>
    <row r="165" spans="1:12">
      <c r="A165" s="3"/>
      <c r="B165" s="94">
        <f t="shared" si="17"/>
        <v>2018</v>
      </c>
      <c r="C165" s="106">
        <f t="shared" si="15"/>
        <v>1349</v>
      </c>
      <c r="D165" s="240">
        <f t="shared" si="16"/>
        <v>5066.25</v>
      </c>
      <c r="E165" s="106">
        <f t="shared" si="18"/>
        <v>6834371.25</v>
      </c>
      <c r="G165" s="3"/>
      <c r="H165" s="3"/>
      <c r="I165" s="3"/>
      <c r="J165" s="3"/>
      <c r="K165" s="3"/>
      <c r="L165" s="3"/>
    </row>
    <row r="166" spans="1:12">
      <c r="A166" s="3"/>
      <c r="B166" s="94">
        <f t="shared" si="17"/>
        <v>2019</v>
      </c>
      <c r="C166" s="106">
        <f t="shared" si="15"/>
        <v>1381</v>
      </c>
      <c r="D166" s="240">
        <f t="shared" si="16"/>
        <v>5441.62</v>
      </c>
      <c r="E166" s="106">
        <f t="shared" si="18"/>
        <v>7514877.2199999997</v>
      </c>
      <c r="G166" s="3"/>
      <c r="H166" s="3"/>
      <c r="I166" s="3"/>
      <c r="J166" s="3"/>
      <c r="K166" s="3"/>
      <c r="L166" s="3"/>
    </row>
    <row r="167" spans="1:12">
      <c r="A167" s="3"/>
      <c r="B167" s="94">
        <f t="shared" si="17"/>
        <v>2020</v>
      </c>
      <c r="C167" s="106">
        <f t="shared" si="15"/>
        <v>1447</v>
      </c>
      <c r="D167" s="240">
        <f t="shared" si="16"/>
        <v>5802.31</v>
      </c>
      <c r="E167" s="106">
        <f t="shared" si="18"/>
        <v>8395942.5700000003</v>
      </c>
      <c r="G167" s="3"/>
      <c r="H167" s="3"/>
      <c r="I167" s="3"/>
      <c r="J167" s="3"/>
      <c r="K167" s="3"/>
      <c r="L167" s="3"/>
    </row>
    <row r="168" spans="1:12">
      <c r="A168" s="3"/>
      <c r="B168" s="94">
        <f t="shared" si="17"/>
        <v>2021</v>
      </c>
      <c r="C168" s="106">
        <f t="shared" si="15"/>
        <v>1480</v>
      </c>
      <c r="D168" s="240">
        <f t="shared" si="16"/>
        <v>5990.39</v>
      </c>
      <c r="E168" s="106">
        <f t="shared" si="18"/>
        <v>8865777.2000000011</v>
      </c>
      <c r="G168" s="3"/>
      <c r="H168" s="3"/>
      <c r="I168" s="3"/>
      <c r="J168" s="3"/>
      <c r="K168" s="3"/>
      <c r="L168" s="3"/>
    </row>
    <row r="170" spans="1:12">
      <c r="A170" s="17" t="s">
        <v>545</v>
      </c>
      <c r="B170" s="831" t="s">
        <v>1361</v>
      </c>
      <c r="C170" s="831"/>
      <c r="D170" s="831"/>
      <c r="E170" s="831"/>
      <c r="F170" s="831"/>
      <c r="G170" s="831"/>
      <c r="H170" s="831"/>
      <c r="I170" s="831"/>
      <c r="J170" s="831"/>
      <c r="K170" s="831"/>
      <c r="L170" s="1"/>
    </row>
    <row r="171" spans="1:12">
      <c r="A171" s="17"/>
      <c r="B171" s="831"/>
      <c r="C171" s="831"/>
      <c r="D171" s="831"/>
      <c r="E171" s="831"/>
      <c r="F171" s="831"/>
      <c r="G171" s="831"/>
      <c r="H171" s="831"/>
      <c r="I171" s="831"/>
      <c r="J171" s="831"/>
      <c r="K171" s="831"/>
      <c r="L171" s="1"/>
    </row>
    <row r="172" spans="1:12">
      <c r="A172" s="14"/>
      <c r="B172" s="14"/>
      <c r="C172" s="14"/>
      <c r="D172" s="14"/>
      <c r="E172" s="14"/>
      <c r="F172" s="14"/>
      <c r="G172" s="1"/>
      <c r="H172" s="1"/>
      <c r="I172" s="1"/>
      <c r="J172" s="1"/>
      <c r="K172" s="1"/>
      <c r="L172" s="1"/>
    </row>
    <row r="173" spans="1:12">
      <c r="A173" s="3"/>
      <c r="B173" s="3"/>
      <c r="C173" s="3"/>
      <c r="D173" s="3"/>
      <c r="E173" s="3"/>
      <c r="F173" s="3"/>
      <c r="G173" s="3"/>
      <c r="H173" s="3"/>
      <c r="I173" s="3"/>
      <c r="J173" s="3"/>
      <c r="K173" s="3"/>
      <c r="L173" s="3"/>
    </row>
    <row r="174" spans="1:12">
      <c r="A174" s="3" t="s">
        <v>20</v>
      </c>
      <c r="B174" s="3"/>
      <c r="C174" s="3"/>
      <c r="D174" s="3"/>
      <c r="E174" s="3"/>
      <c r="F174" s="3"/>
      <c r="G174" s="3"/>
      <c r="H174" s="3"/>
      <c r="I174" s="3"/>
      <c r="J174" s="3"/>
      <c r="K174" s="3"/>
      <c r="L174" s="3"/>
    </row>
    <row r="175" spans="1:12">
      <c r="A175" s="3"/>
      <c r="B175" s="3" t="s">
        <v>1362</v>
      </c>
      <c r="C175" s="3"/>
      <c r="D175" s="3"/>
      <c r="E175" s="3"/>
      <c r="F175" s="95">
        <f>(1+D146)*(1+E16)-1</f>
        <v>6.8270475169487144E-2</v>
      </c>
      <c r="G175" s="3"/>
      <c r="H175" s="3"/>
      <c r="I175" s="3"/>
      <c r="J175" s="3"/>
      <c r="K175" s="3"/>
      <c r="L175" s="3"/>
    </row>
    <row r="176" spans="1:12">
      <c r="A176" s="3"/>
      <c r="B176" s="3"/>
      <c r="C176" s="3"/>
      <c r="D176" s="3"/>
      <c r="E176" s="3"/>
      <c r="F176" s="3"/>
      <c r="G176" s="3"/>
      <c r="H176" s="3"/>
      <c r="I176" s="3"/>
      <c r="J176" s="3"/>
      <c r="K176" s="3"/>
      <c r="L176" s="3"/>
    </row>
    <row r="177" spans="1:12" ht="46.8">
      <c r="A177" s="3"/>
      <c r="C177" s="93" t="s">
        <v>49</v>
      </c>
      <c r="D177" s="93" t="s">
        <v>1363</v>
      </c>
      <c r="E177" s="93" t="s">
        <v>1364</v>
      </c>
      <c r="F177" s="93" t="s">
        <v>138</v>
      </c>
      <c r="G177" s="3"/>
      <c r="H177" s="3"/>
      <c r="I177" s="3"/>
      <c r="J177" s="3"/>
      <c r="K177" s="3"/>
      <c r="L177" s="3"/>
    </row>
    <row r="178" spans="1:12">
      <c r="A178" s="3"/>
      <c r="C178" s="94">
        <f t="shared" ref="C178:C184" si="19">B162</f>
        <v>2015</v>
      </c>
      <c r="D178" s="126">
        <f t="shared" ref="D178:D182" si="20">D179*(1+$F$175)</f>
        <v>1.4862345508817836</v>
      </c>
      <c r="E178" s="269">
        <f t="shared" ref="E178:E184" si="21">D178*E162/C7</f>
        <v>711.54393110808678</v>
      </c>
      <c r="F178" s="106">
        <f t="shared" ref="F178:F184" si="22">$E$187*C7/D178</f>
        <v>5311155.3470654665</v>
      </c>
      <c r="G178" s="3"/>
      <c r="H178" s="3"/>
      <c r="I178" s="3"/>
      <c r="J178" s="3"/>
      <c r="K178" s="3"/>
      <c r="L178" s="3"/>
    </row>
    <row r="179" spans="1:12">
      <c r="A179" s="3"/>
      <c r="C179" s="94">
        <f t="shared" si="19"/>
        <v>2016</v>
      </c>
      <c r="D179" s="126">
        <f t="shared" si="20"/>
        <v>1.3912530444557911</v>
      </c>
      <c r="E179" s="269">
        <f t="shared" si="21"/>
        <v>716.44225241194351</v>
      </c>
      <c r="F179" s="106">
        <f t="shared" si="22"/>
        <v>5755607.982053346</v>
      </c>
      <c r="G179" s="3"/>
      <c r="H179" s="3"/>
      <c r="I179" s="3"/>
      <c r="J179" s="3"/>
      <c r="K179" s="3"/>
      <c r="L179" s="3"/>
    </row>
    <row r="180" spans="1:12">
      <c r="A180" s="3"/>
      <c r="C180" s="94">
        <f t="shared" si="19"/>
        <v>2017</v>
      </c>
      <c r="D180" s="126">
        <f t="shared" si="20"/>
        <v>1.3023415668537137</v>
      </c>
      <c r="E180" s="269">
        <f t="shared" si="21"/>
        <v>713.87421714289962</v>
      </c>
      <c r="F180" s="106">
        <f t="shared" si="22"/>
        <v>6263318.9339231327</v>
      </c>
      <c r="G180" s="3"/>
      <c r="H180" s="3"/>
      <c r="I180" s="3"/>
      <c r="J180" s="3"/>
      <c r="K180" s="3"/>
      <c r="L180" s="3"/>
    </row>
    <row r="181" spans="1:12">
      <c r="A181" s="3"/>
      <c r="C181" s="94">
        <f t="shared" si="19"/>
        <v>2018</v>
      </c>
      <c r="D181" s="126">
        <f t="shared" si="20"/>
        <v>1.219112197823393</v>
      </c>
      <c r="E181" s="269">
        <f t="shared" si="21"/>
        <v>707.89000470080794</v>
      </c>
      <c r="F181" s="106">
        <f t="shared" si="22"/>
        <v>6871912.1312927483</v>
      </c>
      <c r="G181" s="3"/>
      <c r="H181" s="3"/>
      <c r="I181" s="3"/>
      <c r="J181" s="3"/>
      <c r="K181" s="3"/>
      <c r="L181" s="3"/>
    </row>
    <row r="182" spans="1:12">
      <c r="A182" s="3"/>
      <c r="C182" s="94">
        <f t="shared" si="19"/>
        <v>2019</v>
      </c>
      <c r="D182" s="126">
        <f t="shared" si="20"/>
        <v>1.1412018081188418</v>
      </c>
      <c r="E182" s="269">
        <f t="shared" si="21"/>
        <v>710.52124865410883</v>
      </c>
      <c r="F182" s="106">
        <f t="shared" si="22"/>
        <v>7528173.6884006923</v>
      </c>
      <c r="G182" s="3"/>
      <c r="H182" s="3"/>
      <c r="I182" s="3"/>
      <c r="J182" s="3"/>
      <c r="K182" s="3"/>
      <c r="L182" s="3"/>
    </row>
    <row r="183" spans="1:12">
      <c r="C183" s="94">
        <f t="shared" si="19"/>
        <v>2020</v>
      </c>
      <c r="D183" s="126">
        <f>D184*(1+$F$175)</f>
        <v>1.0682704751694871</v>
      </c>
      <c r="E183" s="269">
        <f t="shared" si="21"/>
        <v>725.65837853961375</v>
      </c>
      <c r="F183" s="106">
        <f t="shared" si="22"/>
        <v>8235349.9126073485</v>
      </c>
    </row>
    <row r="184" spans="1:12">
      <c r="C184" s="107">
        <f t="shared" si="19"/>
        <v>2021</v>
      </c>
      <c r="D184" s="129">
        <v>1</v>
      </c>
      <c r="E184" s="272">
        <f t="shared" si="21"/>
        <v>710.39881410256419</v>
      </c>
      <c r="F184" s="110">
        <f t="shared" si="22"/>
        <v>8882994.5736904535</v>
      </c>
    </row>
    <row r="185" spans="1:12">
      <c r="C185" s="3" t="s">
        <v>1365</v>
      </c>
      <c r="D185" s="3"/>
      <c r="E185" s="269">
        <f>AVERAGE(E178:E183)</f>
        <v>714.32167209291003</v>
      </c>
      <c r="F185" s="106">
        <f>SUM(F178:F184)</f>
        <v>48848512.569033183</v>
      </c>
    </row>
    <row r="186" spans="1:12">
      <c r="C186" s="3" t="s">
        <v>1366</v>
      </c>
      <c r="E186" s="269">
        <f>AVERAGE(E184,E178:E182)</f>
        <v>711.77841135340179</v>
      </c>
      <c r="F186" s="3"/>
    </row>
    <row r="187" spans="1:12">
      <c r="C187" s="3" t="s">
        <v>1367</v>
      </c>
      <c r="E187" s="269">
        <f>E186</f>
        <v>711.77841135340179</v>
      </c>
      <c r="F187" s="3"/>
    </row>
    <row r="188" spans="1:12">
      <c r="B188" s="3" t="s">
        <v>1368</v>
      </c>
      <c r="C188" s="3"/>
      <c r="D188" s="3"/>
      <c r="E188" s="3"/>
      <c r="F188" s="3"/>
    </row>
    <row r="190" spans="1:12">
      <c r="A190" s="17" t="s">
        <v>798</v>
      </c>
      <c r="B190" s="1" t="s">
        <v>1369</v>
      </c>
      <c r="C190" s="1"/>
      <c r="D190" s="1"/>
      <c r="E190" s="1"/>
      <c r="F190" s="1"/>
      <c r="G190" s="1"/>
      <c r="H190" s="1"/>
      <c r="I190" s="1"/>
      <c r="J190" s="1"/>
      <c r="K190" s="1"/>
      <c r="L190" s="1"/>
    </row>
    <row r="191" spans="1:12">
      <c r="A191" s="14"/>
      <c r="B191" s="14"/>
      <c r="C191" s="14"/>
      <c r="D191" s="14"/>
      <c r="E191" s="14"/>
      <c r="F191" s="14"/>
      <c r="G191" s="1"/>
      <c r="H191" s="1"/>
      <c r="I191" s="1"/>
      <c r="J191" s="1"/>
      <c r="K191" s="1"/>
      <c r="L191" s="1"/>
    </row>
    <row r="192" spans="1:12">
      <c r="A192" s="3"/>
      <c r="B192" s="3"/>
      <c r="C192" s="3"/>
      <c r="D192" s="3"/>
      <c r="E192" s="3"/>
      <c r="F192" s="3"/>
      <c r="G192" s="3"/>
      <c r="H192" s="3"/>
      <c r="I192" s="3"/>
      <c r="J192" s="3"/>
      <c r="K192" s="3"/>
      <c r="L192" s="3"/>
    </row>
    <row r="193" spans="1:12">
      <c r="A193" s="3" t="s">
        <v>20</v>
      </c>
      <c r="B193" s="3"/>
      <c r="C193" s="3"/>
      <c r="D193" s="3"/>
      <c r="E193" s="3"/>
      <c r="F193" s="3"/>
      <c r="G193" s="3"/>
      <c r="H193" s="3"/>
      <c r="I193" s="3"/>
      <c r="J193" s="3"/>
      <c r="K193" s="3"/>
      <c r="L193" s="3"/>
    </row>
    <row r="194" spans="1:12" ht="46.8">
      <c r="A194" s="3"/>
      <c r="B194" s="93" t="s">
        <v>49</v>
      </c>
      <c r="C194" s="93" t="s">
        <v>59</v>
      </c>
      <c r="D194" s="93" t="s">
        <v>131</v>
      </c>
      <c r="E194" s="93" t="s">
        <v>1370</v>
      </c>
      <c r="F194" s="93" t="s">
        <v>138</v>
      </c>
      <c r="G194" s="93" t="s">
        <v>1371</v>
      </c>
      <c r="H194" s="3"/>
      <c r="I194" s="3"/>
      <c r="J194" s="3"/>
      <c r="K194" s="3"/>
      <c r="L194" s="3"/>
    </row>
    <row r="195" spans="1:12">
      <c r="A195" s="3"/>
      <c r="B195" s="94">
        <f>C178</f>
        <v>2015</v>
      </c>
      <c r="C195" s="106">
        <f>I55</f>
        <v>5274875</v>
      </c>
      <c r="D195" s="106">
        <f>E162</f>
        <v>5309405.7</v>
      </c>
      <c r="E195" s="126">
        <f>D195/C195</f>
        <v>1.0065462593900329</v>
      </c>
      <c r="F195" s="106">
        <f>F178</f>
        <v>5311155.3470654665</v>
      </c>
      <c r="G195" s="106">
        <f>C195+F195*(1-1/E195)</f>
        <v>5309417.0791526465</v>
      </c>
      <c r="H195" s="3"/>
      <c r="I195" s="3"/>
      <c r="J195" s="3"/>
      <c r="K195" s="3"/>
      <c r="L195" s="3"/>
    </row>
    <row r="196" spans="1:12">
      <c r="B196" s="94">
        <f t="shared" ref="B196:B201" si="23">C179</f>
        <v>2016</v>
      </c>
      <c r="C196" s="106">
        <f>H56</f>
        <v>5763708</v>
      </c>
      <c r="D196" s="106">
        <f t="shared" ref="D196:D201" si="24">E163</f>
        <v>5793320.9000000004</v>
      </c>
      <c r="E196" s="126">
        <f t="shared" ref="E196:E201" si="25">D196/C196</f>
        <v>1.0051378209999535</v>
      </c>
      <c r="F196" s="106">
        <f t="shared" ref="F196:F201" si="26">F179</f>
        <v>5755607.982053346</v>
      </c>
      <c r="G196" s="106">
        <f t="shared" ref="G196:G201" si="27">C196+F196*(1-1/E196)</f>
        <v>5793128.1282051802</v>
      </c>
    </row>
    <row r="197" spans="1:12">
      <c r="B197" s="94">
        <f t="shared" si="23"/>
        <v>2017</v>
      </c>
      <c r="C197" s="106">
        <f>G57</f>
        <v>5759272</v>
      </c>
      <c r="D197" s="106">
        <f t="shared" si="24"/>
        <v>6281761.0499999998</v>
      </c>
      <c r="E197" s="126">
        <f t="shared" si="25"/>
        <v>1.0907213706871284</v>
      </c>
      <c r="F197" s="106">
        <f t="shared" si="26"/>
        <v>6263318.9339231327</v>
      </c>
      <c r="G197" s="106">
        <f t="shared" si="27"/>
        <v>6280227.1165007306</v>
      </c>
    </row>
    <row r="198" spans="1:12">
      <c r="B198" s="94">
        <f t="shared" si="23"/>
        <v>2018</v>
      </c>
      <c r="C198" s="106">
        <f>F58</f>
        <v>5558325</v>
      </c>
      <c r="D198" s="106">
        <f t="shared" si="24"/>
        <v>6834371.25</v>
      </c>
      <c r="E198" s="126">
        <f t="shared" si="25"/>
        <v>1.2295738824196139</v>
      </c>
      <c r="F198" s="106">
        <f t="shared" si="26"/>
        <v>6871912.1312927483</v>
      </c>
      <c r="G198" s="106">
        <f t="shared" si="27"/>
        <v>6841380.5123070935</v>
      </c>
    </row>
    <row r="199" spans="1:12">
      <c r="B199" s="94">
        <f t="shared" si="23"/>
        <v>2019</v>
      </c>
      <c r="C199" s="106">
        <f>E59</f>
        <v>5107412</v>
      </c>
      <c r="D199" s="106">
        <f t="shared" si="24"/>
        <v>7514877.2199999997</v>
      </c>
      <c r="E199" s="126">
        <f t="shared" si="25"/>
        <v>1.4713669506200009</v>
      </c>
      <c r="F199" s="106">
        <f t="shared" si="26"/>
        <v>7528173.6884006923</v>
      </c>
      <c r="G199" s="106">
        <f t="shared" si="27"/>
        <v>7519136.8751196209</v>
      </c>
    </row>
    <row r="200" spans="1:12">
      <c r="B200" s="94">
        <f t="shared" si="23"/>
        <v>2020</v>
      </c>
      <c r="C200" s="106">
        <f>D60</f>
        <v>4364690</v>
      </c>
      <c r="D200" s="106">
        <f t="shared" si="24"/>
        <v>8395942.5700000003</v>
      </c>
      <c r="E200" s="126">
        <f t="shared" si="25"/>
        <v>1.9236057016649522</v>
      </c>
      <c r="F200" s="106">
        <f t="shared" si="26"/>
        <v>8235349.9126073485</v>
      </c>
      <c r="G200" s="106">
        <f t="shared" si="27"/>
        <v>8318835.138947472</v>
      </c>
    </row>
    <row r="201" spans="1:12">
      <c r="B201" s="107">
        <f t="shared" si="23"/>
        <v>2021</v>
      </c>
      <c r="C201" s="110">
        <f>C61</f>
        <v>3175077</v>
      </c>
      <c r="D201" s="110">
        <f t="shared" si="24"/>
        <v>8865777.2000000011</v>
      </c>
      <c r="E201" s="129">
        <f t="shared" si="25"/>
        <v>2.7923030528078536</v>
      </c>
      <c r="F201" s="110">
        <f t="shared" si="26"/>
        <v>8882994.5736904535</v>
      </c>
      <c r="G201" s="110">
        <f t="shared" si="27"/>
        <v>8876828.5618483163</v>
      </c>
    </row>
    <row r="202" spans="1:12">
      <c r="B202" s="3"/>
      <c r="C202" s="3"/>
      <c r="D202" s="3"/>
      <c r="E202" s="3"/>
      <c r="F202" s="3"/>
      <c r="G202" s="106">
        <f>SUM(G195:G201)</f>
        <v>48938953.412081063</v>
      </c>
    </row>
    <row r="204" spans="1:12">
      <c r="A204" s="14"/>
      <c r="B204" s="14"/>
      <c r="C204" s="14"/>
      <c r="D204" s="14"/>
      <c r="E204" s="14"/>
      <c r="F204" s="14"/>
      <c r="G204" s="1"/>
      <c r="H204" s="1"/>
      <c r="I204" s="1"/>
      <c r="J204" s="1"/>
      <c r="K204" s="1"/>
      <c r="L204" s="1"/>
    </row>
    <row r="205" spans="1:12">
      <c r="A205" s="260" t="s">
        <v>1372</v>
      </c>
      <c r="B205" s="14"/>
      <c r="C205" s="14"/>
      <c r="D205" s="14"/>
      <c r="E205" s="14"/>
      <c r="F205" s="14"/>
      <c r="G205" s="1"/>
      <c r="H205" s="1"/>
      <c r="I205" s="1"/>
      <c r="J205" s="1"/>
      <c r="K205" s="1"/>
      <c r="L205" s="1"/>
    </row>
    <row r="206" spans="1:12">
      <c r="A206" s="14"/>
      <c r="B206" s="14"/>
      <c r="C206" s="14"/>
      <c r="D206" s="14"/>
      <c r="E206" s="14"/>
      <c r="F206" s="14"/>
      <c r="G206" s="1"/>
      <c r="H206" s="1"/>
      <c r="I206" s="1"/>
      <c r="J206" s="1"/>
      <c r="K206" s="1"/>
      <c r="L206" s="1"/>
    </row>
    <row r="208" spans="1:12">
      <c r="A208" s="17" t="s">
        <v>801</v>
      </c>
      <c r="B208" s="1" t="s">
        <v>1373</v>
      </c>
      <c r="C208" s="1"/>
      <c r="D208" s="1"/>
      <c r="E208" s="1"/>
      <c r="F208" s="1"/>
      <c r="G208" s="1"/>
      <c r="H208" s="1"/>
      <c r="I208" s="1"/>
      <c r="J208" s="1"/>
      <c r="K208" s="1"/>
      <c r="L208" s="1"/>
    </row>
    <row r="209" spans="1:12">
      <c r="A209" s="14"/>
      <c r="B209" s="14"/>
      <c r="C209" s="14"/>
      <c r="D209" s="14"/>
      <c r="E209" s="14"/>
      <c r="F209" s="14"/>
      <c r="G209" s="1"/>
      <c r="H209" s="1"/>
      <c r="I209" s="1"/>
      <c r="J209" s="1"/>
      <c r="K209" s="1"/>
      <c r="L209" s="1"/>
    </row>
    <row r="210" spans="1:12">
      <c r="A210" s="3"/>
      <c r="B210" s="3"/>
      <c r="C210" s="3"/>
      <c r="D210" s="3"/>
      <c r="E210" s="3"/>
      <c r="F210" s="3"/>
      <c r="G210" s="3"/>
      <c r="H210" s="3"/>
      <c r="I210" s="3"/>
      <c r="J210" s="3"/>
      <c r="K210" s="3"/>
      <c r="L210" s="3"/>
    </row>
    <row r="211" spans="1:12">
      <c r="A211" s="3" t="s">
        <v>20</v>
      </c>
      <c r="B211" s="3"/>
      <c r="C211" s="3"/>
      <c r="D211" s="3"/>
      <c r="E211" s="3"/>
      <c r="F211" s="3"/>
      <c r="G211" s="3"/>
      <c r="H211" s="3"/>
      <c r="I211" s="3"/>
      <c r="J211" s="3"/>
      <c r="K211" s="3"/>
      <c r="L211" s="3"/>
    </row>
    <row r="212" spans="1:12">
      <c r="A212" s="3"/>
      <c r="B212" s="3" t="s">
        <v>1374</v>
      </c>
      <c r="C212" s="3"/>
      <c r="D212" s="3"/>
      <c r="E212" s="3"/>
      <c r="F212" s="12">
        <f>AVERAGE(E168,F184,G201)</f>
        <v>8875200.111846257</v>
      </c>
      <c r="G212" s="3"/>
      <c r="H212" s="3"/>
      <c r="I212" s="3"/>
      <c r="J212" s="3"/>
      <c r="K212" s="3"/>
      <c r="L212" s="3"/>
    </row>
    <row r="213" spans="1:12">
      <c r="A213" s="3"/>
      <c r="B213" s="3" t="s">
        <v>496</v>
      </c>
      <c r="C213" s="3" t="s">
        <v>1375</v>
      </c>
      <c r="D213" s="3"/>
      <c r="E213" s="3"/>
      <c r="F213" s="3"/>
      <c r="G213" s="3"/>
      <c r="H213" s="3"/>
      <c r="I213" s="3"/>
      <c r="J213" s="3"/>
      <c r="K213" s="3"/>
      <c r="L213" s="3"/>
    </row>
    <row r="214" spans="1:12">
      <c r="C214" s="2" t="s">
        <v>1376</v>
      </c>
    </row>
    <row r="215" spans="1:12">
      <c r="C215" s="2" t="s">
        <v>1377</v>
      </c>
    </row>
  </sheetData>
  <mergeCells count="17">
    <mergeCell ref="B5:B6"/>
    <mergeCell ref="C5:C6"/>
    <mergeCell ref="D5:F5"/>
    <mergeCell ref="A50:K51"/>
    <mergeCell ref="B53:B54"/>
    <mergeCell ref="C53:I53"/>
    <mergeCell ref="B63:B64"/>
    <mergeCell ref="C63:I63"/>
    <mergeCell ref="B73:B74"/>
    <mergeCell ref="C73:I73"/>
    <mergeCell ref="B83:B84"/>
    <mergeCell ref="C83:I83"/>
    <mergeCell ref="B98:B99"/>
    <mergeCell ref="C98:I98"/>
    <mergeCell ref="B108:B109"/>
    <mergeCell ref="C108:I108"/>
    <mergeCell ref="B170:K171"/>
  </mergeCells>
  <hyperlinks>
    <hyperlink ref="O1" location="TOC!A1" display="Table of Contents" xr:uid="{1C5FA9D2-828B-485A-9AD7-CBCCFAB9F4D8}"/>
  </hyperlinks>
  <pageMargins left="0.7" right="0.7" top="0.75" bottom="0.75" header="0.3" footer="0.3"/>
  <pageSetup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5BA9-F576-409E-8EEE-4E7F3EFA5548}">
  <dimension ref="A1:AB71"/>
  <sheetViews>
    <sheetView zoomScaleNormal="100" workbookViewId="0"/>
  </sheetViews>
  <sheetFormatPr defaultColWidth="8.88671875" defaultRowHeight="15.6"/>
  <cols>
    <col min="1" max="6" width="8.88671875" style="2" customWidth="1"/>
    <col min="7" max="7" width="8.88671875" style="2"/>
    <col min="8" max="8" width="19.44140625" style="2" customWidth="1"/>
    <col min="9" max="12" width="8.88671875" style="2"/>
    <col min="13" max="28" width="4" style="2" customWidth="1"/>
    <col min="29" max="16384" width="8.88671875" style="2"/>
  </cols>
  <sheetData>
    <row r="1" spans="1:18" ht="17.399999999999999">
      <c r="A1" s="13" t="s">
        <v>1938</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1378</v>
      </c>
      <c r="B3" s="1"/>
      <c r="C3" s="1"/>
      <c r="D3" s="1"/>
      <c r="E3" s="1"/>
      <c r="F3" s="1"/>
      <c r="G3" s="1"/>
      <c r="H3" s="1"/>
      <c r="I3" s="1"/>
      <c r="J3" s="1"/>
      <c r="K3" s="1"/>
      <c r="L3" s="14"/>
    </row>
    <row r="4" spans="1:18">
      <c r="A4" s="260"/>
      <c r="B4" s="1"/>
      <c r="C4" s="1"/>
      <c r="D4" s="1"/>
      <c r="E4" s="1"/>
      <c r="F4" s="1"/>
      <c r="G4" s="1"/>
      <c r="H4" s="1"/>
      <c r="I4" s="1"/>
      <c r="J4" s="1"/>
      <c r="K4" s="1"/>
      <c r="L4" s="1"/>
    </row>
    <row r="5" spans="1:18">
      <c r="A5" s="1"/>
      <c r="B5" s="492" t="s">
        <v>1379</v>
      </c>
      <c r="C5" s="1"/>
      <c r="D5" s="1"/>
      <c r="E5" s="1"/>
      <c r="F5" s="1"/>
      <c r="G5" s="532"/>
      <c r="H5" s="474">
        <v>44501</v>
      </c>
      <c r="I5" s="1"/>
      <c r="J5" s="1"/>
      <c r="K5" s="1"/>
      <c r="L5" s="1"/>
    </row>
    <row r="6" spans="1:18">
      <c r="A6" s="1"/>
      <c r="B6" s="492" t="s">
        <v>1380</v>
      </c>
      <c r="C6" s="1"/>
      <c r="D6" s="1"/>
      <c r="E6" s="1"/>
      <c r="F6" s="1"/>
      <c r="G6" s="532"/>
      <c r="H6" s="474">
        <v>44392</v>
      </c>
      <c r="I6" s="1"/>
      <c r="J6" s="1"/>
      <c r="K6" s="1"/>
      <c r="L6" s="1"/>
    </row>
    <row r="7" spans="1:18">
      <c r="A7" s="14"/>
      <c r="B7" s="14"/>
      <c r="C7" s="14"/>
      <c r="D7" s="14"/>
      <c r="E7" s="14"/>
      <c r="F7" s="14"/>
      <c r="G7" s="1"/>
      <c r="H7" s="1"/>
      <c r="I7" s="1"/>
      <c r="J7" s="1"/>
      <c r="K7" s="1"/>
      <c r="L7" s="1"/>
    </row>
    <row r="8" spans="1:18">
      <c r="A8" s="3"/>
      <c r="B8" s="3"/>
      <c r="C8" s="3"/>
      <c r="D8" s="3"/>
      <c r="E8" s="3"/>
      <c r="F8" s="3"/>
      <c r="G8" s="3"/>
      <c r="H8" s="3"/>
      <c r="I8" s="3"/>
      <c r="J8" s="3"/>
      <c r="K8" s="3"/>
      <c r="L8" s="3"/>
    </row>
    <row r="9" spans="1:18">
      <c r="A9" s="17" t="s">
        <v>91</v>
      </c>
      <c r="B9" s="1" t="s">
        <v>1381</v>
      </c>
      <c r="C9" s="532"/>
      <c r="D9" s="532"/>
      <c r="E9" s="532"/>
      <c r="F9" s="532"/>
      <c r="G9" s="532"/>
      <c r="H9" s="532"/>
      <c r="I9" s="532"/>
      <c r="J9" s="532"/>
      <c r="K9" s="532"/>
      <c r="L9" s="1"/>
      <c r="M9" s="9"/>
      <c r="N9" s="9"/>
      <c r="O9" s="9"/>
      <c r="P9" s="9"/>
      <c r="Q9" s="9"/>
      <c r="R9" s="9"/>
    </row>
    <row r="10" spans="1:18">
      <c r="A10" s="14"/>
      <c r="B10" s="14"/>
      <c r="C10" s="14"/>
      <c r="D10" s="14"/>
      <c r="E10" s="14"/>
      <c r="F10" s="14"/>
      <c r="G10" s="1"/>
      <c r="H10" s="1"/>
      <c r="I10" s="1"/>
      <c r="J10" s="1"/>
      <c r="K10" s="1"/>
      <c r="L10" s="1"/>
    </row>
    <row r="11" spans="1:18">
      <c r="A11" s="3"/>
      <c r="B11" s="3"/>
      <c r="C11" s="3"/>
      <c r="D11" s="3"/>
      <c r="E11" s="3"/>
      <c r="F11" s="3"/>
      <c r="G11" s="3"/>
      <c r="H11" s="3"/>
      <c r="I11" s="3"/>
      <c r="J11" s="3"/>
      <c r="K11" s="3"/>
      <c r="L11" s="3"/>
      <c r="M11" s="3"/>
    </row>
    <row r="12" spans="1:18">
      <c r="A12" s="3" t="s">
        <v>20</v>
      </c>
      <c r="B12" s="3"/>
      <c r="C12" s="3"/>
      <c r="D12" s="3"/>
      <c r="E12" s="3"/>
      <c r="F12" s="3"/>
      <c r="G12" s="3"/>
      <c r="H12" s="3"/>
      <c r="I12" s="3"/>
      <c r="J12" s="3"/>
      <c r="K12" s="3"/>
      <c r="L12" s="3"/>
      <c r="M12" s="3"/>
      <c r="N12" s="9"/>
    </row>
    <row r="13" spans="1:18">
      <c r="A13" s="3"/>
      <c r="B13" s="3"/>
      <c r="C13" s="3"/>
      <c r="D13" s="3"/>
      <c r="E13" s="3"/>
      <c r="F13" s="3"/>
      <c r="G13" s="3"/>
      <c r="H13" s="3"/>
      <c r="I13" s="3"/>
      <c r="J13" s="3"/>
      <c r="K13" s="3"/>
      <c r="L13" s="3"/>
      <c r="M13" s="3"/>
      <c r="N13" s="9"/>
    </row>
    <row r="14" spans="1:18">
      <c r="A14" s="3" t="s">
        <v>1382</v>
      </c>
      <c r="B14" s="3"/>
      <c r="C14" s="3"/>
      <c r="D14" s="3"/>
      <c r="E14" s="3"/>
      <c r="F14" s="3"/>
      <c r="G14" s="3"/>
      <c r="H14" s="3"/>
      <c r="I14" s="3"/>
      <c r="J14" s="3"/>
      <c r="K14" s="3"/>
      <c r="L14" s="3"/>
      <c r="M14" s="3"/>
      <c r="N14" s="9"/>
    </row>
    <row r="15" spans="1:18">
      <c r="M15" s="9"/>
      <c r="N15" s="9"/>
    </row>
    <row r="16" spans="1:18">
      <c r="A16" s="2" t="s">
        <v>1383</v>
      </c>
      <c r="M16" s="9"/>
      <c r="N16" s="9"/>
    </row>
    <row r="17" spans="1:28">
      <c r="A17" s="2" t="s">
        <v>1384</v>
      </c>
      <c r="M17" s="9"/>
      <c r="N17" s="9"/>
    </row>
    <row r="18" spans="1:28">
      <c r="A18" s="2" t="s">
        <v>1385</v>
      </c>
      <c r="M18" s="9"/>
      <c r="N18" s="9"/>
    </row>
    <row r="19" spans="1:28">
      <c r="M19" s="9"/>
      <c r="N19" s="9"/>
    </row>
    <row r="20" spans="1:28">
      <c r="A20" s="17" t="s">
        <v>133</v>
      </c>
      <c r="B20" s="1" t="s">
        <v>1386</v>
      </c>
      <c r="C20" s="1"/>
      <c r="D20" s="1"/>
      <c r="E20" s="1"/>
      <c r="F20" s="1"/>
      <c r="G20" s="1"/>
      <c r="H20" s="1"/>
      <c r="I20" s="1"/>
      <c r="J20" s="1"/>
      <c r="K20" s="1"/>
      <c r="L20" s="1"/>
    </row>
    <row r="21" spans="1:28">
      <c r="A21" s="14"/>
      <c r="B21" s="14"/>
      <c r="C21" s="14"/>
      <c r="D21" s="14"/>
      <c r="E21" s="14"/>
      <c r="F21" s="14"/>
      <c r="G21" s="1"/>
      <c r="H21" s="1"/>
      <c r="I21" s="1"/>
      <c r="J21" s="1"/>
      <c r="K21" s="1"/>
      <c r="L21" s="1"/>
    </row>
    <row r="22" spans="1:28">
      <c r="A22" s="3"/>
      <c r="B22" s="3"/>
      <c r="C22" s="3"/>
      <c r="D22" s="3"/>
      <c r="E22" s="3"/>
      <c r="F22" s="3"/>
      <c r="G22" s="3"/>
      <c r="H22" s="3"/>
      <c r="I22" s="3"/>
      <c r="J22" s="3"/>
      <c r="K22" s="3"/>
      <c r="L22" s="3"/>
    </row>
    <row r="23" spans="1:28" ht="16.2">
      <c r="A23" s="3" t="s">
        <v>20</v>
      </c>
      <c r="B23" s="3"/>
      <c r="C23" s="3"/>
      <c r="D23" s="3"/>
      <c r="E23" s="3"/>
      <c r="F23" s="3"/>
      <c r="G23" s="3"/>
      <c r="H23" s="3"/>
      <c r="I23" s="3"/>
      <c r="J23" s="3"/>
      <c r="K23" s="3"/>
      <c r="L23" s="3"/>
      <c r="M23" s="114" t="s">
        <v>189</v>
      </c>
      <c r="N23" s="3"/>
      <c r="O23" s="3"/>
      <c r="P23" s="3"/>
      <c r="Q23" s="3"/>
      <c r="R23" s="3"/>
      <c r="S23" s="3"/>
      <c r="T23" s="3"/>
      <c r="U23" s="3"/>
      <c r="V23" s="3"/>
      <c r="W23" s="3"/>
      <c r="X23" s="3"/>
    </row>
    <row r="24" spans="1:28">
      <c r="A24" s="3"/>
      <c r="B24" s="3"/>
      <c r="C24" s="3"/>
      <c r="D24" s="3"/>
      <c r="E24" s="3"/>
      <c r="F24" s="3"/>
      <c r="G24" s="3"/>
      <c r="H24" s="3"/>
      <c r="I24" s="3"/>
      <c r="J24" s="3"/>
      <c r="K24" s="3"/>
      <c r="L24" s="3"/>
      <c r="U24" s="18"/>
      <c r="V24" s="18"/>
      <c r="W24" s="18"/>
      <c r="X24" s="18"/>
    </row>
    <row r="25" spans="1:28">
      <c r="A25" s="3" t="s">
        <v>1387</v>
      </c>
      <c r="B25" s="3"/>
      <c r="C25" s="3"/>
      <c r="D25" s="3"/>
      <c r="E25" s="3"/>
      <c r="F25" s="3"/>
      <c r="G25" s="533">
        <f>2/6</f>
        <v>0.33333333333333331</v>
      </c>
      <c r="H25" s="3"/>
      <c r="I25" s="3"/>
      <c r="J25" s="3"/>
      <c r="K25" s="3"/>
      <c r="L25" s="3"/>
      <c r="M25" s="923">
        <v>2020</v>
      </c>
      <c r="N25" s="923"/>
      <c r="O25" s="923"/>
      <c r="P25" s="923"/>
      <c r="Q25" s="923">
        <f>M25+1</f>
        <v>2021</v>
      </c>
      <c r="R25" s="923"/>
      <c r="S25" s="923"/>
      <c r="T25" s="923"/>
      <c r="U25" s="923">
        <f>Q25+1</f>
        <v>2022</v>
      </c>
      <c r="V25" s="923"/>
      <c r="W25" s="923"/>
      <c r="X25" s="923"/>
      <c r="Y25" s="923">
        <f>U25+1</f>
        <v>2023</v>
      </c>
      <c r="Z25" s="923"/>
      <c r="AA25" s="923"/>
      <c r="AB25" s="923"/>
    </row>
    <row r="26" spans="1:28" ht="22.2" customHeight="1">
      <c r="M26" s="535"/>
      <c r="N26" s="536"/>
      <c r="O26" s="536"/>
      <c r="P26" s="537"/>
      <c r="Q26" s="535"/>
      <c r="R26" s="536"/>
      <c r="S26" s="536"/>
      <c r="T26" s="537"/>
      <c r="U26" s="535"/>
      <c r="V26" s="536"/>
      <c r="W26" s="536"/>
      <c r="X26" s="537"/>
      <c r="Y26" s="535"/>
      <c r="Z26" s="536"/>
      <c r="AA26" s="536"/>
      <c r="AB26" s="537"/>
    </row>
    <row r="27" spans="1:28" ht="22.2" customHeight="1">
      <c r="M27" s="538"/>
      <c r="N27" s="9"/>
      <c r="O27" s="9"/>
      <c r="P27" s="539"/>
      <c r="Q27" s="538"/>
      <c r="R27" s="9"/>
      <c r="S27" s="9"/>
      <c r="T27" s="539"/>
      <c r="U27" s="538"/>
      <c r="V27" s="9"/>
      <c r="W27" s="9"/>
      <c r="X27" s="539"/>
      <c r="Y27" s="538"/>
      <c r="Z27" s="9"/>
      <c r="AA27" s="9"/>
      <c r="AB27" s="539"/>
    </row>
    <row r="28" spans="1:28" ht="22.2" customHeight="1">
      <c r="M28" s="538"/>
      <c r="N28" s="9"/>
      <c r="O28" s="9"/>
      <c r="P28" s="539"/>
      <c r="Q28" s="538"/>
      <c r="R28" s="9"/>
      <c r="S28" s="9"/>
      <c r="T28" s="539"/>
      <c r="U28" s="538"/>
      <c r="V28" s="9"/>
      <c r="W28" s="9"/>
      <c r="X28" s="539"/>
      <c r="Y28" s="538"/>
      <c r="Z28" s="9"/>
      <c r="AA28" s="9"/>
      <c r="AB28" s="539"/>
    </row>
    <row r="29" spans="1:28" ht="22.2" customHeight="1">
      <c r="M29" s="540"/>
      <c r="N29" s="541"/>
      <c r="O29" s="541"/>
      <c r="P29" s="542"/>
      <c r="Q29" s="540"/>
      <c r="R29" s="541"/>
      <c r="S29" s="541"/>
      <c r="T29" s="542"/>
      <c r="U29" s="540"/>
      <c r="V29" s="541"/>
      <c r="W29" s="541"/>
      <c r="X29" s="542"/>
      <c r="Y29" s="540"/>
      <c r="Z29" s="541"/>
      <c r="AA29" s="541"/>
      <c r="AB29" s="542"/>
    </row>
    <row r="30" spans="1:28">
      <c r="T30" s="2" t="s">
        <v>1388</v>
      </c>
    </row>
    <row r="32" spans="1:28" ht="15.6" customHeight="1">
      <c r="A32" s="17" t="s">
        <v>18</v>
      </c>
      <c r="B32" s="1" t="s">
        <v>1389</v>
      </c>
      <c r="C32" s="1"/>
      <c r="D32" s="1"/>
      <c r="E32" s="1"/>
      <c r="F32" s="1"/>
      <c r="G32" s="1"/>
      <c r="H32" s="1"/>
      <c r="I32" s="1"/>
      <c r="J32" s="1"/>
      <c r="K32" s="1"/>
      <c r="L32" s="1"/>
    </row>
    <row r="33" spans="1:28">
      <c r="A33" s="14"/>
      <c r="B33" s="14"/>
      <c r="C33" s="14"/>
      <c r="D33" s="14"/>
      <c r="E33" s="14"/>
      <c r="F33" s="14"/>
      <c r="G33" s="1"/>
      <c r="H33" s="1"/>
      <c r="I33" s="1"/>
      <c r="J33" s="1"/>
      <c r="K33" s="1"/>
      <c r="L33" s="1"/>
    </row>
    <row r="34" spans="1:28">
      <c r="A34" s="3"/>
      <c r="B34" s="3"/>
      <c r="C34" s="3"/>
      <c r="D34" s="3"/>
      <c r="E34" s="3"/>
      <c r="F34" s="3"/>
      <c r="G34" s="3"/>
      <c r="H34" s="3"/>
      <c r="I34" s="3"/>
      <c r="J34" s="3"/>
      <c r="K34" s="3"/>
      <c r="L34" s="3"/>
    </row>
    <row r="35" spans="1:28" ht="16.2">
      <c r="A35" s="3" t="s">
        <v>20</v>
      </c>
      <c r="B35" s="3"/>
      <c r="C35" s="3"/>
      <c r="D35" s="3"/>
      <c r="E35" s="3"/>
      <c r="F35" s="3"/>
      <c r="G35" s="3"/>
      <c r="H35" s="3"/>
      <c r="I35" s="3"/>
      <c r="J35" s="3"/>
      <c r="K35" s="3"/>
      <c r="L35" s="3"/>
      <c r="M35" s="114" t="s">
        <v>189</v>
      </c>
      <c r="N35" s="3"/>
      <c r="O35" s="3"/>
      <c r="P35" s="3"/>
      <c r="Q35" s="3"/>
      <c r="R35" s="3"/>
      <c r="S35" s="3"/>
      <c r="T35" s="3"/>
      <c r="U35" s="3"/>
      <c r="V35" s="3"/>
      <c r="W35" s="3"/>
      <c r="X35" s="3"/>
    </row>
    <row r="36" spans="1:28">
      <c r="A36" s="3"/>
      <c r="B36" s="3"/>
      <c r="C36" s="3"/>
      <c r="D36" s="3"/>
      <c r="E36" s="3"/>
      <c r="F36" s="3"/>
      <c r="G36" s="3"/>
      <c r="H36" s="3"/>
      <c r="I36" s="3"/>
      <c r="J36" s="3"/>
      <c r="K36" s="3"/>
      <c r="L36" s="3"/>
      <c r="U36" s="18"/>
      <c r="V36" s="18"/>
      <c r="W36" s="18"/>
      <c r="X36" s="18"/>
    </row>
    <row r="37" spans="1:28">
      <c r="A37" s="3" t="s">
        <v>1390</v>
      </c>
      <c r="B37" s="3"/>
      <c r="C37" s="3"/>
      <c r="D37" s="3"/>
      <c r="E37" s="3"/>
      <c r="F37" s="3"/>
      <c r="G37" s="3"/>
      <c r="H37" s="3"/>
      <c r="I37" s="3"/>
      <c r="J37" s="3"/>
      <c r="K37" s="3"/>
      <c r="L37" s="3"/>
      <c r="M37" s="923">
        <v>2020</v>
      </c>
      <c r="N37" s="923"/>
      <c r="O37" s="923"/>
      <c r="P37" s="923"/>
      <c r="Q37" s="923">
        <f>M37+1</f>
        <v>2021</v>
      </c>
      <c r="R37" s="923"/>
      <c r="S37" s="923"/>
      <c r="T37" s="923"/>
      <c r="U37" s="923">
        <f>Q37+1</f>
        <v>2022</v>
      </c>
      <c r="V37" s="923"/>
      <c r="W37" s="923"/>
      <c r="X37" s="923"/>
      <c r="Y37" s="923">
        <f>U37+1</f>
        <v>2023</v>
      </c>
      <c r="Z37" s="923"/>
      <c r="AA37" s="923"/>
      <c r="AB37" s="923"/>
    </row>
    <row r="38" spans="1:28" ht="22.2" customHeight="1">
      <c r="A38" s="2" t="s">
        <v>1391</v>
      </c>
      <c r="I38" s="533">
        <f>18.5/24</f>
        <v>0.77083333333333337</v>
      </c>
      <c r="M38" s="535"/>
      <c r="N38" s="536"/>
      <c r="O38" s="536"/>
      <c r="P38" s="537"/>
      <c r="Q38" s="535"/>
      <c r="R38" s="536"/>
      <c r="S38" s="536"/>
      <c r="T38" s="537"/>
      <c r="U38" s="535"/>
      <c r="V38" s="536"/>
      <c r="W38" s="536"/>
      <c r="X38" s="537"/>
      <c r="Y38" s="535"/>
      <c r="Z38" s="536"/>
      <c r="AA38" s="536"/>
      <c r="AB38" s="537"/>
    </row>
    <row r="39" spans="1:28" ht="22.2" customHeight="1">
      <c r="M39" s="538"/>
      <c r="N39" s="9"/>
      <c r="O39" s="9"/>
      <c r="P39" s="539"/>
      <c r="Q39" s="538"/>
      <c r="R39" s="9"/>
      <c r="S39" s="9"/>
      <c r="T39" s="539"/>
      <c r="U39" s="538"/>
      <c r="V39" s="9"/>
      <c r="W39" s="9"/>
      <c r="X39" s="539"/>
      <c r="Y39" s="538"/>
      <c r="Z39" s="9"/>
      <c r="AA39" s="9"/>
      <c r="AB39" s="539"/>
    </row>
    <row r="40" spans="1:28" ht="22.2" customHeight="1">
      <c r="M40" s="538"/>
      <c r="N40" s="9"/>
      <c r="O40" s="9"/>
      <c r="P40" s="539"/>
      <c r="Q40" s="538"/>
      <c r="R40" s="9"/>
      <c r="S40" s="9"/>
      <c r="T40" s="539"/>
      <c r="U40" s="538"/>
      <c r="V40" s="9"/>
      <c r="W40" s="9"/>
      <c r="X40" s="539"/>
      <c r="Y40" s="538"/>
      <c r="Z40" s="9"/>
      <c r="AA40" s="9"/>
      <c r="AB40" s="539"/>
    </row>
    <row r="41" spans="1:28" ht="22.2" customHeight="1">
      <c r="M41" s="540"/>
      <c r="N41" s="541"/>
      <c r="O41" s="541"/>
      <c r="P41" s="542"/>
      <c r="Q41" s="540"/>
      <c r="R41" s="541"/>
      <c r="S41" s="541"/>
      <c r="T41" s="542"/>
      <c r="U41" s="540"/>
      <c r="V41" s="541"/>
      <c r="W41" s="541"/>
      <c r="X41" s="542"/>
      <c r="Y41" s="540"/>
      <c r="Z41" s="541"/>
      <c r="AA41" s="541"/>
      <c r="AB41" s="542"/>
    </row>
    <row r="42" spans="1:28">
      <c r="S42" s="2" t="s">
        <v>1392</v>
      </c>
    </row>
    <row r="44" spans="1:28">
      <c r="A44" s="14"/>
      <c r="B44" s="14"/>
      <c r="C44" s="14"/>
      <c r="D44" s="14"/>
      <c r="E44" s="14"/>
      <c r="F44" s="14"/>
      <c r="G44" s="1"/>
      <c r="H44" s="1"/>
      <c r="I44" s="1"/>
      <c r="J44" s="1"/>
      <c r="K44" s="1"/>
      <c r="L44" s="1"/>
    </row>
    <row r="45" spans="1:28">
      <c r="A45" s="1" t="s">
        <v>1393</v>
      </c>
      <c r="B45" s="14"/>
      <c r="C45" s="14"/>
      <c r="D45" s="14"/>
      <c r="E45" s="14"/>
      <c r="F45" s="14"/>
      <c r="G45" s="1"/>
      <c r="H45" s="1"/>
      <c r="I45" s="1"/>
      <c r="J45" s="1"/>
      <c r="K45" s="1"/>
      <c r="L45" s="1"/>
    </row>
    <row r="46" spans="1:28">
      <c r="A46" s="14"/>
      <c r="B46" s="14"/>
      <c r="C46" s="14"/>
      <c r="D46" s="14"/>
      <c r="E46" s="14"/>
      <c r="F46" s="14"/>
      <c r="G46" s="1"/>
      <c r="H46" s="1"/>
      <c r="I46" s="1"/>
      <c r="J46" s="1"/>
      <c r="K46" s="1"/>
      <c r="L46" s="1"/>
    </row>
    <row r="48" spans="1:28">
      <c r="A48" s="17" t="s">
        <v>25</v>
      </c>
      <c r="B48" s="1" t="s">
        <v>1394</v>
      </c>
      <c r="C48" s="1"/>
      <c r="D48" s="1"/>
      <c r="E48" s="1"/>
      <c r="F48" s="1"/>
      <c r="G48" s="1"/>
      <c r="H48" s="1"/>
      <c r="I48" s="1"/>
      <c r="J48" s="1"/>
      <c r="K48" s="1"/>
      <c r="L48" s="1"/>
    </row>
    <row r="49" spans="1:12">
      <c r="A49" s="14"/>
      <c r="B49" s="14"/>
      <c r="C49" s="14"/>
      <c r="D49" s="14"/>
      <c r="E49" s="14"/>
      <c r="F49" s="14"/>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t="s">
        <v>1395</v>
      </c>
      <c r="B53" s="3"/>
      <c r="C53" s="3"/>
      <c r="D53" s="3"/>
      <c r="E53" s="3"/>
      <c r="F53" s="3"/>
      <c r="G53" s="3"/>
      <c r="H53" s="3"/>
      <c r="I53" s="3"/>
      <c r="J53" s="3"/>
      <c r="K53" s="3"/>
      <c r="L53" s="3"/>
    </row>
    <row r="54" spans="1:12">
      <c r="A54" s="2" t="s">
        <v>1396</v>
      </c>
    </row>
    <row r="55" spans="1:12">
      <c r="A55" s="2" t="s">
        <v>1397</v>
      </c>
    </row>
    <row r="57" spans="1:12" ht="15.6" customHeight="1">
      <c r="A57" s="17" t="s">
        <v>147</v>
      </c>
      <c r="B57" s="831" t="s">
        <v>1398</v>
      </c>
      <c r="C57" s="831"/>
      <c r="D57" s="831"/>
      <c r="E57" s="831"/>
      <c r="F57" s="831"/>
      <c r="G57" s="831"/>
      <c r="H57" s="831"/>
      <c r="I57" s="831"/>
      <c r="J57" s="831"/>
      <c r="K57" s="831"/>
      <c r="L57" s="1"/>
    </row>
    <row r="58" spans="1:12">
      <c r="A58" s="17"/>
      <c r="B58" s="831"/>
      <c r="C58" s="831"/>
      <c r="D58" s="831"/>
      <c r="E58" s="831"/>
      <c r="F58" s="831"/>
      <c r="G58" s="831"/>
      <c r="H58" s="831"/>
      <c r="I58" s="831"/>
      <c r="J58" s="831"/>
      <c r="K58" s="831"/>
      <c r="L58" s="1"/>
    </row>
    <row r="59" spans="1:12">
      <c r="A59" s="14"/>
      <c r="B59" s="14"/>
      <c r="C59" s="14"/>
      <c r="D59" s="14"/>
      <c r="E59" s="14"/>
      <c r="F59" s="14"/>
      <c r="G59" s="1"/>
      <c r="H59" s="1"/>
      <c r="I59" s="1"/>
      <c r="J59" s="1"/>
      <c r="K59" s="1"/>
      <c r="L59" s="1"/>
    </row>
    <row r="60" spans="1:12">
      <c r="A60" s="3"/>
      <c r="B60" s="3"/>
      <c r="C60" s="3"/>
      <c r="D60" s="3"/>
      <c r="E60" s="3"/>
      <c r="F60" s="3"/>
      <c r="G60" s="3"/>
      <c r="H60" s="3"/>
      <c r="I60" s="3"/>
      <c r="J60" s="3"/>
      <c r="K60" s="3"/>
      <c r="L60" s="3"/>
    </row>
    <row r="61" spans="1:12">
      <c r="A61" s="3" t="s">
        <v>20</v>
      </c>
      <c r="B61" s="3"/>
      <c r="C61" s="3"/>
      <c r="D61" s="3"/>
      <c r="E61" s="3"/>
      <c r="F61" s="3"/>
      <c r="G61" s="3"/>
      <c r="H61" s="3"/>
      <c r="I61" s="3"/>
      <c r="J61" s="3"/>
      <c r="K61" s="3"/>
      <c r="L61" s="3"/>
    </row>
    <row r="62" spans="1:12">
      <c r="A62" s="3"/>
      <c r="B62" s="3"/>
      <c r="C62" s="3"/>
      <c r="D62" s="3"/>
      <c r="E62" s="3"/>
      <c r="F62" s="3"/>
      <c r="G62" s="3"/>
      <c r="H62" s="3"/>
      <c r="I62" s="3"/>
      <c r="J62" s="3"/>
      <c r="K62" s="3"/>
      <c r="L62" s="3"/>
    </row>
    <row r="63" spans="1:12">
      <c r="A63" s="3" t="s">
        <v>1399</v>
      </c>
      <c r="B63" s="3"/>
      <c r="C63" s="3"/>
      <c r="D63" s="3"/>
      <c r="E63" s="3"/>
      <c r="F63" s="3"/>
      <c r="G63" s="3"/>
      <c r="H63" s="3"/>
      <c r="I63" s="3"/>
      <c r="J63" s="3"/>
      <c r="K63" s="3"/>
      <c r="L63" s="3"/>
    </row>
    <row r="64" spans="1:12">
      <c r="A64" s="2" t="s">
        <v>1400</v>
      </c>
    </row>
    <row r="65" spans="1:13">
      <c r="A65" s="2" t="s">
        <v>1401</v>
      </c>
      <c r="M65" s="3"/>
    </row>
    <row r="66" spans="1:13">
      <c r="A66" s="2" t="s">
        <v>1402</v>
      </c>
    </row>
    <row r="67" spans="1:13">
      <c r="A67" s="2" t="s">
        <v>1403</v>
      </c>
    </row>
    <row r="68" spans="1:13">
      <c r="A68" s="2" t="s">
        <v>1404</v>
      </c>
    </row>
    <row r="69" spans="1:13">
      <c r="A69" s="2" t="s">
        <v>1405</v>
      </c>
    </row>
    <row r="70" spans="1:13">
      <c r="A70" s="2" t="s">
        <v>1406</v>
      </c>
    </row>
    <row r="71" spans="1:13">
      <c r="A71" s="2" t="s">
        <v>1407</v>
      </c>
    </row>
  </sheetData>
  <mergeCells count="9">
    <mergeCell ref="B57:K58"/>
    <mergeCell ref="M25:P25"/>
    <mergeCell ref="Q25:T25"/>
    <mergeCell ref="U25:X25"/>
    <mergeCell ref="Y25:AB25"/>
    <mergeCell ref="M37:P37"/>
    <mergeCell ref="Q37:T37"/>
    <mergeCell ref="U37:X37"/>
    <mergeCell ref="Y37:AB37"/>
  </mergeCells>
  <hyperlinks>
    <hyperlink ref="O1" location="TOC!A1" display="Table of Contents" xr:uid="{9ACC544C-CA98-499F-AE63-37C388B4EE02}"/>
  </hyperlinks>
  <pageMargins left="0.7" right="0.7" top="0.75" bottom="0.75" header="0.3" footer="0.3"/>
  <pageSetup orientation="portrait"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98D9-921F-4277-B6BA-B0C088F1D173}">
  <dimension ref="A1:R126"/>
  <sheetViews>
    <sheetView zoomScaleNormal="100" workbookViewId="0"/>
  </sheetViews>
  <sheetFormatPr defaultColWidth="8.88671875" defaultRowHeight="15.6"/>
  <cols>
    <col min="1" max="1" width="8.88671875" style="2" customWidth="1"/>
    <col min="2" max="2" width="15.88671875" style="2" customWidth="1"/>
    <col min="3" max="11" width="12.6640625" style="2" customWidth="1"/>
    <col min="12" max="16384" width="8.88671875" style="2"/>
  </cols>
  <sheetData>
    <row r="1" spans="1:18" ht="17.399999999999999">
      <c r="A1" s="13" t="s">
        <v>1939</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260" t="s">
        <v>1408</v>
      </c>
      <c r="B3" s="46"/>
      <c r="C3" s="1"/>
      <c r="D3" s="1"/>
      <c r="E3" s="1"/>
      <c r="F3" s="1"/>
      <c r="G3" s="1"/>
      <c r="H3" s="1"/>
      <c r="I3" s="1"/>
      <c r="J3" s="1"/>
      <c r="K3" s="1"/>
      <c r="L3" s="14"/>
    </row>
    <row r="4" spans="1:18">
      <c r="A4" s="851" t="s">
        <v>1409</v>
      </c>
      <c r="B4" s="851"/>
      <c r="C4" s="851"/>
      <c r="D4" s="851"/>
      <c r="E4" s="851"/>
      <c r="F4" s="851"/>
      <c r="G4" s="851"/>
      <c r="H4" s="851"/>
      <c r="I4" s="851"/>
      <c r="J4" s="851"/>
      <c r="K4" s="851"/>
      <c r="L4" s="1"/>
    </row>
    <row r="5" spans="1:18">
      <c r="A5" s="851"/>
      <c r="B5" s="851"/>
      <c r="C5" s="851"/>
      <c r="D5" s="851"/>
      <c r="E5" s="851"/>
      <c r="F5" s="851"/>
      <c r="G5" s="851"/>
      <c r="H5" s="851"/>
      <c r="I5" s="851"/>
      <c r="J5" s="851"/>
      <c r="K5" s="851"/>
      <c r="L5" s="1"/>
    </row>
    <row r="6" spans="1:18">
      <c r="A6" s="260"/>
      <c r="B6" s="46"/>
      <c r="C6" s="1"/>
      <c r="D6" s="1"/>
      <c r="E6" s="1"/>
      <c r="F6" s="1"/>
      <c r="G6" s="1"/>
      <c r="H6" s="1"/>
      <c r="I6" s="1"/>
      <c r="J6" s="1"/>
      <c r="K6" s="1"/>
      <c r="L6" s="1"/>
    </row>
    <row r="7" spans="1:18">
      <c r="A7" s="1"/>
      <c r="B7" s="543" t="s">
        <v>1410</v>
      </c>
      <c r="C7" s="243"/>
      <c r="D7" s="243"/>
      <c r="E7" s="156">
        <v>0.25</v>
      </c>
      <c r="F7" s="1"/>
      <c r="G7" s="1"/>
      <c r="H7" s="1"/>
      <c r="I7" s="1"/>
      <c r="J7" s="1"/>
      <c r="K7" s="1"/>
      <c r="L7" s="1"/>
    </row>
    <row r="8" spans="1:18">
      <c r="A8" s="1"/>
      <c r="B8" s="544" t="s">
        <v>1411</v>
      </c>
      <c r="C8" s="243"/>
      <c r="D8" s="243"/>
      <c r="E8" s="156">
        <v>0.55000000000000004</v>
      </c>
      <c r="F8" s="1"/>
      <c r="G8" s="1"/>
      <c r="H8" s="1"/>
      <c r="I8" s="1"/>
      <c r="J8" s="1"/>
      <c r="K8" s="1"/>
      <c r="L8" s="1"/>
    </row>
    <row r="9" spans="1:18">
      <c r="A9" s="1"/>
      <c r="B9" s="544" t="s">
        <v>551</v>
      </c>
      <c r="C9" s="243"/>
      <c r="D9" s="243"/>
      <c r="E9" s="156">
        <v>0.2</v>
      </c>
      <c r="F9" s="1"/>
      <c r="G9" s="1"/>
      <c r="H9" s="1"/>
      <c r="I9" s="1"/>
      <c r="J9" s="1"/>
      <c r="K9" s="1"/>
      <c r="L9" s="1"/>
    </row>
    <row r="10" spans="1:18">
      <c r="A10" s="260"/>
      <c r="B10" s="46"/>
      <c r="C10" s="1"/>
      <c r="D10" s="1"/>
      <c r="E10" s="1"/>
      <c r="F10" s="1"/>
      <c r="G10" s="1"/>
      <c r="H10" s="1"/>
      <c r="I10" s="1"/>
      <c r="J10" s="1"/>
      <c r="K10" s="1"/>
      <c r="L10" s="1"/>
    </row>
    <row r="11" spans="1:18">
      <c r="A11" s="260" t="s">
        <v>1412</v>
      </c>
      <c r="B11" s="46"/>
      <c r="C11" s="1"/>
      <c r="D11" s="1"/>
      <c r="E11" s="1"/>
      <c r="F11" s="1"/>
      <c r="G11" s="1"/>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91</v>
      </c>
      <c r="B14" s="1" t="s">
        <v>1413</v>
      </c>
      <c r="C14" s="1"/>
      <c r="D14" s="1"/>
      <c r="E14" s="1"/>
      <c r="F14" s="1"/>
      <c r="G14" s="1"/>
      <c r="H14" s="1"/>
      <c r="I14" s="1"/>
      <c r="J14" s="1"/>
      <c r="K14" s="1"/>
      <c r="L14" s="1"/>
      <c r="M14" s="9"/>
      <c r="N14" s="9"/>
      <c r="O14" s="9"/>
      <c r="P14" s="9"/>
      <c r="Q14" s="9"/>
      <c r="R14" s="9"/>
    </row>
    <row r="15" spans="1:18">
      <c r="A15" s="14"/>
      <c r="B15" s="14"/>
      <c r="C15" s="14"/>
      <c r="D15" s="14"/>
      <c r="E15" s="14"/>
      <c r="F15" s="14"/>
      <c r="G15" s="1"/>
      <c r="H15" s="1"/>
      <c r="I15" s="1"/>
      <c r="J15" s="1"/>
      <c r="K15" s="1"/>
      <c r="L15" s="1"/>
    </row>
    <row r="16" spans="1:18">
      <c r="A16" s="3"/>
      <c r="B16" s="3"/>
      <c r="C16" s="3"/>
      <c r="D16" s="3"/>
      <c r="E16" s="3"/>
      <c r="F16" s="3"/>
      <c r="G16" s="3"/>
      <c r="H16" s="3"/>
      <c r="I16" s="3"/>
      <c r="J16" s="3"/>
      <c r="K16" s="3"/>
      <c r="L16" s="3"/>
      <c r="M16" s="3"/>
    </row>
    <row r="17" spans="1:14">
      <c r="A17" s="3" t="s">
        <v>20</v>
      </c>
      <c r="B17" s="3"/>
      <c r="C17" s="3"/>
      <c r="D17" s="3"/>
      <c r="E17" s="3"/>
      <c r="F17" s="3"/>
      <c r="G17" s="3"/>
      <c r="H17" s="3"/>
      <c r="I17" s="3"/>
      <c r="J17" s="3"/>
      <c r="K17" s="3"/>
      <c r="L17" s="3"/>
      <c r="M17" s="3"/>
      <c r="N17" s="9"/>
    </row>
    <row r="18" spans="1:14">
      <c r="A18" s="3"/>
      <c r="B18" s="3"/>
      <c r="C18" s="3"/>
      <c r="D18" s="3"/>
      <c r="E18" s="3"/>
      <c r="F18" s="3"/>
      <c r="G18" s="3"/>
      <c r="H18" s="3"/>
      <c r="I18" s="3"/>
      <c r="J18" s="3"/>
      <c r="K18" s="3"/>
      <c r="L18" s="3"/>
      <c r="M18" s="3"/>
      <c r="N18" s="9"/>
    </row>
    <row r="19" spans="1:14">
      <c r="A19" s="3" t="s">
        <v>1414</v>
      </c>
      <c r="B19" s="3"/>
      <c r="C19" s="3"/>
      <c r="D19" s="3"/>
      <c r="E19" s="3"/>
      <c r="F19" s="3"/>
      <c r="G19" s="3"/>
      <c r="H19" s="3"/>
      <c r="I19" s="3"/>
      <c r="J19" s="3"/>
      <c r="K19" s="3"/>
      <c r="L19" s="3"/>
      <c r="M19" s="3"/>
      <c r="N19" s="9"/>
    </row>
    <row r="20" spans="1:14">
      <c r="A20" s="2" t="s">
        <v>1415</v>
      </c>
      <c r="M20" s="9"/>
      <c r="N20" s="9"/>
    </row>
    <row r="21" spans="1:14">
      <c r="M21" s="9"/>
      <c r="N21" s="9"/>
    </row>
    <row r="22" spans="1:14">
      <c r="A22" s="14"/>
      <c r="B22" s="14"/>
      <c r="C22" s="14"/>
      <c r="D22" s="14"/>
      <c r="E22" s="14"/>
      <c r="F22" s="14"/>
      <c r="G22" s="1"/>
      <c r="H22" s="1"/>
      <c r="I22" s="1"/>
      <c r="J22" s="1"/>
      <c r="K22" s="1"/>
      <c r="L22" s="1"/>
      <c r="M22" s="9"/>
      <c r="N22" s="9"/>
    </row>
    <row r="23" spans="1:14">
      <c r="A23" s="260" t="s">
        <v>12</v>
      </c>
      <c r="B23" s="46"/>
      <c r="C23" s="46"/>
      <c r="D23" s="46"/>
      <c r="E23" s="46"/>
      <c r="F23" s="46"/>
      <c r="G23" s="46"/>
      <c r="H23" s="1"/>
      <c r="I23" s="1"/>
      <c r="J23" s="1"/>
      <c r="K23" s="1"/>
      <c r="L23" s="1"/>
      <c r="M23" s="9"/>
      <c r="N23" s="9"/>
    </row>
    <row r="24" spans="1:14">
      <c r="A24" s="260"/>
      <c r="B24" s="46"/>
      <c r="C24" s="46"/>
      <c r="D24" s="46"/>
      <c r="E24" s="46"/>
      <c r="F24" s="46"/>
      <c r="G24" s="46"/>
      <c r="H24" s="1"/>
      <c r="I24" s="1"/>
      <c r="J24" s="1"/>
      <c r="K24" s="1"/>
      <c r="L24" s="1"/>
      <c r="M24" s="9"/>
      <c r="N24" s="9"/>
    </row>
    <row r="25" spans="1:14">
      <c r="A25" s="1"/>
      <c r="B25" s="829" t="s">
        <v>49</v>
      </c>
      <c r="C25" s="829" t="s">
        <v>1416</v>
      </c>
      <c r="D25" s="829"/>
      <c r="E25" s="829"/>
      <c r="F25" s="829"/>
      <c r="G25" s="829"/>
      <c r="H25" s="829"/>
      <c r="I25" s="1"/>
      <c r="J25" s="1"/>
      <c r="K25" s="1"/>
      <c r="L25" s="1"/>
      <c r="M25" s="9"/>
      <c r="N25" s="9"/>
    </row>
    <row r="26" spans="1:14">
      <c r="A26" s="1"/>
      <c r="B26" s="829"/>
      <c r="C26" s="27">
        <v>12</v>
      </c>
      <c r="D26" s="27">
        <v>24</v>
      </c>
      <c r="E26" s="27">
        <v>36</v>
      </c>
      <c r="F26" s="27">
        <v>48</v>
      </c>
      <c r="G26" s="27">
        <v>60</v>
      </c>
      <c r="H26" s="27">
        <v>72</v>
      </c>
      <c r="I26" s="1"/>
      <c r="J26" s="1"/>
      <c r="K26" s="1"/>
      <c r="L26" s="1"/>
      <c r="M26" s="9"/>
      <c r="N26" s="9"/>
    </row>
    <row r="27" spans="1:14">
      <c r="A27" s="1"/>
      <c r="B27" s="32">
        <v>2016</v>
      </c>
      <c r="C27" s="92">
        <v>1033</v>
      </c>
      <c r="D27" s="32">
        <v>28</v>
      </c>
      <c r="E27" s="32">
        <v>26</v>
      </c>
      <c r="F27" s="32">
        <v>1</v>
      </c>
      <c r="G27" s="32">
        <v>0</v>
      </c>
      <c r="H27" s="32">
        <v>0</v>
      </c>
      <c r="I27" s="1"/>
      <c r="J27" s="1"/>
      <c r="K27" s="1"/>
      <c r="L27" s="1"/>
      <c r="M27" s="9"/>
      <c r="N27" s="9"/>
    </row>
    <row r="28" spans="1:14">
      <c r="A28" s="1"/>
      <c r="B28" s="32">
        <v>2017</v>
      </c>
      <c r="C28" s="92">
        <v>1081</v>
      </c>
      <c r="D28" s="32">
        <v>32</v>
      </c>
      <c r="E28" s="32">
        <v>16</v>
      </c>
      <c r="F28" s="32">
        <v>0</v>
      </c>
      <c r="G28" s="32">
        <v>0</v>
      </c>
      <c r="H28" s="439"/>
      <c r="I28" s="1"/>
      <c r="J28" s="1"/>
      <c r="K28" s="1"/>
      <c r="L28" s="1"/>
      <c r="M28" s="9"/>
      <c r="N28" s="9"/>
    </row>
    <row r="29" spans="1:14">
      <c r="A29" s="1"/>
      <c r="B29" s="32">
        <v>2018</v>
      </c>
      <c r="C29" s="92">
        <v>1122</v>
      </c>
      <c r="D29" s="32">
        <v>59</v>
      </c>
      <c r="E29" s="32">
        <v>8</v>
      </c>
      <c r="F29" s="32">
        <v>0</v>
      </c>
      <c r="G29" s="439"/>
      <c r="H29" s="439"/>
      <c r="I29" s="1"/>
      <c r="J29" s="1"/>
      <c r="K29" s="1"/>
      <c r="L29" s="1"/>
      <c r="M29" s="9"/>
      <c r="N29" s="9"/>
    </row>
    <row r="30" spans="1:14">
      <c r="A30" s="1"/>
      <c r="B30" s="32">
        <v>2019</v>
      </c>
      <c r="C30" s="32">
        <v>828</v>
      </c>
      <c r="D30" s="32">
        <v>41</v>
      </c>
      <c r="E30" s="32">
        <v>25</v>
      </c>
      <c r="F30" s="439"/>
      <c r="G30" s="439"/>
      <c r="H30" s="439"/>
      <c r="I30" s="1"/>
      <c r="J30" s="1"/>
      <c r="K30" s="1"/>
      <c r="L30" s="1"/>
      <c r="M30" s="9"/>
      <c r="N30" s="9"/>
    </row>
    <row r="31" spans="1:14">
      <c r="A31" s="1"/>
      <c r="B31" s="32">
        <v>2020</v>
      </c>
      <c r="C31" s="32">
        <v>799</v>
      </c>
      <c r="D31" s="32">
        <v>34</v>
      </c>
      <c r="E31" s="439"/>
      <c r="F31" s="439"/>
      <c r="G31" s="439"/>
      <c r="H31" s="439"/>
      <c r="I31" s="1"/>
      <c r="J31" s="1"/>
      <c r="K31" s="1"/>
      <c r="L31" s="1"/>
      <c r="M31" s="9"/>
      <c r="N31" s="9"/>
    </row>
    <row r="32" spans="1:14">
      <c r="A32" s="1"/>
      <c r="B32" s="32">
        <v>2021</v>
      </c>
      <c r="C32" s="32">
        <v>806</v>
      </c>
      <c r="D32" s="32"/>
      <c r="E32" s="32"/>
      <c r="F32" s="32"/>
      <c r="G32" s="32"/>
      <c r="H32" s="32"/>
      <c r="I32" s="1"/>
      <c r="J32" s="1"/>
      <c r="K32" s="1"/>
      <c r="L32" s="1"/>
      <c r="M32" s="9"/>
      <c r="N32" s="9"/>
    </row>
    <row r="33" spans="1:14">
      <c r="A33" s="260"/>
      <c r="B33" s="46"/>
      <c r="C33" s="46"/>
      <c r="D33" s="46"/>
      <c r="E33" s="46"/>
      <c r="F33" s="46"/>
      <c r="G33" s="46"/>
      <c r="H33" s="1"/>
      <c r="I33" s="1"/>
      <c r="J33" s="1"/>
      <c r="K33" s="1"/>
      <c r="L33" s="1"/>
      <c r="M33" s="9"/>
      <c r="N33" s="9"/>
    </row>
    <row r="34" spans="1:14">
      <c r="A34" s="1"/>
      <c r="B34" s="829" t="s">
        <v>49</v>
      </c>
      <c r="C34" s="829" t="s">
        <v>1417</v>
      </c>
      <c r="D34" s="829"/>
      <c r="E34" s="829"/>
      <c r="F34" s="829"/>
      <c r="G34" s="829"/>
      <c r="H34" s="829"/>
      <c r="I34" s="1"/>
      <c r="J34" s="1"/>
      <c r="K34" s="1"/>
      <c r="L34" s="1"/>
      <c r="M34" s="9"/>
      <c r="N34" s="9"/>
    </row>
    <row r="35" spans="1:14">
      <c r="A35" s="1"/>
      <c r="B35" s="829"/>
      <c r="C35" s="27">
        <v>12</v>
      </c>
      <c r="D35" s="27">
        <v>24</v>
      </c>
      <c r="E35" s="27">
        <v>36</v>
      </c>
      <c r="F35" s="27">
        <v>48</v>
      </c>
      <c r="G35" s="27">
        <v>60</v>
      </c>
      <c r="H35" s="27">
        <v>72</v>
      </c>
      <c r="I35" s="1"/>
      <c r="J35" s="1"/>
      <c r="K35" s="1"/>
      <c r="L35" s="1"/>
      <c r="M35" s="9"/>
      <c r="N35" s="9"/>
    </row>
    <row r="36" spans="1:14">
      <c r="A36" s="1"/>
      <c r="B36" s="32">
        <v>2016</v>
      </c>
      <c r="C36" s="32">
        <v>636</v>
      </c>
      <c r="D36" s="32">
        <v>210</v>
      </c>
      <c r="E36" s="32">
        <v>87</v>
      </c>
      <c r="F36" s="32">
        <v>21</v>
      </c>
      <c r="G36" s="32">
        <v>4</v>
      </c>
      <c r="H36" s="32">
        <v>1</v>
      </c>
      <c r="I36" s="1"/>
      <c r="J36" s="1"/>
      <c r="K36" s="1"/>
      <c r="L36" s="1"/>
      <c r="M36" s="9"/>
      <c r="N36" s="9"/>
    </row>
    <row r="37" spans="1:14">
      <c r="A37" s="1"/>
      <c r="B37" s="32">
        <v>2017</v>
      </c>
      <c r="C37" s="32">
        <v>650</v>
      </c>
      <c r="D37" s="32">
        <v>263</v>
      </c>
      <c r="E37" s="32">
        <v>64</v>
      </c>
      <c r="F37" s="32">
        <v>10</v>
      </c>
      <c r="G37" s="32">
        <v>0</v>
      </c>
      <c r="H37" s="32"/>
      <c r="I37" s="1"/>
      <c r="J37" s="1"/>
      <c r="K37" s="1"/>
      <c r="L37" s="1"/>
      <c r="M37" s="9"/>
      <c r="N37" s="9"/>
    </row>
    <row r="38" spans="1:14">
      <c r="A38" s="1"/>
      <c r="B38" s="32">
        <v>2018</v>
      </c>
      <c r="C38" s="32">
        <v>694</v>
      </c>
      <c r="D38" s="32">
        <v>274</v>
      </c>
      <c r="E38" s="32">
        <v>71</v>
      </c>
      <c r="F38" s="32">
        <v>12</v>
      </c>
      <c r="G38" s="439"/>
      <c r="H38" s="439"/>
      <c r="I38" s="1"/>
      <c r="J38" s="1"/>
      <c r="K38" s="1"/>
      <c r="L38" s="1"/>
      <c r="M38" s="9"/>
      <c r="N38" s="9"/>
    </row>
    <row r="39" spans="1:14">
      <c r="A39" s="1"/>
      <c r="B39" s="32">
        <v>2019</v>
      </c>
      <c r="C39" s="32">
        <v>521</v>
      </c>
      <c r="D39" s="32">
        <v>222</v>
      </c>
      <c r="E39" s="32">
        <v>69</v>
      </c>
      <c r="F39" s="439"/>
      <c r="G39" s="439"/>
      <c r="H39" s="439"/>
      <c r="I39" s="1"/>
      <c r="J39" s="1"/>
      <c r="K39" s="1"/>
      <c r="L39" s="1"/>
      <c r="M39" s="9"/>
      <c r="N39" s="9"/>
    </row>
    <row r="40" spans="1:14">
      <c r="A40" s="1"/>
      <c r="B40" s="32">
        <v>2020</v>
      </c>
      <c r="C40" s="32">
        <v>511</v>
      </c>
      <c r="D40" s="32">
        <v>210</v>
      </c>
      <c r="E40" s="439"/>
      <c r="F40" s="439"/>
      <c r="G40" s="439"/>
      <c r="H40" s="439"/>
      <c r="I40" s="1"/>
      <c r="J40" s="1"/>
      <c r="K40" s="1"/>
      <c r="L40" s="1"/>
      <c r="M40" s="9"/>
      <c r="N40" s="9"/>
    </row>
    <row r="41" spans="1:14">
      <c r="A41" s="1"/>
      <c r="B41" s="32">
        <v>2021</v>
      </c>
      <c r="C41" s="32">
        <v>530</v>
      </c>
      <c r="D41" s="32"/>
      <c r="E41" s="32"/>
      <c r="F41" s="32"/>
      <c r="G41" s="32"/>
      <c r="H41" s="32"/>
      <c r="I41" s="1"/>
      <c r="J41" s="1"/>
      <c r="K41" s="1"/>
      <c r="L41" s="1"/>
      <c r="M41" s="9"/>
      <c r="N41" s="9"/>
    </row>
    <row r="42" spans="1:14">
      <c r="A42" s="1"/>
      <c r="B42" s="260"/>
      <c r="C42" s="46"/>
      <c r="D42" s="46"/>
      <c r="E42" s="46"/>
      <c r="F42" s="46"/>
      <c r="G42" s="46"/>
      <c r="H42" s="46"/>
      <c r="I42" s="1"/>
      <c r="J42" s="1"/>
      <c r="K42" s="1"/>
      <c r="L42" s="1"/>
      <c r="M42" s="9"/>
      <c r="N42" s="9"/>
    </row>
    <row r="43" spans="1:14">
      <c r="A43" s="1"/>
      <c r="B43" s="5" t="s">
        <v>3</v>
      </c>
      <c r="C43" s="5" t="s">
        <v>5</v>
      </c>
      <c r="D43" s="46"/>
      <c r="E43" s="46"/>
      <c r="F43" s="46"/>
      <c r="G43" s="46"/>
      <c r="H43" s="46"/>
      <c r="I43" s="1"/>
      <c r="J43" s="1"/>
      <c r="K43" s="1"/>
      <c r="L43" s="1"/>
      <c r="M43" s="9"/>
      <c r="N43" s="9"/>
    </row>
    <row r="44" spans="1:14">
      <c r="A44" s="1"/>
      <c r="B44" s="6">
        <v>2018</v>
      </c>
      <c r="C44" s="7">
        <v>718960</v>
      </c>
      <c r="D44" s="46"/>
      <c r="E44" s="46"/>
      <c r="F44" s="46"/>
      <c r="G44" s="46"/>
      <c r="H44" s="46"/>
      <c r="I44" s="1"/>
      <c r="J44" s="1"/>
      <c r="K44" s="1"/>
      <c r="L44" s="1"/>
      <c r="M44" s="9"/>
      <c r="N44" s="9"/>
    </row>
    <row r="45" spans="1:14">
      <c r="A45" s="1"/>
      <c r="B45" s="6">
        <v>2019</v>
      </c>
      <c r="C45" s="7">
        <v>738400</v>
      </c>
      <c r="D45" s="46"/>
      <c r="E45" s="46"/>
      <c r="F45" s="46"/>
      <c r="G45" s="46"/>
      <c r="H45" s="46"/>
      <c r="I45" s="1"/>
      <c r="J45" s="1"/>
      <c r="K45" s="1"/>
      <c r="L45" s="1"/>
      <c r="M45" s="9"/>
      <c r="N45" s="9"/>
    </row>
    <row r="46" spans="1:14">
      <c r="A46" s="1"/>
      <c r="B46" s="6">
        <v>2020</v>
      </c>
      <c r="C46" s="7">
        <v>746800</v>
      </c>
      <c r="D46" s="46"/>
      <c r="E46" s="46"/>
      <c r="F46" s="46"/>
      <c r="G46" s="46"/>
      <c r="H46" s="46"/>
      <c r="I46" s="1"/>
      <c r="J46" s="1"/>
      <c r="K46" s="1"/>
      <c r="L46" s="1"/>
      <c r="M46" s="9"/>
      <c r="N46" s="9"/>
    </row>
    <row r="47" spans="1:14">
      <c r="A47" s="1"/>
      <c r="B47" s="6">
        <v>2021</v>
      </c>
      <c r="C47" s="7">
        <v>787600</v>
      </c>
      <c r="D47" s="46"/>
      <c r="E47" s="46"/>
      <c r="F47" s="46"/>
      <c r="G47" s="46"/>
      <c r="H47" s="46"/>
      <c r="I47" s="1"/>
      <c r="J47" s="1"/>
      <c r="K47" s="1"/>
      <c r="L47" s="1"/>
      <c r="M47" s="9"/>
      <c r="N47" s="9"/>
    </row>
    <row r="48" spans="1:14">
      <c r="A48" s="205"/>
      <c r="B48" s="46"/>
      <c r="C48" s="46"/>
      <c r="D48" s="46"/>
      <c r="E48" s="46"/>
      <c r="F48" s="46"/>
      <c r="G48" s="46"/>
      <c r="H48" s="1"/>
      <c r="I48" s="1"/>
      <c r="J48" s="1"/>
      <c r="K48" s="1"/>
      <c r="L48" s="1"/>
      <c r="M48" s="9"/>
      <c r="N48" s="9"/>
    </row>
    <row r="49" spans="1:17">
      <c r="A49" s="1"/>
      <c r="B49" s="492" t="s">
        <v>1418</v>
      </c>
      <c r="C49" s="46"/>
      <c r="D49" s="46"/>
      <c r="E49" s="46"/>
      <c r="F49" s="46"/>
      <c r="G49" s="46"/>
      <c r="H49" s="1"/>
      <c r="I49" s="1"/>
      <c r="J49" s="1"/>
      <c r="K49" s="1"/>
      <c r="L49" s="1"/>
      <c r="M49" s="9"/>
      <c r="N49" s="9"/>
    </row>
    <row r="50" spans="1:17">
      <c r="A50" s="14"/>
      <c r="B50" s="14"/>
      <c r="C50" s="14"/>
      <c r="D50" s="14"/>
      <c r="E50" s="14"/>
      <c r="F50" s="14"/>
      <c r="G50" s="1"/>
      <c r="H50" s="1"/>
      <c r="I50" s="1"/>
      <c r="J50" s="1"/>
      <c r="K50" s="1"/>
      <c r="L50" s="1"/>
      <c r="M50" s="9"/>
      <c r="N50" s="9"/>
    </row>
    <row r="52" spans="1:17">
      <c r="A52" s="17" t="s">
        <v>133</v>
      </c>
      <c r="B52" s="1" t="s">
        <v>1419</v>
      </c>
      <c r="C52" s="1"/>
      <c r="D52" s="1"/>
      <c r="E52" s="1"/>
      <c r="F52" s="1"/>
      <c r="G52" s="1"/>
      <c r="H52" s="1"/>
      <c r="I52" s="1"/>
      <c r="J52" s="1"/>
      <c r="K52" s="1"/>
      <c r="L52" s="1"/>
    </row>
    <row r="53" spans="1:17">
      <c r="A53" s="14"/>
      <c r="B53" s="14"/>
      <c r="C53" s="14"/>
      <c r="D53" s="14"/>
      <c r="E53" s="14"/>
      <c r="F53" s="14"/>
      <c r="G53" s="1"/>
      <c r="H53" s="1"/>
      <c r="I53" s="1"/>
      <c r="J53" s="1"/>
      <c r="K53" s="1"/>
      <c r="L53" s="1"/>
    </row>
    <row r="54" spans="1:17">
      <c r="A54" s="3"/>
      <c r="B54" s="3"/>
      <c r="C54" s="3"/>
      <c r="D54" s="3"/>
      <c r="E54" s="3"/>
      <c r="F54" s="3"/>
      <c r="G54" s="3"/>
      <c r="H54" s="3"/>
      <c r="I54" s="3"/>
      <c r="J54" s="3"/>
      <c r="K54" s="3"/>
      <c r="L54" s="3"/>
    </row>
    <row r="55" spans="1:17">
      <c r="A55" s="3" t="s">
        <v>20</v>
      </c>
      <c r="B55" s="3"/>
      <c r="C55" s="3"/>
      <c r="D55" s="3"/>
      <c r="E55" s="3"/>
      <c r="F55" s="3"/>
      <c r="G55" s="3"/>
      <c r="H55" s="3"/>
      <c r="I55" s="3"/>
      <c r="J55" s="3"/>
      <c r="K55" s="3"/>
      <c r="L55" s="3"/>
    </row>
    <row r="56" spans="1:17">
      <c r="A56" s="3"/>
      <c r="B56" s="3"/>
      <c r="C56" s="3"/>
      <c r="D56" s="3"/>
      <c r="E56" s="3"/>
      <c r="F56" s="3"/>
      <c r="G56" s="3"/>
      <c r="H56" s="3"/>
      <c r="I56" s="3"/>
      <c r="J56" s="3"/>
      <c r="K56" s="3"/>
      <c r="L56" s="3"/>
    </row>
    <row r="57" spans="1:17">
      <c r="A57" s="3"/>
      <c r="B57" s="545" t="s">
        <v>978</v>
      </c>
      <c r="C57" s="3"/>
      <c r="D57" s="3"/>
      <c r="E57" s="3"/>
      <c r="F57" s="3"/>
      <c r="G57" s="3"/>
      <c r="H57" s="3"/>
      <c r="I57" s="3"/>
      <c r="J57" s="3"/>
      <c r="K57" s="3"/>
      <c r="L57" s="3"/>
    </row>
    <row r="58" spans="1:17">
      <c r="A58" s="3"/>
      <c r="B58" s="546" t="s">
        <v>1420</v>
      </c>
      <c r="C58" s="3"/>
      <c r="D58" s="3"/>
      <c r="E58" s="3"/>
      <c r="F58" s="3"/>
      <c r="G58" s="3"/>
      <c r="H58" s="3"/>
      <c r="I58" s="3"/>
      <c r="J58" s="3"/>
      <c r="K58" s="3"/>
      <c r="L58" s="3"/>
    </row>
    <row r="59" spans="1:17">
      <c r="A59" s="3"/>
      <c r="B59" s="546"/>
      <c r="C59" s="3"/>
      <c r="D59" s="3"/>
      <c r="E59" s="3"/>
      <c r="F59" s="3"/>
      <c r="G59" s="3"/>
      <c r="H59" s="3"/>
      <c r="I59" s="3"/>
      <c r="J59" s="3"/>
      <c r="K59" s="3"/>
      <c r="L59" s="3"/>
    </row>
    <row r="60" spans="1:17" ht="16.2">
      <c r="A60" s="3"/>
      <c r="B60" s="547" t="s">
        <v>1421</v>
      </c>
      <c r="C60" s="3"/>
      <c r="D60" s="3"/>
      <c r="E60" s="3"/>
      <c r="F60" s="3"/>
      <c r="G60" s="3"/>
      <c r="H60" s="3"/>
      <c r="I60" s="3"/>
      <c r="J60" s="3"/>
      <c r="K60" s="3"/>
      <c r="L60" s="3"/>
    </row>
    <row r="61" spans="1:17">
      <c r="A61" s="3"/>
      <c r="B61" s="3"/>
      <c r="C61" s="3" t="s">
        <v>1422</v>
      </c>
      <c r="D61" s="3"/>
      <c r="F61" s="12">
        <f>C29+D28+E27</f>
        <v>1180</v>
      </c>
      <c r="G61" s="3"/>
      <c r="H61" s="3"/>
      <c r="I61" s="3"/>
      <c r="J61" s="3"/>
      <c r="K61" s="3"/>
      <c r="L61" s="3"/>
      <c r="O61" s="11"/>
    </row>
    <row r="62" spans="1:17">
      <c r="A62" s="3"/>
      <c r="B62" s="3"/>
      <c r="C62" s="3" t="s">
        <v>1423</v>
      </c>
      <c r="D62" s="3"/>
      <c r="E62" s="3"/>
      <c r="F62" s="12">
        <f>(SUM(C27:C29)+SUM(D27:D28)+E27)-(SUM(C36:C38)+SUM(D36:D37)+E36)</f>
        <v>782</v>
      </c>
      <c r="G62" s="3"/>
      <c r="H62" s="3"/>
      <c r="I62" s="3"/>
      <c r="J62" s="3"/>
      <c r="K62" s="3"/>
      <c r="L62" s="3"/>
      <c r="O62" s="11"/>
    </row>
    <row r="63" spans="1:17">
      <c r="A63" s="3"/>
      <c r="B63" s="3"/>
      <c r="C63" s="3" t="s">
        <v>1424</v>
      </c>
      <c r="D63" s="3"/>
      <c r="E63" s="3"/>
      <c r="F63" s="12">
        <f>C38+D37+E36</f>
        <v>1044</v>
      </c>
      <c r="G63" s="3"/>
      <c r="H63" s="3"/>
      <c r="I63" s="3"/>
      <c r="J63" s="3"/>
      <c r="K63" s="3"/>
      <c r="L63" s="3"/>
      <c r="O63" s="11"/>
      <c r="Q63" s="548"/>
    </row>
    <row r="64" spans="1:17">
      <c r="A64" s="3"/>
      <c r="B64" s="3"/>
      <c r="C64" s="3"/>
      <c r="D64" s="3"/>
      <c r="E64" s="3"/>
      <c r="F64" s="3"/>
      <c r="G64" s="3"/>
      <c r="H64" s="3"/>
      <c r="I64" s="3"/>
      <c r="J64" s="3"/>
      <c r="K64" s="3"/>
      <c r="L64" s="3"/>
    </row>
    <row r="65" spans="1:12" ht="16.2">
      <c r="A65" s="3"/>
      <c r="B65" s="549" t="s">
        <v>1425</v>
      </c>
      <c r="C65" s="3"/>
      <c r="D65" s="3"/>
      <c r="E65" s="3"/>
      <c r="F65" s="3"/>
      <c r="G65" s="3"/>
      <c r="H65" s="3"/>
      <c r="I65" s="3"/>
      <c r="J65" s="3"/>
      <c r="K65" s="3"/>
      <c r="L65" s="3"/>
    </row>
    <row r="66" spans="1:12">
      <c r="A66" s="3"/>
      <c r="B66" s="3"/>
      <c r="C66" s="3"/>
      <c r="D66" s="3"/>
      <c r="E66" s="3"/>
      <c r="F66" s="3"/>
      <c r="G66" s="3"/>
      <c r="H66" s="3"/>
      <c r="I66" s="3"/>
      <c r="J66" s="3"/>
      <c r="K66" s="3"/>
      <c r="L66" s="3"/>
    </row>
    <row r="67" spans="1:12">
      <c r="A67" s="3"/>
      <c r="B67" s="3" t="s">
        <v>1426</v>
      </c>
      <c r="C67" s="18"/>
      <c r="D67" s="18"/>
      <c r="E67" s="18"/>
      <c r="F67" s="18"/>
      <c r="G67" s="18"/>
      <c r="H67" s="18"/>
      <c r="I67" s="3"/>
      <c r="J67" s="18"/>
      <c r="K67" s="3"/>
      <c r="L67" s="3"/>
    </row>
    <row r="68" spans="1:12">
      <c r="A68" s="3"/>
      <c r="B68" s="35" t="s">
        <v>934</v>
      </c>
      <c r="C68" s="550">
        <f>DATE(B69,12,31)</f>
        <v>42735</v>
      </c>
      <c r="D68" s="550">
        <f>DATE(1+YEAR(C68),12,31)</f>
        <v>43100</v>
      </c>
      <c r="E68" s="550">
        <f t="shared" ref="E68:H68" si="0">DATE(1+YEAR(D68),12,31)</f>
        <v>43465</v>
      </c>
      <c r="F68" s="550">
        <f t="shared" si="0"/>
        <v>43830</v>
      </c>
      <c r="G68" s="550">
        <f t="shared" si="0"/>
        <v>44196</v>
      </c>
      <c r="H68" s="550">
        <f t="shared" si="0"/>
        <v>44561</v>
      </c>
      <c r="I68" s="3"/>
      <c r="J68" s="18"/>
      <c r="K68" s="18"/>
      <c r="L68" s="3"/>
    </row>
    <row r="69" spans="1:12">
      <c r="A69" s="3"/>
      <c r="B69" s="268">
        <v>2016</v>
      </c>
      <c r="C69" s="83">
        <f t="shared" ref="C69:H69" si="1">C27</f>
        <v>1033</v>
      </c>
      <c r="D69" s="83">
        <f t="shared" si="1"/>
        <v>28</v>
      </c>
      <c r="E69" s="83">
        <f t="shared" si="1"/>
        <v>26</v>
      </c>
      <c r="F69" s="83">
        <f t="shared" si="1"/>
        <v>1</v>
      </c>
      <c r="G69" s="83">
        <f t="shared" si="1"/>
        <v>0</v>
      </c>
      <c r="H69" s="83">
        <f t="shared" si="1"/>
        <v>0</v>
      </c>
      <c r="I69" s="3"/>
      <c r="J69" s="18"/>
      <c r="K69" s="18"/>
      <c r="L69" s="3"/>
    </row>
    <row r="70" spans="1:12">
      <c r="A70" s="3"/>
      <c r="B70" s="268">
        <v>2017</v>
      </c>
      <c r="C70" s="34"/>
      <c r="D70" s="83">
        <f>C28</f>
        <v>1081</v>
      </c>
      <c r="E70" s="83">
        <f>D28</f>
        <v>32</v>
      </c>
      <c r="F70" s="83">
        <f>E28</f>
        <v>16</v>
      </c>
      <c r="G70" s="83">
        <f>F28</f>
        <v>0</v>
      </c>
      <c r="H70" s="83">
        <f>G28</f>
        <v>0</v>
      </c>
      <c r="J70" s="18"/>
      <c r="K70" s="18"/>
      <c r="L70" s="3"/>
    </row>
    <row r="71" spans="1:12">
      <c r="A71" s="3"/>
      <c r="B71" s="268">
        <v>2018</v>
      </c>
      <c r="C71" s="34"/>
      <c r="D71" s="34"/>
      <c r="E71" s="83">
        <f>C29</f>
        <v>1122</v>
      </c>
      <c r="F71" s="83">
        <f>D29</f>
        <v>59</v>
      </c>
      <c r="G71" s="83">
        <f>E29</f>
        <v>8</v>
      </c>
      <c r="H71" s="83">
        <f>F29</f>
        <v>0</v>
      </c>
      <c r="I71" s="18"/>
      <c r="J71" s="18"/>
      <c r="K71" s="18"/>
      <c r="L71" s="3"/>
    </row>
    <row r="72" spans="1:12">
      <c r="A72" s="3"/>
      <c r="B72" s="268">
        <v>2019</v>
      </c>
      <c r="C72" s="34"/>
      <c r="D72" s="34"/>
      <c r="E72" s="34"/>
      <c r="F72" s="34">
        <f>C30</f>
        <v>828</v>
      </c>
      <c r="G72" s="34">
        <f>D30</f>
        <v>41</v>
      </c>
      <c r="H72" s="34">
        <f>E30</f>
        <v>25</v>
      </c>
      <c r="I72" s="18"/>
      <c r="J72" s="18"/>
      <c r="K72" s="18"/>
      <c r="L72" s="3"/>
    </row>
    <row r="73" spans="1:12">
      <c r="A73" s="3"/>
      <c r="B73" s="268">
        <v>2020</v>
      </c>
      <c r="C73" s="34"/>
      <c r="D73" s="34"/>
      <c r="E73" s="34"/>
      <c r="F73" s="34"/>
      <c r="G73" s="34">
        <f>C31</f>
        <v>799</v>
      </c>
      <c r="H73" s="34">
        <f>D31</f>
        <v>34</v>
      </c>
      <c r="I73" s="18"/>
      <c r="J73" s="18"/>
      <c r="K73" s="18"/>
      <c r="L73" s="3"/>
    </row>
    <row r="74" spans="1:12">
      <c r="A74" s="3"/>
      <c r="B74" s="271">
        <v>2021</v>
      </c>
      <c r="C74" s="35"/>
      <c r="D74" s="35"/>
      <c r="E74" s="35"/>
      <c r="F74" s="35"/>
      <c r="G74" s="35"/>
      <c r="H74" s="35">
        <f>C32</f>
        <v>806</v>
      </c>
      <c r="I74" s="18"/>
      <c r="J74" s="18"/>
      <c r="K74" s="18"/>
      <c r="L74" s="3"/>
    </row>
    <row r="75" spans="1:12">
      <c r="A75" s="3"/>
      <c r="B75" s="3" t="s">
        <v>1427</v>
      </c>
      <c r="C75" s="83">
        <f>SUM(C69:C74)</f>
        <v>1033</v>
      </c>
      <c r="D75" s="83">
        <f t="shared" ref="D75:H75" si="2">SUM(D69:D74)</f>
        <v>1109</v>
      </c>
      <c r="E75" s="83">
        <f t="shared" si="2"/>
        <v>1180</v>
      </c>
      <c r="F75" s="83">
        <f t="shared" si="2"/>
        <v>904</v>
      </c>
      <c r="G75" s="83">
        <f t="shared" si="2"/>
        <v>848</v>
      </c>
      <c r="H75" s="83">
        <f t="shared" si="2"/>
        <v>865</v>
      </c>
      <c r="I75" s="18"/>
      <c r="J75" s="18"/>
      <c r="K75" s="18"/>
      <c r="L75" s="3"/>
    </row>
    <row r="76" spans="1:12">
      <c r="A76" s="3"/>
      <c r="B76" s="3" t="s">
        <v>1428</v>
      </c>
      <c r="C76" s="83">
        <f>C75</f>
        <v>1033</v>
      </c>
      <c r="D76" s="83">
        <f>D75+C76</f>
        <v>2142</v>
      </c>
      <c r="E76" s="83">
        <f t="shared" ref="E76:H76" si="3">E75+D76</f>
        <v>3322</v>
      </c>
      <c r="F76" s="83">
        <f t="shared" si="3"/>
        <v>4226</v>
      </c>
      <c r="G76" s="83">
        <f t="shared" si="3"/>
        <v>5074</v>
      </c>
      <c r="H76" s="83">
        <f t="shared" si="3"/>
        <v>5939</v>
      </c>
      <c r="I76" s="18"/>
      <c r="J76" s="18"/>
      <c r="K76" s="18"/>
      <c r="L76" s="3"/>
    </row>
    <row r="77" spans="1:12">
      <c r="A77" s="3"/>
      <c r="B77" s="3"/>
      <c r="I77" s="18"/>
      <c r="J77" s="18"/>
      <c r="K77" s="18"/>
      <c r="L77" s="3"/>
    </row>
    <row r="78" spans="1:12">
      <c r="A78" s="3"/>
      <c r="B78" s="3" t="s">
        <v>551</v>
      </c>
      <c r="I78" s="18"/>
      <c r="J78" s="18"/>
      <c r="K78" s="18"/>
      <c r="L78" s="3"/>
    </row>
    <row r="79" spans="1:12">
      <c r="A79" s="3"/>
      <c r="B79" s="35" t="s">
        <v>934</v>
      </c>
      <c r="C79" s="550">
        <f>DATE(B80,12,31)</f>
        <v>42735</v>
      </c>
      <c r="D79" s="550">
        <f>DATE(1+YEAR(C79),12,31)</f>
        <v>43100</v>
      </c>
      <c r="E79" s="550">
        <f t="shared" ref="E79:H79" si="4">DATE(1+YEAR(D79),12,31)</f>
        <v>43465</v>
      </c>
      <c r="F79" s="550">
        <f t="shared" si="4"/>
        <v>43830</v>
      </c>
      <c r="G79" s="550">
        <f t="shared" si="4"/>
        <v>44196</v>
      </c>
      <c r="H79" s="550">
        <f t="shared" si="4"/>
        <v>44561</v>
      </c>
      <c r="I79" s="18"/>
      <c r="J79" s="18"/>
      <c r="K79" s="18"/>
      <c r="L79" s="3"/>
    </row>
    <row r="80" spans="1:12">
      <c r="A80" s="3"/>
      <c r="B80" s="268">
        <v>2016</v>
      </c>
      <c r="C80" s="83">
        <f t="shared" ref="C80:H80" si="5">C36</f>
        <v>636</v>
      </c>
      <c r="D80" s="83">
        <f t="shared" si="5"/>
        <v>210</v>
      </c>
      <c r="E80" s="83">
        <f t="shared" si="5"/>
        <v>87</v>
      </c>
      <c r="F80" s="83">
        <f t="shared" si="5"/>
        <v>21</v>
      </c>
      <c r="G80" s="83">
        <f t="shared" si="5"/>
        <v>4</v>
      </c>
      <c r="H80" s="83">
        <f t="shared" si="5"/>
        <v>1</v>
      </c>
      <c r="I80" s="18"/>
      <c r="J80" s="18"/>
      <c r="K80" s="18"/>
      <c r="L80" s="3"/>
    </row>
    <row r="81" spans="1:12">
      <c r="A81" s="3"/>
      <c r="B81" s="268">
        <v>2017</v>
      </c>
      <c r="C81" s="34"/>
      <c r="D81" s="83">
        <f>C37</f>
        <v>650</v>
      </c>
      <c r="E81" s="83">
        <f>D37</f>
        <v>263</v>
      </c>
      <c r="F81" s="83">
        <f>E37</f>
        <v>64</v>
      </c>
      <c r="G81" s="83">
        <f>F37</f>
        <v>10</v>
      </c>
      <c r="H81" s="83">
        <f>G37</f>
        <v>0</v>
      </c>
      <c r="I81" s="18"/>
      <c r="J81" s="18"/>
      <c r="K81" s="18"/>
      <c r="L81" s="3"/>
    </row>
    <row r="82" spans="1:12">
      <c r="A82" s="3"/>
      <c r="B82" s="268">
        <v>2018</v>
      </c>
      <c r="C82" s="34"/>
      <c r="D82" s="34"/>
      <c r="E82" s="83">
        <f>C38</f>
        <v>694</v>
      </c>
      <c r="F82" s="83">
        <f>D38</f>
        <v>274</v>
      </c>
      <c r="G82" s="83">
        <f>E38</f>
        <v>71</v>
      </c>
      <c r="H82" s="83">
        <f>F38</f>
        <v>12</v>
      </c>
      <c r="I82" s="18"/>
      <c r="J82" s="18"/>
      <c r="K82" s="18"/>
      <c r="L82" s="3"/>
    </row>
    <row r="83" spans="1:12">
      <c r="A83" s="3"/>
      <c r="B83" s="268">
        <v>2019</v>
      </c>
      <c r="C83" s="34"/>
      <c r="D83" s="34"/>
      <c r="E83" s="34"/>
      <c r="F83" s="34">
        <f>C39</f>
        <v>521</v>
      </c>
      <c r="G83" s="34">
        <f>D39</f>
        <v>222</v>
      </c>
      <c r="H83" s="34">
        <f>E39</f>
        <v>69</v>
      </c>
      <c r="I83" s="18"/>
      <c r="J83" s="18"/>
      <c r="K83" s="18"/>
      <c r="L83" s="3"/>
    </row>
    <row r="84" spans="1:12">
      <c r="A84" s="3"/>
      <c r="B84" s="268">
        <v>2020</v>
      </c>
      <c r="C84" s="34"/>
      <c r="D84" s="34"/>
      <c r="E84" s="34"/>
      <c r="F84" s="34"/>
      <c r="G84" s="34">
        <f>C40</f>
        <v>511</v>
      </c>
      <c r="H84" s="34">
        <f>D40</f>
        <v>210</v>
      </c>
      <c r="I84" s="18"/>
      <c r="J84" s="18"/>
      <c r="K84" s="18"/>
      <c r="L84" s="3"/>
    </row>
    <row r="85" spans="1:12">
      <c r="A85" s="3"/>
      <c r="B85" s="271">
        <v>2021</v>
      </c>
      <c r="C85" s="35"/>
      <c r="D85" s="35"/>
      <c r="E85" s="35"/>
      <c r="F85" s="35"/>
      <c r="G85" s="35"/>
      <c r="H85" s="35">
        <f>C41</f>
        <v>530</v>
      </c>
      <c r="I85" s="18"/>
      <c r="J85" s="18"/>
      <c r="K85" s="18"/>
      <c r="L85" s="3"/>
    </row>
    <row r="86" spans="1:12">
      <c r="A86" s="3"/>
      <c r="B86" s="3" t="s">
        <v>1427</v>
      </c>
      <c r="C86" s="83">
        <f>SUM(C80:C85)</f>
        <v>636</v>
      </c>
      <c r="D86" s="83">
        <f t="shared" ref="D86:H86" si="6">SUM(D80:D85)</f>
        <v>860</v>
      </c>
      <c r="E86" s="83">
        <f t="shared" si="6"/>
        <v>1044</v>
      </c>
      <c r="F86" s="83">
        <f t="shared" si="6"/>
        <v>880</v>
      </c>
      <c r="G86" s="83">
        <f t="shared" si="6"/>
        <v>818</v>
      </c>
      <c r="H86" s="83">
        <f t="shared" si="6"/>
        <v>822</v>
      </c>
      <c r="I86" s="18"/>
      <c r="J86" s="18"/>
      <c r="K86" s="18"/>
      <c r="L86" s="3"/>
    </row>
    <row r="87" spans="1:12">
      <c r="A87" s="3"/>
      <c r="B87" s="3" t="s">
        <v>1428</v>
      </c>
      <c r="C87" s="83">
        <f>C86</f>
        <v>636</v>
      </c>
      <c r="D87" s="83">
        <f>D86+C87</f>
        <v>1496</v>
      </c>
      <c r="E87" s="83">
        <f t="shared" ref="E87:H87" si="7">E86+D87</f>
        <v>2540</v>
      </c>
      <c r="F87" s="83">
        <f t="shared" si="7"/>
        <v>3420</v>
      </c>
      <c r="G87" s="83">
        <f t="shared" si="7"/>
        <v>4238</v>
      </c>
      <c r="H87" s="83">
        <f t="shared" si="7"/>
        <v>5060</v>
      </c>
      <c r="I87" s="18"/>
      <c r="J87" s="18"/>
      <c r="K87" s="18"/>
      <c r="L87" s="3"/>
    </row>
    <row r="88" spans="1:12">
      <c r="A88" s="3"/>
      <c r="C88" s="83"/>
      <c r="D88" s="83"/>
      <c r="E88" s="551"/>
      <c r="F88" s="551"/>
      <c r="G88" s="551"/>
      <c r="H88" s="551"/>
      <c r="I88" s="18"/>
      <c r="J88" s="18"/>
      <c r="K88" s="18"/>
      <c r="L88" s="3"/>
    </row>
    <row r="89" spans="1:12">
      <c r="A89" s="3"/>
      <c r="B89" s="2" t="s">
        <v>1429</v>
      </c>
      <c r="C89" s="34"/>
      <c r="D89" s="34"/>
      <c r="E89" s="83">
        <f>E76-E87</f>
        <v>782</v>
      </c>
      <c r="F89" s="83">
        <f>F76-F87</f>
        <v>806</v>
      </c>
      <c r="G89" s="83">
        <f>G76-G87</f>
        <v>836</v>
      </c>
      <c r="H89" s="83">
        <f>H76-H87</f>
        <v>879</v>
      </c>
      <c r="I89" s="18"/>
      <c r="J89" s="18"/>
      <c r="K89" s="18"/>
      <c r="L89" s="3"/>
    </row>
    <row r="90" spans="1:12">
      <c r="A90" s="3"/>
      <c r="B90" s="18"/>
      <c r="C90" s="552"/>
      <c r="D90" s="552"/>
      <c r="E90" s="552"/>
      <c r="F90" s="552"/>
      <c r="G90" s="552"/>
      <c r="H90" s="552"/>
      <c r="I90" s="552"/>
      <c r="J90" s="552"/>
      <c r="K90" s="552"/>
      <c r="L90" s="3"/>
    </row>
    <row r="91" spans="1:12">
      <c r="A91" s="3"/>
      <c r="D91" s="173" t="s">
        <v>304</v>
      </c>
      <c r="E91" s="173"/>
      <c r="F91" s="173"/>
      <c r="G91" s="173"/>
      <c r="H91" s="34" t="s">
        <v>1430</v>
      </c>
      <c r="I91" s="34" t="s">
        <v>263</v>
      </c>
      <c r="J91" s="34" t="s">
        <v>1431</v>
      </c>
      <c r="K91" s="34" t="s">
        <v>1430</v>
      </c>
      <c r="L91" s="3"/>
    </row>
    <row r="92" spans="1:12">
      <c r="A92" s="3"/>
      <c r="B92" s="34" t="s">
        <v>1170</v>
      </c>
      <c r="C92" s="34" t="s">
        <v>66</v>
      </c>
      <c r="D92" s="34" t="s">
        <v>1432</v>
      </c>
      <c r="E92" s="34"/>
      <c r="F92" s="34"/>
      <c r="G92" s="34" t="s">
        <v>1433</v>
      </c>
      <c r="H92" s="34" t="s">
        <v>1434</v>
      </c>
      <c r="I92" s="34" t="s">
        <v>759</v>
      </c>
      <c r="J92" s="34" t="s">
        <v>1435</v>
      </c>
      <c r="K92" s="34" t="s">
        <v>1436</v>
      </c>
      <c r="L92" s="3"/>
    </row>
    <row r="93" spans="1:12">
      <c r="A93" s="3"/>
      <c r="B93" s="35" t="s">
        <v>55</v>
      </c>
      <c r="C93" s="35" t="s">
        <v>1172</v>
      </c>
      <c r="D93" s="35" t="s">
        <v>65</v>
      </c>
      <c r="E93" s="35" t="s">
        <v>1437</v>
      </c>
      <c r="F93" s="35" t="s">
        <v>1438</v>
      </c>
      <c r="G93" s="35" t="s">
        <v>132</v>
      </c>
      <c r="H93" s="35" t="s">
        <v>1439</v>
      </c>
      <c r="I93" s="35" t="s">
        <v>1440</v>
      </c>
      <c r="J93" s="128">
        <v>0.02</v>
      </c>
      <c r="K93" s="35">
        <v>2022</v>
      </c>
      <c r="L93" s="3"/>
    </row>
    <row r="94" spans="1:12">
      <c r="A94" s="3"/>
      <c r="B94" s="34">
        <v>2018</v>
      </c>
      <c r="C94" s="83">
        <f>C44</f>
        <v>718960</v>
      </c>
      <c r="D94" s="83">
        <f>E75</f>
        <v>1180</v>
      </c>
      <c r="E94" s="83">
        <f>E89</f>
        <v>782</v>
      </c>
      <c r="F94" s="83">
        <f>E86</f>
        <v>1044</v>
      </c>
      <c r="G94" s="237">
        <f>SUMPRODUCT(D94:F94,$D$99:$F$99)</f>
        <v>933.90000000000009</v>
      </c>
      <c r="H94" s="237">
        <f>C94/G94</f>
        <v>769.84687868080084</v>
      </c>
      <c r="I94" s="34">
        <v>4</v>
      </c>
      <c r="J94" s="82">
        <f>(1+$J$93)^I94</f>
        <v>1.08243216</v>
      </c>
      <c r="K94" s="237">
        <f>H94*J94</f>
        <v>833.30701975971715</v>
      </c>
      <c r="L94" s="3"/>
    </row>
    <row r="95" spans="1:12">
      <c r="A95" s="3"/>
      <c r="B95" s="34">
        <v>2019</v>
      </c>
      <c r="C95" s="83">
        <f>C45</f>
        <v>738400</v>
      </c>
      <c r="D95" s="83">
        <f>F75</f>
        <v>904</v>
      </c>
      <c r="E95" s="83">
        <f>F89</f>
        <v>806</v>
      </c>
      <c r="F95" s="83">
        <f>F86</f>
        <v>880</v>
      </c>
      <c r="G95" s="237">
        <f>SUMPRODUCT(D95:F95,$D$99:$F$99)</f>
        <v>845.3</v>
      </c>
      <c r="H95" s="237">
        <f t="shared" ref="H95:H96" si="8">C95/G95</f>
        <v>873.53602271382942</v>
      </c>
      <c r="I95" s="34">
        <v>3</v>
      </c>
      <c r="J95" s="82">
        <f>(1+$J$93)^I95</f>
        <v>1.0612079999999999</v>
      </c>
      <c r="K95" s="237">
        <f t="shared" ref="K95:K96" si="9">H95*J95</f>
        <v>927.00341559209744</v>
      </c>
      <c r="L95" s="3"/>
    </row>
    <row r="96" spans="1:12">
      <c r="A96" s="3"/>
      <c r="B96" s="34">
        <v>2020</v>
      </c>
      <c r="C96" s="83">
        <f>C46</f>
        <v>746800</v>
      </c>
      <c r="D96" s="83">
        <f>G75</f>
        <v>848</v>
      </c>
      <c r="E96" s="83">
        <f>G89</f>
        <v>836</v>
      </c>
      <c r="F96" s="83">
        <f>G86</f>
        <v>818</v>
      </c>
      <c r="G96" s="237">
        <f>SUMPRODUCT(D96:F96,$D$99:$F$99)</f>
        <v>835.4</v>
      </c>
      <c r="H96" s="237">
        <f t="shared" si="8"/>
        <v>893.94302130715823</v>
      </c>
      <c r="I96" s="34">
        <v>2</v>
      </c>
      <c r="J96" s="82">
        <f>(1+$J$93)^I96</f>
        <v>1.0404</v>
      </c>
      <c r="K96" s="237">
        <f t="shared" si="9"/>
        <v>930.05831936796744</v>
      </c>
      <c r="L96" s="3"/>
    </row>
    <row r="97" spans="1:14">
      <c r="B97" s="34">
        <v>2021</v>
      </c>
      <c r="C97" s="83">
        <f>C47</f>
        <v>787600</v>
      </c>
      <c r="D97" s="83">
        <f>H75</f>
        <v>865</v>
      </c>
      <c r="E97" s="83">
        <f>H89</f>
        <v>879</v>
      </c>
      <c r="F97" s="83">
        <f>H86</f>
        <v>822</v>
      </c>
      <c r="G97" s="237">
        <f>SUMPRODUCT(D97:F97,$D$99:$F$99)</f>
        <v>864.1</v>
      </c>
      <c r="H97" s="237">
        <f>C97/G97</f>
        <v>911.46858002546003</v>
      </c>
      <c r="I97" s="34">
        <v>1</v>
      </c>
      <c r="J97" s="82">
        <f>(1+$J$93)^I97</f>
        <v>1.02</v>
      </c>
      <c r="K97" s="237">
        <f>H97*J97</f>
        <v>929.69795162596927</v>
      </c>
    </row>
    <row r="99" spans="1:14">
      <c r="B99" s="2" t="s">
        <v>1441</v>
      </c>
      <c r="D99" s="181">
        <f>E7</f>
        <v>0.25</v>
      </c>
      <c r="E99" s="181">
        <f>E8</f>
        <v>0.55000000000000004</v>
      </c>
      <c r="F99" s="181">
        <f>E9</f>
        <v>0.2</v>
      </c>
      <c r="M99" s="3"/>
      <c r="N99" s="3"/>
    </row>
    <row r="100" spans="1:14">
      <c r="B100" s="2" t="s">
        <v>1442</v>
      </c>
      <c r="D100" s="3"/>
      <c r="E100" s="3"/>
      <c r="F100" s="3"/>
      <c r="K100" s="240">
        <f>AVERAGE(K95:K97)</f>
        <v>928.91989552867801</v>
      </c>
      <c r="M100" s="3"/>
      <c r="N100" s="3"/>
    </row>
    <row r="101" spans="1:14">
      <c r="B101" s="2" t="s">
        <v>1443</v>
      </c>
    </row>
    <row r="103" spans="1:14">
      <c r="A103" s="14"/>
      <c r="B103" s="14"/>
      <c r="C103" s="14"/>
      <c r="D103" s="14"/>
      <c r="E103" s="14"/>
      <c r="F103" s="14"/>
      <c r="G103" s="1"/>
      <c r="H103" s="1"/>
      <c r="I103" s="1"/>
      <c r="J103" s="1"/>
      <c r="K103" s="1"/>
      <c r="L103" s="1"/>
    </row>
    <row r="104" spans="1:14">
      <c r="A104" s="260" t="s">
        <v>1444</v>
      </c>
      <c r="B104" s="46"/>
      <c r="C104" s="46"/>
      <c r="D104" s="1"/>
      <c r="E104" s="1"/>
      <c r="F104" s="1"/>
      <c r="G104" s="1"/>
      <c r="H104" s="1"/>
      <c r="I104" s="1"/>
      <c r="J104" s="1"/>
      <c r="K104" s="1"/>
      <c r="L104" s="1"/>
    </row>
    <row r="105" spans="1:14">
      <c r="A105" s="260"/>
      <c r="B105" s="46"/>
      <c r="C105" s="46"/>
      <c r="D105" s="1"/>
      <c r="E105" s="1"/>
      <c r="F105" s="1"/>
      <c r="G105" s="1"/>
      <c r="H105" s="1"/>
      <c r="I105" s="1"/>
      <c r="J105" s="1"/>
      <c r="K105" s="1"/>
      <c r="L105" s="1"/>
    </row>
    <row r="106" spans="1:14" ht="46.8">
      <c r="A106" s="1"/>
      <c r="B106" s="4" t="s">
        <v>3</v>
      </c>
      <c r="C106" s="4" t="s">
        <v>1410</v>
      </c>
      <c r="D106" s="4" t="s">
        <v>551</v>
      </c>
      <c r="E106" s="1"/>
      <c r="F106" s="1"/>
      <c r="G106" s="1"/>
      <c r="H106" s="1"/>
      <c r="I106" s="1"/>
      <c r="J106" s="1"/>
      <c r="K106" s="1"/>
      <c r="L106" s="1"/>
    </row>
    <row r="107" spans="1:14">
      <c r="A107" s="1"/>
      <c r="B107" s="6">
        <v>2022</v>
      </c>
      <c r="C107" s="6">
        <v>208</v>
      </c>
      <c r="D107" s="6">
        <v>528</v>
      </c>
      <c r="E107" s="1"/>
      <c r="F107" s="1"/>
      <c r="G107" s="1"/>
      <c r="H107" s="1"/>
      <c r="I107" s="1"/>
      <c r="J107" s="1"/>
      <c r="K107" s="1"/>
      <c r="L107" s="1"/>
    </row>
    <row r="108" spans="1:14">
      <c r="A108" s="1"/>
      <c r="B108" s="6">
        <v>2023</v>
      </c>
      <c r="C108" s="6">
        <v>69</v>
      </c>
      <c r="D108" s="6">
        <v>350</v>
      </c>
      <c r="E108" s="1"/>
      <c r="F108" s="1"/>
      <c r="G108" s="1"/>
      <c r="H108" s="1"/>
      <c r="I108" s="1"/>
      <c r="J108" s="1"/>
      <c r="K108" s="1"/>
      <c r="L108" s="1"/>
    </row>
    <row r="109" spans="1:14">
      <c r="A109" s="1"/>
      <c r="B109" s="6">
        <v>2024</v>
      </c>
      <c r="C109" s="6">
        <v>5</v>
      </c>
      <c r="D109" s="6">
        <v>150</v>
      </c>
      <c r="E109" s="1"/>
      <c r="F109" s="1"/>
      <c r="G109" s="1"/>
      <c r="H109" s="1"/>
      <c r="I109" s="1"/>
      <c r="J109" s="1"/>
      <c r="K109" s="1"/>
      <c r="L109" s="1"/>
    </row>
    <row r="110" spans="1:14">
      <c r="A110" s="1"/>
      <c r="B110" s="6">
        <v>2025</v>
      </c>
      <c r="C110" s="6">
        <v>0</v>
      </c>
      <c r="D110" s="6">
        <v>108</v>
      </c>
      <c r="E110" s="1"/>
      <c r="F110" s="1"/>
      <c r="G110" s="1"/>
      <c r="H110" s="1"/>
      <c r="I110" s="1"/>
      <c r="J110" s="1"/>
      <c r="K110" s="1"/>
      <c r="L110" s="1"/>
    </row>
    <row r="111" spans="1:14">
      <c r="A111" s="1"/>
      <c r="B111" s="6">
        <v>2026</v>
      </c>
      <c r="C111" s="6">
        <v>0</v>
      </c>
      <c r="D111" s="6">
        <v>25</v>
      </c>
      <c r="E111" s="1"/>
      <c r="F111" s="1"/>
      <c r="G111" s="1"/>
      <c r="H111" s="1"/>
      <c r="I111" s="1"/>
      <c r="J111" s="1"/>
      <c r="K111" s="1"/>
      <c r="L111" s="1"/>
    </row>
    <row r="112" spans="1:14">
      <c r="A112" s="14"/>
      <c r="B112" s="14"/>
      <c r="C112" s="14"/>
      <c r="D112" s="14"/>
      <c r="E112" s="14"/>
      <c r="F112" s="14"/>
      <c r="G112" s="1"/>
      <c r="H112" s="1"/>
      <c r="I112" s="1"/>
      <c r="J112" s="1"/>
      <c r="K112" s="1"/>
      <c r="L112" s="1"/>
    </row>
    <row r="114" spans="1:13">
      <c r="A114" s="17" t="s">
        <v>18</v>
      </c>
      <c r="B114" s="1" t="s">
        <v>1445</v>
      </c>
      <c r="C114" s="1"/>
      <c r="D114" s="1"/>
      <c r="E114" s="1"/>
      <c r="F114" s="1"/>
      <c r="G114" s="1"/>
      <c r="H114" s="1"/>
      <c r="I114" s="1"/>
      <c r="J114" s="1"/>
      <c r="K114" s="1"/>
      <c r="L114" s="1"/>
    </row>
    <row r="115" spans="1:13">
      <c r="A115" s="14"/>
      <c r="B115" s="14"/>
      <c r="C115" s="14"/>
      <c r="D115" s="14"/>
      <c r="E115" s="14"/>
      <c r="F115" s="14"/>
      <c r="G115" s="1"/>
      <c r="H115" s="1"/>
      <c r="I115" s="1"/>
      <c r="J115" s="1"/>
      <c r="K115" s="1"/>
      <c r="L115" s="1"/>
    </row>
    <row r="116" spans="1:13">
      <c r="A116" s="3"/>
      <c r="B116" s="3"/>
      <c r="C116" s="3"/>
      <c r="D116" s="3"/>
      <c r="E116" s="3"/>
      <c r="F116" s="3"/>
      <c r="G116" s="3"/>
      <c r="H116" s="3"/>
      <c r="I116" s="3"/>
      <c r="J116" s="3"/>
      <c r="K116" s="3"/>
      <c r="L116" s="3"/>
    </row>
    <row r="117" spans="1:13">
      <c r="A117" s="3" t="s">
        <v>20</v>
      </c>
      <c r="B117" s="3"/>
      <c r="C117" s="3"/>
      <c r="D117" s="3"/>
      <c r="E117" s="3"/>
      <c r="F117" s="3"/>
      <c r="G117" s="3"/>
      <c r="H117" s="3"/>
      <c r="I117" s="3"/>
      <c r="J117" s="3"/>
      <c r="K117" s="3"/>
      <c r="L117" s="3"/>
    </row>
    <row r="118" spans="1:13">
      <c r="A118" s="3"/>
      <c r="B118" s="3"/>
      <c r="C118" s="553" t="s">
        <v>304</v>
      </c>
      <c r="D118" s="553"/>
      <c r="E118" s="553"/>
      <c r="F118" s="553"/>
      <c r="G118" s="94" t="s">
        <v>263</v>
      </c>
      <c r="H118" s="94" t="s">
        <v>1446</v>
      </c>
      <c r="I118" s="94" t="s">
        <v>262</v>
      </c>
      <c r="J118" s="94" t="s">
        <v>1447</v>
      </c>
      <c r="K118" s="3"/>
      <c r="L118" s="3"/>
    </row>
    <row r="119" spans="1:13">
      <c r="B119" s="94" t="s">
        <v>1170</v>
      </c>
      <c r="C119" s="94" t="s">
        <v>1432</v>
      </c>
      <c r="D119" s="94"/>
      <c r="E119" s="94"/>
      <c r="F119" s="94" t="s">
        <v>1433</v>
      </c>
      <c r="G119" s="94" t="s">
        <v>759</v>
      </c>
      <c r="H119" s="94" t="str">
        <f>B121&amp;" at"</f>
        <v>2022 at</v>
      </c>
      <c r="I119" s="94" t="s">
        <v>175</v>
      </c>
      <c r="J119" s="94" t="s">
        <v>323</v>
      </c>
    </row>
    <row r="120" spans="1:13">
      <c r="B120" s="107" t="s">
        <v>55</v>
      </c>
      <c r="C120" s="107" t="s">
        <v>65</v>
      </c>
      <c r="D120" s="107" t="s">
        <v>1437</v>
      </c>
      <c r="E120" s="107" t="s">
        <v>1438</v>
      </c>
      <c r="F120" s="107" t="s">
        <v>132</v>
      </c>
      <c r="G120" s="107" t="s">
        <v>1440</v>
      </c>
      <c r="H120" s="128">
        <v>0.02</v>
      </c>
      <c r="I120" s="107" t="s">
        <v>1172</v>
      </c>
      <c r="J120" s="107" t="s">
        <v>1172</v>
      </c>
    </row>
    <row r="121" spans="1:13">
      <c r="B121" s="94">
        <v>2022</v>
      </c>
      <c r="C121" s="106">
        <f>C107</f>
        <v>208</v>
      </c>
      <c r="D121" s="106">
        <f>E97+C121-E121</f>
        <v>559</v>
      </c>
      <c r="E121" s="106">
        <f>D107</f>
        <v>528</v>
      </c>
      <c r="F121" s="240">
        <f>SUMPRODUCT(C121:E121,$D$99:$F$99)</f>
        <v>465.05000000000007</v>
      </c>
      <c r="G121" s="94">
        <v>0</v>
      </c>
      <c r="H121" s="105">
        <f>(1+$H$120)^G121</f>
        <v>1</v>
      </c>
      <c r="I121" s="240">
        <f>$K$100*H121</f>
        <v>928.91989552867801</v>
      </c>
      <c r="J121" s="106">
        <f>F121*I121</f>
        <v>431994.19741561176</v>
      </c>
      <c r="M121" s="3"/>
    </row>
    <row r="122" spans="1:13">
      <c r="B122" s="94">
        <v>2023</v>
      </c>
      <c r="C122" s="106">
        <f t="shared" ref="C122:C125" si="10">C108</f>
        <v>69</v>
      </c>
      <c r="D122" s="106">
        <f t="shared" ref="D122:D124" si="11">D121+C122-E122</f>
        <v>278</v>
      </c>
      <c r="E122" s="106">
        <f t="shared" ref="E122:E125" si="12">D108</f>
        <v>350</v>
      </c>
      <c r="F122" s="240">
        <f>SUMPRODUCT(C122:E122,$D$99:$F$99)</f>
        <v>240.15</v>
      </c>
      <c r="G122" s="94">
        <v>1</v>
      </c>
      <c r="H122" s="105">
        <f t="shared" ref="H122:H125" si="13">(1+$H$120)^G122</f>
        <v>1.02</v>
      </c>
      <c r="I122" s="240">
        <f t="shared" ref="I122:I125" si="14">$K$100*H122</f>
        <v>947.4982934392516</v>
      </c>
      <c r="J122" s="106">
        <f t="shared" ref="J122:J125" si="15">F122*I122</f>
        <v>227541.71516943627</v>
      </c>
      <c r="M122" s="3"/>
    </row>
    <row r="123" spans="1:13">
      <c r="B123" s="94">
        <v>2024</v>
      </c>
      <c r="C123" s="106">
        <f t="shared" si="10"/>
        <v>5</v>
      </c>
      <c r="D123" s="106">
        <f>D122+C123-E123</f>
        <v>133</v>
      </c>
      <c r="E123" s="106">
        <f t="shared" si="12"/>
        <v>150</v>
      </c>
      <c r="F123" s="240">
        <f>SUMPRODUCT(C123:E123,$D$99:$F$99)</f>
        <v>104.4</v>
      </c>
      <c r="G123" s="94">
        <v>2</v>
      </c>
      <c r="H123" s="105">
        <f t="shared" si="13"/>
        <v>1.0404</v>
      </c>
      <c r="I123" s="240">
        <f t="shared" si="14"/>
        <v>966.44825930803654</v>
      </c>
      <c r="J123" s="106">
        <f t="shared" si="15"/>
        <v>100897.19827175901</v>
      </c>
    </row>
    <row r="124" spans="1:13">
      <c r="B124" s="94">
        <v>2025</v>
      </c>
      <c r="C124" s="106">
        <f t="shared" si="10"/>
        <v>0</v>
      </c>
      <c r="D124" s="106">
        <f t="shared" si="11"/>
        <v>25</v>
      </c>
      <c r="E124" s="106">
        <f t="shared" si="12"/>
        <v>108</v>
      </c>
      <c r="F124" s="240">
        <f>SUMPRODUCT(C124:E124,$D$99:$F$99)</f>
        <v>35.35</v>
      </c>
      <c r="G124" s="94">
        <v>3</v>
      </c>
      <c r="H124" s="105">
        <f t="shared" si="13"/>
        <v>1.0612079999999999</v>
      </c>
      <c r="I124" s="240">
        <f t="shared" si="14"/>
        <v>985.7772244941973</v>
      </c>
      <c r="J124" s="106">
        <f t="shared" si="15"/>
        <v>34847.224885869873</v>
      </c>
    </row>
    <row r="125" spans="1:13">
      <c r="B125" s="107">
        <v>2026</v>
      </c>
      <c r="C125" s="110">
        <f t="shared" si="10"/>
        <v>0</v>
      </c>
      <c r="D125" s="110">
        <f>D124+C125-E125</f>
        <v>0</v>
      </c>
      <c r="E125" s="110">
        <f t="shared" si="12"/>
        <v>25</v>
      </c>
      <c r="F125" s="370">
        <f>SUMPRODUCT(C125:E125,$D$99:$F$99)</f>
        <v>5</v>
      </c>
      <c r="G125" s="107">
        <v>4</v>
      </c>
      <c r="H125" s="109">
        <f t="shared" si="13"/>
        <v>1.08243216</v>
      </c>
      <c r="I125" s="370">
        <f t="shared" si="14"/>
        <v>1005.4927689840813</v>
      </c>
      <c r="J125" s="110">
        <f t="shared" si="15"/>
        <v>5027.4638449204067</v>
      </c>
    </row>
    <row r="126" spans="1:13">
      <c r="B126" s="94" t="s">
        <v>132</v>
      </c>
      <c r="C126" s="3"/>
      <c r="D126" s="3"/>
      <c r="E126" s="3"/>
      <c r="F126" s="3"/>
      <c r="G126" s="3"/>
      <c r="H126" s="3"/>
      <c r="I126" s="3"/>
      <c r="J126" s="106">
        <f>SUM(J121:J125)</f>
        <v>800307.79958759726</v>
      </c>
    </row>
  </sheetData>
  <mergeCells count="5">
    <mergeCell ref="A4:K5"/>
    <mergeCell ref="B25:B26"/>
    <mergeCell ref="C25:H25"/>
    <mergeCell ref="B34:B35"/>
    <mergeCell ref="C34:H34"/>
  </mergeCells>
  <hyperlinks>
    <hyperlink ref="O1" location="TOC!A1" display="Table of Contents" xr:uid="{E0138D43-DA44-4697-884E-F189BAFA295F}"/>
  </hyperlinks>
  <pageMargins left="0.7" right="0.7" top="0.75" bottom="0.75" header="0.3" footer="0.3"/>
  <pageSetup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842B3-394A-4939-9904-D23A9ED63E8F}">
  <dimension ref="A1:R127"/>
  <sheetViews>
    <sheetView zoomScaleNormal="100" workbookViewId="0"/>
  </sheetViews>
  <sheetFormatPr defaultColWidth="8.88671875" defaultRowHeight="15.6"/>
  <cols>
    <col min="1" max="1" width="8.88671875" style="2" customWidth="1"/>
    <col min="2" max="2" width="14.6640625" style="2" customWidth="1"/>
    <col min="3" max="3" width="18.33203125" style="2" customWidth="1"/>
    <col min="4" max="8" width="17.6640625" style="2" customWidth="1"/>
    <col min="9" max="16384" width="8.88671875" style="2"/>
  </cols>
  <sheetData>
    <row r="1" spans="1:18" ht="17.399999999999999">
      <c r="A1" s="13" t="s">
        <v>1940</v>
      </c>
      <c r="B1" s="1"/>
      <c r="C1" s="1"/>
      <c r="D1" s="1" t="s">
        <v>548</v>
      </c>
      <c r="E1" s="1"/>
      <c r="F1" s="1"/>
      <c r="G1" s="1"/>
      <c r="H1" s="1"/>
      <c r="I1" s="1"/>
      <c r="J1" s="1"/>
      <c r="K1" s="1"/>
      <c r="L1" s="14"/>
      <c r="O1" s="21" t="s">
        <v>2927</v>
      </c>
    </row>
    <row r="2" spans="1:18">
      <c r="A2" s="1"/>
      <c r="B2" s="1"/>
      <c r="C2" s="1"/>
      <c r="D2" s="1"/>
      <c r="E2" s="1"/>
      <c r="F2" s="1"/>
      <c r="G2" s="1"/>
      <c r="H2" s="1"/>
      <c r="I2" s="1"/>
      <c r="J2" s="1"/>
      <c r="K2" s="1"/>
      <c r="L2" s="14"/>
    </row>
    <row r="3" spans="1:18" ht="15.6" customHeight="1">
      <c r="A3" s="1" t="s">
        <v>1448</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91</v>
      </c>
      <c r="B6" s="1" t="s">
        <v>1449</v>
      </c>
      <c r="C6" s="1"/>
      <c r="D6" s="1"/>
      <c r="E6" s="1"/>
      <c r="F6" s="1"/>
      <c r="G6" s="1"/>
      <c r="H6" s="1"/>
      <c r="I6" s="1"/>
      <c r="J6" s="1"/>
      <c r="K6" s="1"/>
      <c r="L6" s="1"/>
      <c r="M6" s="9"/>
      <c r="N6" s="9"/>
      <c r="O6" s="9"/>
      <c r="P6" s="9"/>
      <c r="Q6" s="9"/>
      <c r="R6" s="9"/>
    </row>
    <row r="7" spans="1:18">
      <c r="A7" s="14"/>
      <c r="B7" s="14"/>
      <c r="C7" s="14"/>
      <c r="D7" s="14"/>
      <c r="E7" s="14"/>
      <c r="F7" s="14"/>
      <c r="G7" s="1"/>
      <c r="H7" s="1"/>
      <c r="I7" s="1"/>
      <c r="J7" s="1"/>
      <c r="K7" s="1"/>
      <c r="L7" s="1"/>
    </row>
    <row r="8" spans="1:18">
      <c r="A8" s="3"/>
      <c r="B8" s="3"/>
      <c r="C8" s="3"/>
      <c r="D8" s="3"/>
      <c r="E8" s="3"/>
      <c r="F8" s="3"/>
      <c r="G8" s="3"/>
      <c r="H8" s="3"/>
      <c r="I8" s="3"/>
      <c r="J8" s="3"/>
      <c r="K8" s="3"/>
      <c r="L8" s="3"/>
      <c r="M8" s="3"/>
    </row>
    <row r="9" spans="1:18">
      <c r="A9" s="3" t="s">
        <v>20</v>
      </c>
      <c r="B9" s="3"/>
      <c r="C9" s="3"/>
      <c r="D9" s="3"/>
      <c r="E9" s="3"/>
      <c r="F9" s="3"/>
      <c r="G9" s="3"/>
      <c r="H9" s="3"/>
      <c r="I9" s="3"/>
      <c r="J9" s="3"/>
      <c r="K9" s="3"/>
      <c r="L9" s="3"/>
      <c r="M9" s="3"/>
      <c r="N9" s="9"/>
    </row>
    <row r="10" spans="1:18">
      <c r="A10" s="3"/>
      <c r="B10" s="2" t="s">
        <v>1450</v>
      </c>
      <c r="C10" s="3"/>
      <c r="D10" s="3"/>
      <c r="E10" s="3"/>
      <c r="F10" s="3"/>
      <c r="G10" s="3"/>
      <c r="H10" s="3"/>
      <c r="I10" s="3"/>
      <c r="J10" s="3"/>
      <c r="K10" s="3"/>
      <c r="L10" s="3"/>
      <c r="M10" s="3"/>
      <c r="N10" s="9"/>
    </row>
    <row r="11" spans="1:18">
      <c r="A11" s="3"/>
      <c r="B11" s="60" t="s">
        <v>1451</v>
      </c>
      <c r="C11" s="3"/>
      <c r="D11" s="3"/>
      <c r="E11" s="3"/>
      <c r="F11" s="3"/>
      <c r="G11" s="3"/>
      <c r="H11" s="3"/>
      <c r="I11" s="3"/>
      <c r="J11" s="3"/>
      <c r="K11" s="3"/>
      <c r="L11" s="3"/>
      <c r="M11" s="3"/>
      <c r="N11" s="9"/>
    </row>
    <row r="12" spans="1:18">
      <c r="B12" s="60" t="s">
        <v>1452</v>
      </c>
      <c r="M12" s="9"/>
      <c r="N12" s="9"/>
    </row>
    <row r="13" spans="1:18">
      <c r="B13" s="60" t="s">
        <v>1453</v>
      </c>
      <c r="M13" s="9"/>
      <c r="N13" s="9"/>
    </row>
    <row r="14" spans="1:18">
      <c r="M14" s="9"/>
      <c r="N14" s="9"/>
    </row>
    <row r="15" spans="1:18">
      <c r="A15" s="14"/>
      <c r="B15" s="14"/>
      <c r="C15" s="14"/>
      <c r="D15" s="14"/>
      <c r="E15" s="14"/>
      <c r="F15" s="14"/>
      <c r="G15" s="1"/>
      <c r="H15" s="1"/>
      <c r="I15" s="1"/>
      <c r="J15" s="1"/>
      <c r="K15" s="1"/>
      <c r="L15" s="1"/>
      <c r="M15" s="9"/>
      <c r="N15" s="9"/>
    </row>
    <row r="16" spans="1:18" ht="15.6" customHeight="1">
      <c r="A16" s="1" t="s">
        <v>1454</v>
      </c>
      <c r="B16" s="1"/>
      <c r="C16" s="1"/>
      <c r="D16" s="1"/>
      <c r="E16" s="1"/>
      <c r="F16" s="1"/>
      <c r="G16" s="1"/>
      <c r="H16" s="1"/>
      <c r="I16" s="1"/>
      <c r="J16" s="1"/>
      <c r="K16" s="1"/>
      <c r="L16" s="1"/>
      <c r="M16" s="9"/>
      <c r="N16" s="9"/>
    </row>
    <row r="17" spans="1:14">
      <c r="A17" s="260"/>
      <c r="B17" s="46"/>
      <c r="C17" s="1"/>
      <c r="D17" s="1"/>
      <c r="E17" s="1"/>
      <c r="F17" s="1"/>
      <c r="G17" s="1"/>
      <c r="H17" s="1"/>
      <c r="I17" s="1"/>
      <c r="J17" s="1"/>
      <c r="K17" s="1"/>
      <c r="L17" s="1"/>
      <c r="M17" s="9"/>
      <c r="N17" s="9"/>
    </row>
    <row r="18" spans="1:14" ht="31.2">
      <c r="A18" s="1"/>
      <c r="B18" s="4" t="s">
        <v>49</v>
      </c>
      <c r="C18" s="5" t="s">
        <v>1455</v>
      </c>
      <c r="D18" s="1"/>
      <c r="E18" s="1"/>
      <c r="F18" s="1"/>
      <c r="G18" s="1"/>
      <c r="H18" s="1"/>
      <c r="I18" s="1"/>
      <c r="J18" s="1"/>
      <c r="K18" s="1"/>
      <c r="L18" s="1"/>
      <c r="M18" s="9"/>
      <c r="N18" s="9"/>
    </row>
    <row r="19" spans="1:14">
      <c r="A19" s="1"/>
      <c r="B19" s="32">
        <v>2010</v>
      </c>
      <c r="C19" s="92">
        <v>5280</v>
      </c>
      <c r="D19" s="1"/>
      <c r="E19" s="1"/>
      <c r="F19" s="1"/>
      <c r="G19" s="1"/>
      <c r="H19" s="1"/>
      <c r="I19" s="1"/>
      <c r="J19" s="1"/>
      <c r="K19" s="1"/>
      <c r="L19" s="1"/>
      <c r="M19" s="9"/>
      <c r="N19" s="9"/>
    </row>
    <row r="20" spans="1:14">
      <c r="A20" s="1"/>
      <c r="B20" s="32">
        <v>2011</v>
      </c>
      <c r="C20" s="92">
        <v>5770</v>
      </c>
      <c r="D20" s="1"/>
      <c r="E20" s="1"/>
      <c r="F20" s="1"/>
      <c r="G20" s="1"/>
      <c r="H20" s="1"/>
      <c r="I20" s="1"/>
      <c r="J20" s="1"/>
      <c r="K20" s="1"/>
      <c r="L20" s="1"/>
      <c r="M20" s="9"/>
      <c r="N20" s="9"/>
    </row>
    <row r="21" spans="1:14">
      <c r="A21" s="1"/>
      <c r="B21" s="32">
        <v>2012</v>
      </c>
      <c r="C21" s="92">
        <v>6330</v>
      </c>
      <c r="D21" s="1"/>
      <c r="E21" s="1"/>
      <c r="F21" s="1"/>
      <c r="G21" s="1"/>
      <c r="H21" s="1"/>
      <c r="I21" s="1"/>
      <c r="J21" s="1"/>
      <c r="K21" s="1"/>
      <c r="L21" s="1"/>
      <c r="M21" s="9"/>
      <c r="N21" s="9"/>
    </row>
    <row r="22" spans="1:14">
      <c r="A22" s="1"/>
      <c r="B22" s="32">
        <v>2013</v>
      </c>
      <c r="C22" s="92">
        <v>6200</v>
      </c>
      <c r="D22" s="1"/>
      <c r="E22" s="1"/>
      <c r="F22" s="1"/>
      <c r="G22" s="1"/>
      <c r="H22" s="1"/>
      <c r="I22" s="1"/>
      <c r="J22" s="1"/>
      <c r="K22" s="1"/>
      <c r="L22" s="1"/>
      <c r="M22" s="9"/>
      <c r="N22" s="9"/>
    </row>
    <row r="23" spans="1:14">
      <c r="A23" s="1"/>
      <c r="B23" s="32">
        <v>2014</v>
      </c>
      <c r="C23" s="92">
        <v>6920</v>
      </c>
      <c r="D23" s="1"/>
      <c r="E23" s="1"/>
      <c r="F23" s="1"/>
      <c r="G23" s="1"/>
      <c r="H23" s="1"/>
      <c r="I23" s="1"/>
      <c r="J23" s="1"/>
      <c r="K23" s="1"/>
      <c r="L23" s="1"/>
      <c r="M23" s="9"/>
      <c r="N23" s="9"/>
    </row>
    <row r="24" spans="1:14">
      <c r="A24" s="1"/>
      <c r="B24" s="32">
        <v>2015</v>
      </c>
      <c r="C24" s="92">
        <v>7140</v>
      </c>
      <c r="D24" s="1"/>
      <c r="E24" s="1"/>
      <c r="F24" s="1"/>
      <c r="G24" s="1"/>
      <c r="H24" s="1"/>
      <c r="I24" s="1"/>
      <c r="J24" s="1"/>
      <c r="K24" s="1"/>
      <c r="L24" s="1"/>
      <c r="M24" s="9"/>
      <c r="N24" s="9"/>
    </row>
    <row r="25" spans="1:14">
      <c r="A25" s="1"/>
      <c r="B25" s="32">
        <v>2016</v>
      </c>
      <c r="C25" s="92">
        <v>7560</v>
      </c>
      <c r="D25" s="1"/>
      <c r="E25" s="1"/>
      <c r="F25" s="1"/>
      <c r="G25" s="1"/>
      <c r="H25" s="1"/>
      <c r="I25" s="1"/>
      <c r="J25" s="1"/>
      <c r="K25" s="1"/>
      <c r="L25" s="1"/>
      <c r="M25" s="9"/>
      <c r="N25" s="9"/>
    </row>
    <row r="26" spans="1:14">
      <c r="A26" s="1"/>
      <c r="B26" s="32">
        <v>2017</v>
      </c>
      <c r="C26" s="92">
        <v>8300</v>
      </c>
      <c r="D26" s="1"/>
      <c r="E26" s="1"/>
      <c r="F26" s="1"/>
      <c r="G26" s="1"/>
      <c r="H26" s="1"/>
      <c r="I26" s="1"/>
      <c r="J26" s="1"/>
      <c r="K26" s="1"/>
      <c r="L26" s="1"/>
      <c r="M26" s="9"/>
      <c r="N26" s="9"/>
    </row>
    <row r="27" spans="1:14">
      <c r="A27" s="1"/>
      <c r="B27" s="32">
        <v>2018</v>
      </c>
      <c r="C27" s="92">
        <v>8460</v>
      </c>
      <c r="D27" s="1"/>
      <c r="E27" s="1"/>
      <c r="F27" s="1"/>
      <c r="G27" s="1"/>
      <c r="H27" s="1"/>
      <c r="I27" s="1"/>
      <c r="J27" s="1"/>
      <c r="K27" s="1"/>
      <c r="L27" s="1"/>
      <c r="M27" s="9"/>
      <c r="N27" s="9"/>
    </row>
    <row r="28" spans="1:14">
      <c r="A28" s="1"/>
      <c r="B28" s="32">
        <v>2019</v>
      </c>
      <c r="C28" s="92">
        <v>8850</v>
      </c>
      <c r="D28" s="1"/>
      <c r="E28" s="1"/>
      <c r="F28" s="1"/>
      <c r="G28" s="1"/>
      <c r="H28" s="1"/>
      <c r="I28" s="1"/>
      <c r="J28" s="1"/>
      <c r="K28" s="1"/>
      <c r="L28" s="1"/>
      <c r="M28" s="9"/>
      <c r="N28" s="9"/>
    </row>
    <row r="29" spans="1:14">
      <c r="A29" s="1"/>
      <c r="B29" s="32">
        <v>2020</v>
      </c>
      <c r="C29" s="92">
        <v>9400</v>
      </c>
      <c r="D29" s="1"/>
      <c r="E29" s="1"/>
      <c r="F29" s="1"/>
      <c r="G29" s="1"/>
      <c r="H29" s="1"/>
      <c r="I29" s="1"/>
      <c r="J29" s="1"/>
      <c r="K29" s="1"/>
      <c r="L29" s="1"/>
      <c r="M29" s="9"/>
      <c r="N29" s="9"/>
    </row>
    <row r="30" spans="1:14">
      <c r="A30" s="1"/>
      <c r="B30" s="32">
        <v>2021</v>
      </c>
      <c r="C30" s="92">
        <v>9940</v>
      </c>
      <c r="D30" s="1"/>
      <c r="E30" s="1"/>
      <c r="F30" s="1"/>
      <c r="G30" s="1"/>
      <c r="H30" s="1"/>
      <c r="I30" s="1"/>
      <c r="J30" s="1"/>
      <c r="K30" s="1"/>
      <c r="L30" s="1"/>
      <c r="M30" s="9"/>
      <c r="N30" s="9"/>
    </row>
    <row r="31" spans="1:14">
      <c r="A31" s="1"/>
      <c r="B31" s="260"/>
      <c r="C31" s="46"/>
      <c r="D31" s="1"/>
      <c r="E31" s="1"/>
      <c r="F31" s="1"/>
      <c r="G31" s="1"/>
      <c r="H31" s="1"/>
      <c r="I31" s="1"/>
      <c r="J31" s="1"/>
      <c r="K31" s="1"/>
      <c r="L31" s="1"/>
      <c r="M31" s="9"/>
      <c r="N31" s="9"/>
    </row>
    <row r="32" spans="1:14">
      <c r="A32" s="1"/>
      <c r="B32" s="492" t="s">
        <v>1456</v>
      </c>
      <c r="C32" s="46"/>
      <c r="D32" s="474">
        <v>45139</v>
      </c>
      <c r="E32" s="1" t="s">
        <v>1457</v>
      </c>
      <c r="F32" s="14"/>
      <c r="G32" s="1"/>
      <c r="H32" s="1"/>
      <c r="I32" s="1"/>
      <c r="J32" s="1"/>
      <c r="K32" s="1"/>
      <c r="L32" s="1"/>
      <c r="M32" s="9"/>
      <c r="N32" s="9"/>
    </row>
    <row r="33" spans="1:14">
      <c r="A33" s="1"/>
      <c r="B33" s="492" t="s">
        <v>1458</v>
      </c>
      <c r="C33" s="46"/>
      <c r="D33" s="1"/>
      <c r="E33" s="1"/>
      <c r="F33" s="1"/>
      <c r="G33" s="1"/>
      <c r="H33" s="1"/>
      <c r="I33" s="1"/>
      <c r="J33" s="1"/>
      <c r="K33" s="1"/>
      <c r="L33" s="1"/>
      <c r="M33" s="9"/>
      <c r="N33" s="9"/>
    </row>
    <row r="34" spans="1:14">
      <c r="A34" s="14"/>
      <c r="B34" s="14"/>
      <c r="C34" s="14"/>
      <c r="D34" s="14"/>
      <c r="E34" s="14"/>
      <c r="F34" s="14"/>
      <c r="G34" s="1"/>
      <c r="H34" s="1"/>
      <c r="I34" s="1"/>
      <c r="J34" s="1"/>
      <c r="K34" s="1"/>
      <c r="L34" s="1"/>
      <c r="M34" s="9"/>
      <c r="N34" s="9"/>
    </row>
    <row r="36" spans="1:14">
      <c r="A36" s="17" t="s">
        <v>133</v>
      </c>
      <c r="B36" s="1" t="s">
        <v>1459</v>
      </c>
      <c r="C36" s="1"/>
      <c r="D36" s="1"/>
      <c r="E36" s="1"/>
      <c r="F36" s="1"/>
      <c r="G36" s="1"/>
      <c r="H36" s="1"/>
      <c r="I36" s="1"/>
      <c r="J36" s="1"/>
      <c r="K36" s="1"/>
      <c r="L36" s="1"/>
    </row>
    <row r="37" spans="1:14">
      <c r="A37" s="14"/>
      <c r="B37" s="14"/>
      <c r="C37" s="14"/>
      <c r="D37" s="14"/>
      <c r="E37" s="14"/>
      <c r="F37" s="14"/>
      <c r="G37" s="1"/>
      <c r="H37" s="1"/>
      <c r="I37" s="1"/>
      <c r="J37" s="1"/>
      <c r="K37" s="1"/>
      <c r="L37" s="1"/>
    </row>
    <row r="38" spans="1:14">
      <c r="A38" s="3"/>
      <c r="B38" s="3"/>
      <c r="C38" s="3"/>
      <c r="D38" s="3"/>
      <c r="E38" s="3"/>
      <c r="F38" s="3"/>
      <c r="G38" s="3"/>
      <c r="H38" s="3"/>
      <c r="I38" s="3"/>
      <c r="J38" s="3"/>
      <c r="K38" s="3"/>
      <c r="L38" s="3"/>
    </row>
    <row r="39" spans="1:14">
      <c r="A39" s="3" t="s">
        <v>20</v>
      </c>
      <c r="B39" s="3"/>
      <c r="C39" s="3"/>
      <c r="D39" s="3"/>
      <c r="E39" s="3"/>
      <c r="F39" s="3"/>
      <c r="G39" s="3"/>
      <c r="H39" s="3"/>
      <c r="I39" s="3"/>
      <c r="J39" s="3"/>
      <c r="K39" s="3"/>
      <c r="L39" s="3"/>
    </row>
    <row r="40" spans="1:14" ht="31.2">
      <c r="A40" s="3"/>
      <c r="B40" s="93" t="s">
        <v>49</v>
      </c>
      <c r="C40" s="93" t="s">
        <v>1455</v>
      </c>
      <c r="D40" s="93" t="s">
        <v>1352</v>
      </c>
      <c r="E40" s="3"/>
      <c r="F40" s="3"/>
      <c r="G40" s="3"/>
      <c r="H40" s="3"/>
      <c r="I40" s="3"/>
      <c r="J40" s="3"/>
      <c r="K40" s="3"/>
      <c r="L40" s="3"/>
    </row>
    <row r="41" spans="1:14">
      <c r="A41" s="3"/>
      <c r="B41" s="94">
        <v>2010</v>
      </c>
      <c r="C41" s="106">
        <f>C19</f>
        <v>5280</v>
      </c>
      <c r="D41" s="3"/>
      <c r="E41" s="3"/>
      <c r="F41" s="3"/>
      <c r="G41" s="3"/>
      <c r="H41" s="3"/>
      <c r="I41" s="3"/>
      <c r="J41" s="3"/>
      <c r="K41" s="3"/>
      <c r="L41" s="3"/>
    </row>
    <row r="42" spans="1:14">
      <c r="B42" s="94">
        <f>B41+1</f>
        <v>2011</v>
      </c>
      <c r="C42" s="106">
        <f t="shared" ref="C42:C52" si="0">C20</f>
        <v>5770</v>
      </c>
      <c r="D42" s="136">
        <f>C42/C41-1</f>
        <v>9.2803030303030276E-2</v>
      </c>
      <c r="E42" s="3"/>
      <c r="F42" s="3"/>
      <c r="G42" s="3"/>
      <c r="H42" s="3"/>
      <c r="M42" s="3"/>
    </row>
    <row r="43" spans="1:14">
      <c r="B43" s="94">
        <f t="shared" ref="B43:B52" si="1">B42+1</f>
        <v>2012</v>
      </c>
      <c r="C43" s="106">
        <f t="shared" si="0"/>
        <v>6330</v>
      </c>
      <c r="D43" s="136">
        <f t="shared" ref="D43:D52" si="2">C43/C42-1</f>
        <v>9.705372616984409E-2</v>
      </c>
      <c r="E43" s="3"/>
      <c r="F43" s="3"/>
      <c r="G43" s="3"/>
      <c r="H43" s="3"/>
      <c r="M43" s="3"/>
    </row>
    <row r="44" spans="1:14">
      <c r="B44" s="94">
        <f t="shared" si="1"/>
        <v>2013</v>
      </c>
      <c r="C44" s="106">
        <f t="shared" si="0"/>
        <v>6200</v>
      </c>
      <c r="D44" s="136">
        <f t="shared" si="2"/>
        <v>-2.0537124802527673E-2</v>
      </c>
      <c r="E44" s="3"/>
      <c r="F44" s="3"/>
      <c r="G44" s="3"/>
      <c r="H44" s="3"/>
      <c r="M44" s="3"/>
    </row>
    <row r="45" spans="1:14">
      <c r="B45" s="94">
        <f t="shared" si="1"/>
        <v>2014</v>
      </c>
      <c r="C45" s="106">
        <f t="shared" si="0"/>
        <v>6920</v>
      </c>
      <c r="D45" s="136">
        <f t="shared" si="2"/>
        <v>0.11612903225806459</v>
      </c>
      <c r="E45" s="3"/>
      <c r="F45" s="3"/>
      <c r="G45" s="3"/>
      <c r="H45" s="3"/>
      <c r="M45" s="3"/>
    </row>
    <row r="46" spans="1:14">
      <c r="B46" s="94">
        <f t="shared" si="1"/>
        <v>2015</v>
      </c>
      <c r="C46" s="106">
        <f t="shared" si="0"/>
        <v>7140</v>
      </c>
      <c r="D46" s="136">
        <f t="shared" si="2"/>
        <v>3.1791907514450823E-2</v>
      </c>
      <c r="E46" s="3"/>
      <c r="F46" s="3"/>
      <c r="G46" s="3"/>
      <c r="H46" s="3"/>
      <c r="M46" s="3"/>
    </row>
    <row r="47" spans="1:14">
      <c r="B47" s="94">
        <f t="shared" si="1"/>
        <v>2016</v>
      </c>
      <c r="C47" s="106">
        <f t="shared" si="0"/>
        <v>7560</v>
      </c>
      <c r="D47" s="136">
        <f t="shared" si="2"/>
        <v>5.8823529411764719E-2</v>
      </c>
      <c r="E47" s="3"/>
      <c r="F47" s="3"/>
      <c r="G47" s="3"/>
      <c r="H47" s="3"/>
      <c r="M47" s="3"/>
    </row>
    <row r="48" spans="1:14">
      <c r="B48" s="94">
        <f t="shared" si="1"/>
        <v>2017</v>
      </c>
      <c r="C48" s="106">
        <f t="shared" si="0"/>
        <v>8300</v>
      </c>
      <c r="D48" s="136">
        <f t="shared" si="2"/>
        <v>9.7883597883597906E-2</v>
      </c>
      <c r="E48" s="3"/>
      <c r="F48" s="3"/>
      <c r="G48" s="3"/>
      <c r="H48" s="3"/>
      <c r="M48" s="3"/>
    </row>
    <row r="49" spans="1:13">
      <c r="B49" s="94">
        <f t="shared" si="1"/>
        <v>2018</v>
      </c>
      <c r="C49" s="106">
        <f t="shared" si="0"/>
        <v>8460</v>
      </c>
      <c r="D49" s="136">
        <f t="shared" si="2"/>
        <v>1.9277108433734869E-2</v>
      </c>
      <c r="E49" s="3"/>
      <c r="F49" s="3"/>
      <c r="G49" s="3"/>
      <c r="H49" s="3"/>
      <c r="M49" s="3"/>
    </row>
    <row r="50" spans="1:13">
      <c r="B50" s="94">
        <f t="shared" si="1"/>
        <v>2019</v>
      </c>
      <c r="C50" s="106">
        <f t="shared" si="0"/>
        <v>8850</v>
      </c>
      <c r="D50" s="136">
        <f t="shared" si="2"/>
        <v>4.6099290780141855E-2</v>
      </c>
      <c r="E50" s="3"/>
      <c r="F50" s="3"/>
      <c r="G50" s="3"/>
      <c r="H50" s="3"/>
      <c r="M50" s="3"/>
    </row>
    <row r="51" spans="1:13">
      <c r="B51" s="94">
        <f t="shared" si="1"/>
        <v>2020</v>
      </c>
      <c r="C51" s="106">
        <f t="shared" si="0"/>
        <v>9400</v>
      </c>
      <c r="D51" s="136">
        <f t="shared" si="2"/>
        <v>6.2146892655367214E-2</v>
      </c>
      <c r="E51" s="3"/>
      <c r="F51" s="3"/>
      <c r="G51" s="3"/>
      <c r="H51" s="3"/>
      <c r="M51" s="3"/>
    </row>
    <row r="52" spans="1:13">
      <c r="B52" s="107">
        <f t="shared" si="1"/>
        <v>2021</v>
      </c>
      <c r="C52" s="110">
        <f t="shared" si="0"/>
        <v>9940</v>
      </c>
      <c r="D52" s="140">
        <f t="shared" si="2"/>
        <v>5.7446808510638325E-2</v>
      </c>
      <c r="E52" s="3"/>
      <c r="F52" s="3"/>
      <c r="G52" s="3"/>
      <c r="H52" s="3"/>
      <c r="M52" s="3"/>
    </row>
    <row r="53" spans="1:13">
      <c r="B53" s="554" t="s">
        <v>1339</v>
      </c>
      <c r="C53" s="554"/>
      <c r="D53" s="125">
        <f>AVERAGE(D42:D52)</f>
        <v>5.9901618101646091E-2</v>
      </c>
      <c r="E53" s="3"/>
      <c r="F53" s="3"/>
      <c r="G53" s="3"/>
      <c r="H53" s="3"/>
      <c r="M53" s="3"/>
    </row>
    <row r="54" spans="1:13">
      <c r="B54" s="3" t="s">
        <v>1344</v>
      </c>
      <c r="C54" s="3"/>
      <c r="D54" s="125">
        <f>AVERAGE(D48:D52)</f>
        <v>5.6570739652696031E-2</v>
      </c>
      <c r="E54" s="3"/>
      <c r="F54" s="3"/>
      <c r="G54" s="3"/>
      <c r="H54" s="3"/>
      <c r="M54" s="3"/>
    </row>
    <row r="55" spans="1:13">
      <c r="B55" s="3" t="s">
        <v>1460</v>
      </c>
      <c r="C55" s="3"/>
      <c r="D55" s="125">
        <f>(SUM(D42:D52)-MIN(D42:D52)-MAX(D42:D52))/9</f>
        <v>6.2591765740285563E-2</v>
      </c>
      <c r="E55" s="3"/>
      <c r="F55" s="3"/>
      <c r="G55" s="3"/>
      <c r="H55" s="3"/>
      <c r="M55" s="3"/>
    </row>
    <row r="56" spans="1:13">
      <c r="B56" s="3"/>
      <c r="C56" s="3"/>
      <c r="D56" s="62"/>
      <c r="E56" s="3"/>
      <c r="F56" s="3"/>
      <c r="G56" s="3"/>
      <c r="H56" s="3"/>
      <c r="M56" s="3"/>
    </row>
    <row r="57" spans="1:13">
      <c r="B57" s="3" t="s">
        <v>1461</v>
      </c>
      <c r="C57" s="3"/>
      <c r="D57" s="125">
        <f>D55</f>
        <v>6.2591765740285563E-2</v>
      </c>
      <c r="E57" s="3"/>
      <c r="F57" s="3"/>
      <c r="G57" s="3"/>
      <c r="H57" s="3"/>
      <c r="M57" s="3"/>
    </row>
    <row r="58" spans="1:13">
      <c r="B58" s="3" t="s">
        <v>1462</v>
      </c>
      <c r="C58" s="3"/>
      <c r="D58" s="62"/>
      <c r="E58" s="3"/>
      <c r="F58" s="3"/>
      <c r="G58" s="3"/>
      <c r="H58" s="3"/>
      <c r="M58" s="3"/>
    </row>
    <row r="60" spans="1:13" ht="15.6" customHeight="1">
      <c r="A60" s="17" t="s">
        <v>18</v>
      </c>
      <c r="B60" s="1" t="s">
        <v>1463</v>
      </c>
      <c r="C60" s="1"/>
      <c r="D60" s="1"/>
      <c r="E60" s="1"/>
      <c r="F60" s="1"/>
      <c r="G60" s="1"/>
      <c r="H60" s="1"/>
      <c r="I60" s="1"/>
      <c r="J60" s="1"/>
      <c r="K60" s="1"/>
      <c r="L60" s="1"/>
    </row>
    <row r="61" spans="1:13">
      <c r="A61" s="14"/>
      <c r="B61" s="14"/>
      <c r="C61" s="14"/>
      <c r="D61" s="14"/>
      <c r="E61" s="14"/>
      <c r="F61" s="14"/>
      <c r="G61" s="1"/>
      <c r="H61" s="1"/>
      <c r="I61" s="1"/>
      <c r="J61" s="1"/>
      <c r="K61" s="1"/>
      <c r="L61" s="1"/>
    </row>
    <row r="62" spans="1:13">
      <c r="A62" s="3"/>
      <c r="B62" s="3"/>
      <c r="C62" s="3"/>
      <c r="D62" s="3"/>
      <c r="E62" s="3"/>
      <c r="F62" s="3"/>
      <c r="G62" s="3"/>
      <c r="H62" s="3"/>
      <c r="I62" s="3"/>
      <c r="J62" s="3"/>
      <c r="K62" s="3"/>
      <c r="L62" s="3"/>
    </row>
    <row r="63" spans="1:13">
      <c r="A63" s="3" t="s">
        <v>20</v>
      </c>
      <c r="B63" s="3"/>
      <c r="C63" s="3"/>
      <c r="D63" s="3"/>
      <c r="E63" s="3"/>
      <c r="F63" s="3"/>
      <c r="G63" s="3"/>
      <c r="H63" s="3"/>
      <c r="I63" s="3"/>
      <c r="J63" s="3"/>
      <c r="K63" s="3"/>
      <c r="L63" s="3"/>
    </row>
    <row r="64" spans="1:13">
      <c r="A64" s="3"/>
      <c r="B64" s="3" t="s">
        <v>1464</v>
      </c>
      <c r="C64" s="62"/>
      <c r="D64" s="3">
        <f>(12*(1+YEAR(D32))+MONTH(D32))-(12*B52+7)</f>
        <v>37</v>
      </c>
      <c r="E64" s="3" t="s">
        <v>872</v>
      </c>
      <c r="F64" s="3"/>
      <c r="G64" s="3"/>
      <c r="H64" s="3"/>
      <c r="I64" s="3"/>
      <c r="J64" s="3"/>
      <c r="K64" s="3"/>
      <c r="L64" s="3"/>
    </row>
    <row r="65" spans="1:14">
      <c r="A65" s="3"/>
      <c r="B65" s="3"/>
      <c r="C65" s="3"/>
      <c r="D65" s="3"/>
      <c r="E65" s="3"/>
      <c r="F65" s="3"/>
      <c r="G65" s="3"/>
      <c r="H65" s="3"/>
      <c r="I65" s="3"/>
      <c r="J65" s="3"/>
      <c r="K65" s="3"/>
      <c r="L65" s="3"/>
    </row>
    <row r="66" spans="1:14" ht="78">
      <c r="A66" s="3"/>
      <c r="B66" s="93" t="s">
        <v>49</v>
      </c>
      <c r="C66" s="93" t="s">
        <v>591</v>
      </c>
      <c r="D66" s="93" t="s">
        <v>1465</v>
      </c>
      <c r="E66" s="93" t="s">
        <v>1466</v>
      </c>
      <c r="F66" s="3"/>
      <c r="G66" s="3"/>
      <c r="H66" s="3"/>
      <c r="I66" s="3"/>
      <c r="J66" s="3"/>
      <c r="K66" s="3"/>
      <c r="L66" s="3"/>
    </row>
    <row r="67" spans="1:14">
      <c r="A67" s="3"/>
      <c r="B67" s="94">
        <v>2010</v>
      </c>
      <c r="C67" s="94">
        <f t="shared" ref="C67:C76" si="3">C68+12</f>
        <v>169</v>
      </c>
      <c r="D67" s="105">
        <f>(1+$D$57)^(C67/12)</f>
        <v>2.3514050676579843</v>
      </c>
      <c r="E67" s="106">
        <f>D67*C41</f>
        <v>12415.418757234158</v>
      </c>
      <c r="F67" s="3"/>
      <c r="G67" s="3"/>
      <c r="H67" s="3"/>
      <c r="I67" s="3"/>
      <c r="J67" s="3"/>
      <c r="K67" s="3"/>
      <c r="L67" s="3"/>
    </row>
    <row r="68" spans="1:14">
      <c r="A68" s="3"/>
      <c r="B68" s="94">
        <f>B67+1</f>
        <v>2011</v>
      </c>
      <c r="C68" s="94">
        <f t="shared" si="3"/>
        <v>157</v>
      </c>
      <c r="D68" s="105">
        <f t="shared" ref="D68:D78" si="4">(1+$D$57)^(C68/12)</f>
        <v>2.2128959996408493</v>
      </c>
      <c r="E68" s="106">
        <f t="shared" ref="E68:E78" si="5">D68*C42</f>
        <v>12768.4099179277</v>
      </c>
      <c r="F68" s="3"/>
      <c r="G68" s="3"/>
      <c r="H68" s="3"/>
      <c r="I68" s="3"/>
      <c r="J68" s="3"/>
      <c r="K68" s="3"/>
      <c r="L68" s="3"/>
    </row>
    <row r="69" spans="1:14">
      <c r="A69" s="3"/>
      <c r="B69" s="94">
        <f t="shared" ref="B69:B78" si="6">B68+1</f>
        <v>2012</v>
      </c>
      <c r="C69" s="94">
        <f t="shared" si="3"/>
        <v>145</v>
      </c>
      <c r="D69" s="105">
        <f t="shared" si="4"/>
        <v>2.0825457819157589</v>
      </c>
      <c r="E69" s="106">
        <f t="shared" si="5"/>
        <v>13182.514799526754</v>
      </c>
      <c r="F69" s="3"/>
      <c r="G69" s="3"/>
      <c r="H69" s="3"/>
      <c r="I69" s="3"/>
      <c r="J69" s="3"/>
      <c r="K69" s="3"/>
      <c r="L69" s="3"/>
    </row>
    <row r="70" spans="1:14">
      <c r="A70" s="3"/>
      <c r="B70" s="94">
        <f t="shared" si="6"/>
        <v>2013</v>
      </c>
      <c r="C70" s="94">
        <f t="shared" si="3"/>
        <v>133</v>
      </c>
      <c r="D70" s="105">
        <f t="shared" si="4"/>
        <v>1.9598738189589608</v>
      </c>
      <c r="E70" s="106">
        <f t="shared" si="5"/>
        <v>12151.217677545557</v>
      </c>
      <c r="F70" s="3"/>
      <c r="G70" s="3"/>
      <c r="H70" s="3"/>
      <c r="I70" s="3"/>
      <c r="J70" s="3"/>
      <c r="K70" s="3"/>
      <c r="L70" s="3"/>
    </row>
    <row r="71" spans="1:14">
      <c r="A71" s="3"/>
      <c r="B71" s="94">
        <f t="shared" si="6"/>
        <v>2014</v>
      </c>
      <c r="C71" s="94">
        <f t="shared" si="3"/>
        <v>121</v>
      </c>
      <c r="D71" s="105">
        <f t="shared" si="4"/>
        <v>1.8444278246345696</v>
      </c>
      <c r="E71" s="106">
        <f t="shared" si="5"/>
        <v>12763.440546471222</v>
      </c>
      <c r="F71" s="3"/>
      <c r="G71" s="3"/>
      <c r="H71" s="3"/>
      <c r="I71" s="3"/>
      <c r="J71" s="3"/>
      <c r="K71" s="3"/>
      <c r="L71" s="3"/>
    </row>
    <row r="72" spans="1:14">
      <c r="A72" s="3"/>
      <c r="B72" s="94">
        <f t="shared" si="6"/>
        <v>2015</v>
      </c>
      <c r="C72" s="94">
        <f t="shared" si="3"/>
        <v>109</v>
      </c>
      <c r="D72" s="105">
        <f t="shared" si="4"/>
        <v>1.7357821546354588</v>
      </c>
      <c r="E72" s="106">
        <f t="shared" si="5"/>
        <v>12393.484584097176</v>
      </c>
      <c r="F72" s="3"/>
      <c r="G72" s="3"/>
      <c r="H72" s="3"/>
      <c r="I72" s="3"/>
      <c r="J72" s="3"/>
      <c r="K72" s="3"/>
      <c r="L72" s="3"/>
    </row>
    <row r="73" spans="1:14">
      <c r="A73" s="3"/>
      <c r="B73" s="94">
        <f t="shared" si="6"/>
        <v>2016</v>
      </c>
      <c r="C73" s="94">
        <f t="shared" si="3"/>
        <v>97</v>
      </c>
      <c r="D73" s="105">
        <f t="shared" si="4"/>
        <v>1.6335362371514104</v>
      </c>
      <c r="E73" s="106">
        <f t="shared" si="5"/>
        <v>12349.533952864662</v>
      </c>
      <c r="F73" s="3"/>
      <c r="G73" s="3"/>
      <c r="H73" s="3"/>
      <c r="I73" s="3"/>
      <c r="J73" s="3"/>
      <c r="K73" s="3"/>
      <c r="L73" s="3"/>
    </row>
    <row r="74" spans="1:14">
      <c r="A74" s="3"/>
      <c r="B74" s="94">
        <f t="shared" si="6"/>
        <v>2017</v>
      </c>
      <c r="C74" s="94">
        <f t="shared" si="3"/>
        <v>85</v>
      </c>
      <c r="D74" s="105">
        <f t="shared" si="4"/>
        <v>1.537313095978454</v>
      </c>
      <c r="E74" s="106">
        <f t="shared" si="5"/>
        <v>12759.698696621168</v>
      </c>
      <c r="F74" s="3"/>
      <c r="G74" s="3"/>
      <c r="H74" s="3"/>
      <c r="I74" s="3"/>
      <c r="J74" s="3"/>
      <c r="K74" s="3"/>
      <c r="L74" s="3"/>
    </row>
    <row r="75" spans="1:14">
      <c r="A75" s="3"/>
      <c r="B75" s="94">
        <f t="shared" si="6"/>
        <v>2018</v>
      </c>
      <c r="C75" s="94">
        <f t="shared" si="3"/>
        <v>73</v>
      </c>
      <c r="D75" s="105">
        <f t="shared" si="4"/>
        <v>1.4467579606241727</v>
      </c>
      <c r="E75" s="106">
        <f t="shared" si="5"/>
        <v>12239.572346880501</v>
      </c>
      <c r="F75" s="3"/>
      <c r="G75" s="3"/>
      <c r="H75" s="3"/>
      <c r="I75" s="3"/>
      <c r="J75" s="3"/>
      <c r="K75" s="3"/>
      <c r="L75" s="3"/>
    </row>
    <row r="76" spans="1:14">
      <c r="A76" s="3"/>
      <c r="B76" s="94">
        <f t="shared" si="6"/>
        <v>2019</v>
      </c>
      <c r="C76" s="94">
        <f t="shared" si="3"/>
        <v>61</v>
      </c>
      <c r="D76" s="105">
        <f t="shared" si="4"/>
        <v>1.361536958284489</v>
      </c>
      <c r="E76" s="106">
        <f t="shared" si="5"/>
        <v>12049.602080817727</v>
      </c>
      <c r="F76" s="3"/>
      <c r="G76" s="3"/>
      <c r="H76" s="3"/>
      <c r="I76" s="3"/>
      <c r="J76" s="3"/>
      <c r="K76" s="3"/>
      <c r="L76" s="3"/>
    </row>
    <row r="77" spans="1:14">
      <c r="B77" s="94">
        <f t="shared" si="6"/>
        <v>2020</v>
      </c>
      <c r="C77" s="94">
        <f>C78+12</f>
        <v>49</v>
      </c>
      <c r="D77" s="105">
        <f t="shared" si="4"/>
        <v>1.2813358828693113</v>
      </c>
      <c r="E77" s="106">
        <f t="shared" si="5"/>
        <v>12044.557298971526</v>
      </c>
      <c r="F77" s="3"/>
      <c r="G77" s="3"/>
    </row>
    <row r="78" spans="1:14">
      <c r="B78" s="107">
        <f t="shared" si="6"/>
        <v>2021</v>
      </c>
      <c r="C78" s="107">
        <f>D64</f>
        <v>37</v>
      </c>
      <c r="D78" s="109">
        <f t="shared" si="4"/>
        <v>1.205859036538488</v>
      </c>
      <c r="E78" s="110">
        <f t="shared" si="5"/>
        <v>11986.238823192571</v>
      </c>
      <c r="F78" s="3"/>
      <c r="G78" s="3"/>
    </row>
    <row r="79" spans="1:14">
      <c r="B79" s="924" t="s">
        <v>1339</v>
      </c>
      <c r="C79" s="924"/>
      <c r="D79" s="3"/>
      <c r="E79" s="106">
        <f>AVERAGE(E67:E78)</f>
        <v>12425.307456845892</v>
      </c>
      <c r="F79" s="3"/>
      <c r="G79" s="3"/>
      <c r="M79" s="3"/>
      <c r="N79" s="3"/>
    </row>
    <row r="80" spans="1:14">
      <c r="B80" s="925" t="s">
        <v>1344</v>
      </c>
      <c r="C80" s="925"/>
      <c r="D80" s="3"/>
      <c r="E80" s="106">
        <f>AVERAGE(E74:E78)</f>
        <v>12215.933849296698</v>
      </c>
      <c r="F80" s="3"/>
      <c r="G80" s="3"/>
      <c r="M80" s="3"/>
      <c r="N80" s="3"/>
    </row>
    <row r="81" spans="1:14">
      <c r="B81" s="925" t="s">
        <v>1467</v>
      </c>
      <c r="C81" s="925"/>
      <c r="D81" s="3"/>
      <c r="E81" s="106">
        <f>AVERAGE(E76:E78)</f>
        <v>12026.799400993941</v>
      </c>
      <c r="F81" s="3"/>
      <c r="G81" s="3"/>
      <c r="M81" s="3"/>
      <c r="N81" s="3"/>
    </row>
    <row r="82" spans="1:14">
      <c r="B82" s="3"/>
      <c r="C82" s="3"/>
      <c r="D82" s="3"/>
      <c r="E82" s="3"/>
      <c r="F82" s="3"/>
      <c r="G82" s="3"/>
      <c r="M82" s="3"/>
      <c r="N82" s="3"/>
    </row>
    <row r="83" spans="1:14">
      <c r="B83" s="925" t="s">
        <v>1461</v>
      </c>
      <c r="C83" s="925"/>
      <c r="D83" s="3"/>
      <c r="E83" s="106">
        <f>E81</f>
        <v>12026.799400993941</v>
      </c>
      <c r="F83" s="3"/>
      <c r="G83" s="3"/>
      <c r="M83" s="3"/>
      <c r="N83" s="3"/>
    </row>
    <row r="84" spans="1:14">
      <c r="B84" s="3" t="s">
        <v>1468</v>
      </c>
      <c r="C84" s="3"/>
      <c r="D84" s="3"/>
      <c r="E84" s="3"/>
      <c r="F84" s="3"/>
      <c r="G84" s="3"/>
      <c r="M84" s="3"/>
      <c r="N84" s="3"/>
    </row>
    <row r="86" spans="1:14">
      <c r="A86" s="14"/>
      <c r="B86" s="14"/>
      <c r="C86" s="14"/>
      <c r="D86" s="14"/>
      <c r="E86" s="14"/>
      <c r="F86" s="14"/>
      <c r="G86" s="1"/>
      <c r="H86" s="1"/>
      <c r="I86" s="1"/>
      <c r="J86" s="1"/>
      <c r="K86" s="1"/>
      <c r="L86" s="1"/>
    </row>
    <row r="87" spans="1:14">
      <c r="A87" s="260" t="s">
        <v>12</v>
      </c>
      <c r="B87" s="46"/>
      <c r="C87" s="46"/>
      <c r="D87" s="46"/>
      <c r="E87" s="46"/>
      <c r="F87" s="46"/>
      <c r="G87" s="46"/>
      <c r="H87" s="1"/>
      <c r="I87" s="1"/>
      <c r="J87" s="1"/>
      <c r="K87" s="1"/>
      <c r="L87" s="1"/>
    </row>
    <row r="88" spans="1:14">
      <c r="A88" s="260"/>
      <c r="B88" s="46"/>
      <c r="C88" s="46"/>
      <c r="D88" s="46"/>
      <c r="E88" s="46"/>
      <c r="F88" s="46"/>
      <c r="G88" s="46"/>
      <c r="H88" s="1"/>
      <c r="I88" s="1"/>
      <c r="J88" s="1"/>
      <c r="K88" s="1"/>
      <c r="L88" s="1"/>
    </row>
    <row r="89" spans="1:14">
      <c r="A89" s="1"/>
      <c r="B89" s="829" t="s">
        <v>1469</v>
      </c>
      <c r="C89" s="829"/>
      <c r="D89" s="829"/>
      <c r="E89" s="829"/>
      <c r="F89" s="829"/>
      <c r="G89" s="829"/>
      <c r="H89" s="829"/>
      <c r="I89" s="1"/>
      <c r="J89" s="1"/>
      <c r="K89" s="1"/>
      <c r="L89" s="1"/>
    </row>
    <row r="90" spans="1:14" ht="62.4">
      <c r="A90" s="1"/>
      <c r="B90" s="4" t="s">
        <v>49</v>
      </c>
      <c r="C90" s="4" t="s">
        <v>1470</v>
      </c>
      <c r="D90" s="4" t="s">
        <v>47</v>
      </c>
      <c r="E90" s="4" t="s">
        <v>152</v>
      </c>
      <c r="F90" s="4" t="s">
        <v>1471</v>
      </c>
      <c r="G90" s="4" t="s">
        <v>587</v>
      </c>
      <c r="H90" s="4" t="s">
        <v>1472</v>
      </c>
      <c r="I90" s="1"/>
      <c r="J90" s="1"/>
      <c r="K90" s="1"/>
      <c r="L90" s="1"/>
    </row>
    <row r="91" spans="1:14">
      <c r="A91" s="1"/>
      <c r="B91" s="32">
        <v>2019</v>
      </c>
      <c r="C91" s="92">
        <v>16080</v>
      </c>
      <c r="D91" s="92">
        <v>10537200</v>
      </c>
      <c r="E91" s="92">
        <v>11064120</v>
      </c>
      <c r="F91" s="92">
        <v>12545160</v>
      </c>
      <c r="G91" s="92">
        <v>7130200</v>
      </c>
      <c r="H91" s="462">
        <v>0.25</v>
      </c>
      <c r="I91" s="1"/>
      <c r="J91" s="1"/>
      <c r="K91" s="1"/>
      <c r="L91" s="1"/>
    </row>
    <row r="92" spans="1:14">
      <c r="A92" s="1"/>
      <c r="B92" s="32">
        <v>2020</v>
      </c>
      <c r="C92" s="92">
        <v>16560</v>
      </c>
      <c r="D92" s="92">
        <v>11330400</v>
      </c>
      <c r="E92" s="92">
        <v>11606760</v>
      </c>
      <c r="F92" s="92">
        <v>12777120</v>
      </c>
      <c r="G92" s="92">
        <v>7449200</v>
      </c>
      <c r="H92" s="462">
        <v>0.3</v>
      </c>
      <c r="I92" s="1"/>
      <c r="J92" s="1"/>
      <c r="K92" s="1"/>
      <c r="L92" s="1"/>
    </row>
    <row r="93" spans="1:14">
      <c r="A93" s="1"/>
      <c r="B93" s="32">
        <v>2021</v>
      </c>
      <c r="C93" s="92">
        <v>16860</v>
      </c>
      <c r="D93" s="92">
        <v>11802000</v>
      </c>
      <c r="E93" s="92">
        <v>11802000</v>
      </c>
      <c r="F93" s="92">
        <v>12613560</v>
      </c>
      <c r="G93" s="92">
        <v>6824400</v>
      </c>
      <c r="H93" s="462">
        <v>0.45</v>
      </c>
      <c r="I93" s="1"/>
      <c r="J93" s="1"/>
      <c r="K93" s="1"/>
      <c r="L93" s="1"/>
    </row>
    <row r="94" spans="1:14">
      <c r="A94" s="1"/>
      <c r="B94" s="27" t="s">
        <v>132</v>
      </c>
      <c r="C94" s="196">
        <f t="shared" ref="C94:H94" si="7">SUM(C91:C93)</f>
        <v>49500</v>
      </c>
      <c r="D94" s="196">
        <f t="shared" si="7"/>
        <v>33669600</v>
      </c>
      <c r="E94" s="196">
        <f t="shared" si="7"/>
        <v>34472880</v>
      </c>
      <c r="F94" s="196">
        <f t="shared" si="7"/>
        <v>37935840</v>
      </c>
      <c r="G94" s="196">
        <f t="shared" si="7"/>
        <v>21403800</v>
      </c>
      <c r="H94" s="555">
        <f t="shared" si="7"/>
        <v>1</v>
      </c>
      <c r="I94" s="1"/>
      <c r="J94" s="1"/>
      <c r="K94" s="1"/>
      <c r="L94" s="1"/>
    </row>
    <row r="95" spans="1:14">
      <c r="A95" s="260"/>
      <c r="B95" s="46"/>
      <c r="C95" s="1"/>
      <c r="D95" s="1"/>
      <c r="E95" s="1"/>
      <c r="F95" s="1"/>
      <c r="G95" s="1"/>
      <c r="H95" s="1"/>
      <c r="I95" s="1"/>
      <c r="J95" s="1"/>
      <c r="K95" s="1"/>
      <c r="L95" s="1"/>
    </row>
    <row r="96" spans="1:14">
      <c r="A96" s="1"/>
      <c r="B96" s="492" t="s">
        <v>1473</v>
      </c>
      <c r="C96" s="1"/>
      <c r="D96" s="231">
        <v>80000</v>
      </c>
      <c r="E96" s="1" t="s">
        <v>1474</v>
      </c>
      <c r="F96" s="1"/>
      <c r="G96" s="1"/>
      <c r="H96" s="1"/>
      <c r="I96" s="1"/>
      <c r="J96" s="1"/>
      <c r="K96" s="1"/>
      <c r="L96" s="1"/>
    </row>
    <row r="97" spans="1:12">
      <c r="A97" s="1"/>
      <c r="B97" s="492" t="s">
        <v>1475</v>
      </c>
      <c r="C97" s="1"/>
      <c r="D97" s="1"/>
      <c r="E97" s="1"/>
      <c r="F97" s="1"/>
      <c r="G97" s="1"/>
      <c r="H97" s="1"/>
      <c r="I97" s="1"/>
      <c r="J97" s="1"/>
      <c r="K97" s="1"/>
      <c r="L97" s="1"/>
    </row>
    <row r="98" spans="1:12">
      <c r="A98" s="1"/>
      <c r="B98" s="492" t="s">
        <v>1476</v>
      </c>
      <c r="C98" s="1"/>
      <c r="D98" s="1"/>
      <c r="E98" s="1"/>
      <c r="F98" s="377">
        <v>0.7</v>
      </c>
      <c r="G98" s="1"/>
      <c r="H98" s="1"/>
      <c r="I98" s="1"/>
      <c r="J98" s="1"/>
      <c r="K98" s="1"/>
      <c r="L98" s="1"/>
    </row>
    <row r="99" spans="1:12">
      <c r="A99" s="1"/>
      <c r="B99" s="492" t="s">
        <v>1477</v>
      </c>
      <c r="C99" s="1"/>
      <c r="D99" s="377">
        <v>0.12</v>
      </c>
      <c r="E99" s="1"/>
      <c r="F99" s="1"/>
      <c r="G99" s="1"/>
      <c r="H99" s="1"/>
      <c r="I99" s="1"/>
      <c r="J99" s="1"/>
      <c r="K99" s="1"/>
      <c r="L99" s="1"/>
    </row>
    <row r="100" spans="1:12">
      <c r="A100" s="1"/>
      <c r="B100" s="492" t="s">
        <v>1478</v>
      </c>
      <c r="C100" s="1"/>
      <c r="D100" s="377">
        <v>0.05</v>
      </c>
      <c r="E100" s="1" t="s">
        <v>1479</v>
      </c>
      <c r="F100" s="1"/>
      <c r="G100" s="1"/>
      <c r="H100" s="1"/>
      <c r="I100" s="1"/>
      <c r="J100" s="1"/>
      <c r="K100" s="1"/>
      <c r="L100" s="1"/>
    </row>
    <row r="101" spans="1:12">
      <c r="A101" s="1"/>
      <c r="B101" s="492" t="s">
        <v>1480</v>
      </c>
      <c r="C101" s="1"/>
      <c r="D101" s="1"/>
      <c r="E101" s="377">
        <v>0.15</v>
      </c>
      <c r="F101" s="1" t="s">
        <v>1479</v>
      </c>
      <c r="G101" s="1"/>
      <c r="H101" s="1"/>
      <c r="I101" s="1"/>
      <c r="J101" s="1"/>
      <c r="K101" s="1"/>
      <c r="L101" s="1"/>
    </row>
    <row r="102" spans="1:12">
      <c r="A102" s="1"/>
      <c r="B102" s="492" t="s">
        <v>1481</v>
      </c>
      <c r="C102" s="1"/>
      <c r="D102" s="1"/>
      <c r="E102" s="377">
        <v>0.04</v>
      </c>
      <c r="F102" s="1" t="s">
        <v>1479</v>
      </c>
      <c r="G102" s="1"/>
      <c r="H102" s="1"/>
      <c r="I102" s="1"/>
      <c r="J102" s="1"/>
      <c r="K102" s="1"/>
      <c r="L102" s="1"/>
    </row>
    <row r="103" spans="1:12">
      <c r="A103" s="14"/>
      <c r="B103" s="14"/>
      <c r="C103" s="14"/>
      <c r="D103" s="14"/>
      <c r="E103" s="14"/>
      <c r="F103" s="14"/>
      <c r="G103" s="1"/>
      <c r="H103" s="1"/>
      <c r="I103" s="1"/>
      <c r="J103" s="1"/>
      <c r="K103" s="1"/>
      <c r="L103" s="1"/>
    </row>
    <row r="105" spans="1:12">
      <c r="A105" s="17" t="s">
        <v>25</v>
      </c>
      <c r="B105" s="1" t="s">
        <v>1482</v>
      </c>
      <c r="C105" s="1"/>
      <c r="D105" s="1"/>
      <c r="E105" s="1"/>
      <c r="F105" s="1"/>
      <c r="G105" s="1"/>
      <c r="H105" s="1"/>
      <c r="I105" s="1"/>
      <c r="J105" s="1"/>
      <c r="K105" s="1"/>
      <c r="L105" s="1"/>
    </row>
    <row r="106" spans="1:12">
      <c r="A106" s="14"/>
      <c r="B106" s="14"/>
      <c r="C106" s="14"/>
      <c r="D106" s="14"/>
      <c r="E106" s="14"/>
      <c r="F106" s="14"/>
      <c r="G106" s="1"/>
      <c r="H106" s="1"/>
      <c r="I106" s="1"/>
      <c r="J106" s="1"/>
      <c r="K106" s="1"/>
      <c r="L106" s="1"/>
    </row>
    <row r="107" spans="1:12">
      <c r="A107" s="3"/>
      <c r="B107" s="3"/>
      <c r="C107" s="3"/>
      <c r="D107" s="3"/>
      <c r="E107" s="3"/>
      <c r="F107" s="3"/>
      <c r="G107" s="3"/>
      <c r="H107" s="3"/>
      <c r="I107" s="3"/>
      <c r="J107" s="3"/>
      <c r="K107" s="3"/>
      <c r="L107" s="3"/>
    </row>
    <row r="108" spans="1:12">
      <c r="A108" s="3" t="s">
        <v>20</v>
      </c>
      <c r="B108" s="3"/>
      <c r="C108" s="3"/>
      <c r="D108" s="3"/>
      <c r="E108" s="3"/>
      <c r="F108" s="3"/>
      <c r="G108" s="3"/>
      <c r="H108" s="3"/>
      <c r="I108" s="3"/>
      <c r="J108" s="3"/>
      <c r="K108" s="3"/>
      <c r="L108" s="3"/>
    </row>
    <row r="109" spans="1:12" ht="46.8">
      <c r="A109" s="3"/>
      <c r="B109" s="93" t="s">
        <v>49</v>
      </c>
      <c r="C109" s="93" t="s">
        <v>1471</v>
      </c>
      <c r="D109" s="93" t="s">
        <v>587</v>
      </c>
      <c r="E109" s="93" t="s">
        <v>839</v>
      </c>
      <c r="F109" s="93" t="s">
        <v>1472</v>
      </c>
      <c r="G109" s="18"/>
      <c r="H109" s="18"/>
      <c r="J109" s="3"/>
      <c r="K109" s="3"/>
      <c r="L109" s="3"/>
    </row>
    <row r="110" spans="1:12">
      <c r="A110" s="3"/>
      <c r="B110" s="94">
        <v>2019</v>
      </c>
      <c r="C110" s="83">
        <f>F91</f>
        <v>12545160</v>
      </c>
      <c r="D110" s="83">
        <f t="shared" ref="D110:D112" si="8">G91</f>
        <v>7130200</v>
      </c>
      <c r="E110" s="112">
        <f>D110/C110</f>
        <v>0.56836261952816858</v>
      </c>
      <c r="F110" s="181">
        <f>H91</f>
        <v>0.25</v>
      </c>
      <c r="G110" s="18"/>
      <c r="H110" s="18"/>
      <c r="J110" s="3"/>
      <c r="K110" s="3"/>
      <c r="L110" s="3"/>
    </row>
    <row r="111" spans="1:12">
      <c r="B111" s="94">
        <f>B110+1</f>
        <v>2020</v>
      </c>
      <c r="C111" s="83">
        <f t="shared" ref="C111:C112" si="9">F92</f>
        <v>12777120</v>
      </c>
      <c r="D111" s="83">
        <f t="shared" si="8"/>
        <v>7449200</v>
      </c>
      <c r="E111" s="112">
        <f>D111/C111</f>
        <v>0.58301088195148831</v>
      </c>
      <c r="F111" s="181">
        <f t="shared" ref="F111:F112" si="10">H92</f>
        <v>0.3</v>
      </c>
      <c r="G111" s="18"/>
      <c r="H111" s="18"/>
    </row>
    <row r="112" spans="1:12">
      <c r="B112" s="107">
        <f>B111+1</f>
        <v>2021</v>
      </c>
      <c r="C112" s="86">
        <f t="shared" si="9"/>
        <v>12613560</v>
      </c>
      <c r="D112" s="86">
        <f t="shared" si="8"/>
        <v>6824400</v>
      </c>
      <c r="E112" s="174">
        <f>D112/C112</f>
        <v>0.54103678897947927</v>
      </c>
      <c r="F112" s="183">
        <f t="shared" si="10"/>
        <v>0.45</v>
      </c>
      <c r="G112" s="18"/>
      <c r="H112" s="18"/>
    </row>
    <row r="113" spans="2:13">
      <c r="B113" s="3" t="s">
        <v>291</v>
      </c>
      <c r="C113" s="83"/>
      <c r="D113" s="83"/>
      <c r="E113" s="95">
        <f>SUMPRODUCT(E110:E112,F110:F112)</f>
        <v>0.56046047450825431</v>
      </c>
      <c r="F113" s="181"/>
      <c r="G113" s="18"/>
      <c r="H113" s="18"/>
    </row>
    <row r="114" spans="2:13">
      <c r="B114" s="3"/>
      <c r="C114" s="3"/>
      <c r="D114" s="3"/>
      <c r="E114" s="3"/>
      <c r="F114" s="3"/>
      <c r="G114" s="3"/>
      <c r="H114" s="3"/>
      <c r="I114" s="62"/>
      <c r="M114" s="3"/>
    </row>
    <row r="115" spans="2:13">
      <c r="B115" s="3" t="s">
        <v>1483</v>
      </c>
      <c r="C115" s="3"/>
      <c r="D115" s="3"/>
      <c r="E115" s="3"/>
      <c r="F115" s="12">
        <f>E83</f>
        <v>12026.799400993941</v>
      </c>
      <c r="G115" s="3"/>
      <c r="H115" s="3"/>
      <c r="I115" s="62"/>
    </row>
    <row r="116" spans="2:13">
      <c r="B116" s="3" t="s">
        <v>1484</v>
      </c>
      <c r="C116" s="3"/>
      <c r="D116" s="3"/>
      <c r="E116" s="3"/>
      <c r="F116" s="12">
        <f>C93</f>
        <v>16860</v>
      </c>
      <c r="G116" s="3"/>
      <c r="H116" s="3"/>
      <c r="I116" s="62"/>
    </row>
    <row r="117" spans="2:13">
      <c r="B117" s="3" t="s">
        <v>1485</v>
      </c>
      <c r="C117" s="3"/>
      <c r="D117" s="3"/>
      <c r="E117" s="3"/>
      <c r="F117" s="12">
        <f>F93</f>
        <v>12613560</v>
      </c>
      <c r="G117" s="3"/>
      <c r="H117" s="3"/>
      <c r="I117" s="62"/>
    </row>
    <row r="118" spans="2:13">
      <c r="B118" s="3" t="s">
        <v>1486</v>
      </c>
      <c r="C118" s="3"/>
      <c r="D118" s="3"/>
      <c r="E118" s="3"/>
      <c r="F118" s="259">
        <f>(F115/100)*F116/F117</f>
        <v>0.16075702490078761</v>
      </c>
      <c r="G118" s="3"/>
      <c r="H118" s="3"/>
      <c r="I118" s="62"/>
    </row>
    <row r="119" spans="2:13">
      <c r="B119" s="3" t="s">
        <v>1487</v>
      </c>
      <c r="C119" s="3"/>
      <c r="D119" s="3"/>
      <c r="E119" s="3"/>
      <c r="F119" s="276">
        <f>D99</f>
        <v>0.12</v>
      </c>
      <c r="G119" s="18"/>
      <c r="H119" s="18"/>
      <c r="I119" s="3"/>
    </row>
    <row r="120" spans="2:13">
      <c r="B120" s="3" t="s">
        <v>1488</v>
      </c>
      <c r="C120" s="3"/>
      <c r="D120" s="3"/>
      <c r="E120" s="3"/>
      <c r="F120" s="10">
        <f>(E113+F118)*(1+F119)</f>
        <v>0.80776359933812703</v>
      </c>
      <c r="G120" s="18"/>
      <c r="H120" s="18"/>
      <c r="I120" s="3"/>
    </row>
    <row r="121" spans="2:13">
      <c r="B121" s="3" t="str">
        <f>"Credibility of experience period (full credibility = "&amp;TEXT(D96,"0,000")&amp;")"</f>
        <v>Credibility of experience period (full credibility = 80,000)</v>
      </c>
      <c r="C121" s="3"/>
      <c r="D121" s="3"/>
      <c r="E121" s="3"/>
      <c r="F121" s="10">
        <f>SQRT(C94/D96)</f>
        <v>0.78660663612761372</v>
      </c>
      <c r="G121" s="18"/>
      <c r="H121" s="18"/>
      <c r="I121" s="3"/>
    </row>
    <row r="122" spans="2:13">
      <c r="B122" s="3" t="s">
        <v>1489</v>
      </c>
      <c r="C122" s="3"/>
      <c r="D122" s="3"/>
      <c r="E122" s="3"/>
      <c r="F122" s="276">
        <f>F98</f>
        <v>0.7</v>
      </c>
      <c r="G122" s="3"/>
      <c r="H122" s="3"/>
      <c r="I122" s="3"/>
    </row>
    <row r="123" spans="2:13">
      <c r="B123" s="3" t="s">
        <v>1490</v>
      </c>
      <c r="C123" s="3"/>
      <c r="D123" s="3"/>
      <c r="E123" s="3"/>
      <c r="F123" s="10">
        <f>F121*F120+(1-F121)*F122</f>
        <v>0.784767562372368</v>
      </c>
      <c r="G123" s="3"/>
      <c r="H123" s="3"/>
      <c r="I123" s="3"/>
    </row>
    <row r="124" spans="2:13">
      <c r="B124" s="3" t="s">
        <v>1491</v>
      </c>
      <c r="C124" s="3"/>
      <c r="D124" s="3"/>
      <c r="E124" s="3"/>
      <c r="F124" s="276">
        <f>D100</f>
        <v>0.05</v>
      </c>
      <c r="G124" s="3"/>
      <c r="H124" s="3"/>
      <c r="I124" s="3"/>
    </row>
    <row r="125" spans="2:13">
      <c r="B125" s="3" t="s">
        <v>1492</v>
      </c>
      <c r="C125" s="3"/>
      <c r="D125" s="3"/>
      <c r="E125" s="3"/>
      <c r="F125" s="276">
        <f>E101</f>
        <v>0.15</v>
      </c>
      <c r="G125" s="3"/>
      <c r="H125" s="3"/>
      <c r="I125" s="3"/>
    </row>
    <row r="126" spans="2:13">
      <c r="B126" s="3" t="s">
        <v>1493</v>
      </c>
      <c r="C126" s="3"/>
      <c r="D126" s="3"/>
      <c r="E126" s="3"/>
      <c r="F126" s="276">
        <f>E102</f>
        <v>0.04</v>
      </c>
      <c r="G126" s="3"/>
      <c r="H126" s="3"/>
      <c r="I126" s="3"/>
    </row>
    <row r="127" spans="2:13">
      <c r="B127" s="3" t="s">
        <v>1494</v>
      </c>
      <c r="C127" s="3"/>
      <c r="D127" s="3"/>
      <c r="E127" s="3"/>
      <c r="F127" s="10">
        <f>(F123+F124)/(1-F125-F126)-1</f>
        <v>3.0577237496750787E-2</v>
      </c>
      <c r="G127" s="3"/>
      <c r="H127" s="3"/>
      <c r="I127" s="3"/>
    </row>
  </sheetData>
  <mergeCells count="5">
    <mergeCell ref="B79:C79"/>
    <mergeCell ref="B80:C80"/>
    <mergeCell ref="B81:C81"/>
    <mergeCell ref="B83:C83"/>
    <mergeCell ref="B89:H89"/>
  </mergeCells>
  <hyperlinks>
    <hyperlink ref="O1" location="TOC!A1" display="Table of Contents" xr:uid="{E93DCCD9-8AA5-40B4-8DB4-046ED9A2A5EF}"/>
  </hyperlinks>
  <pageMargins left="0.7" right="0.7" top="0.75" bottom="0.75" header="0.3" footer="0.3"/>
  <pageSetup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165E-6DAD-4DAB-9E2B-25435551315A}">
  <dimension ref="A1:R148"/>
  <sheetViews>
    <sheetView zoomScaleNormal="100" workbookViewId="0"/>
  </sheetViews>
  <sheetFormatPr defaultColWidth="8.88671875" defaultRowHeight="15.6"/>
  <cols>
    <col min="1" max="1" width="8.88671875" style="2" customWidth="1"/>
    <col min="2" max="10" width="11.6640625" style="2" customWidth="1"/>
    <col min="11" max="16384" width="8.88671875" style="2"/>
  </cols>
  <sheetData>
    <row r="1" spans="1:15" ht="17.399999999999999">
      <c r="A1" s="13" t="s">
        <v>1941</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260" t="s">
        <v>1495</v>
      </c>
      <c r="B3" s="524"/>
      <c r="C3" s="524"/>
      <c r="D3" s="524"/>
      <c r="E3" s="524"/>
      <c r="F3" s="524"/>
      <c r="G3" s="524"/>
      <c r="H3" s="524"/>
      <c r="I3" s="524"/>
      <c r="J3" s="1"/>
      <c r="K3" s="1"/>
      <c r="L3" s="1"/>
    </row>
    <row r="4" spans="1:15">
      <c r="A4" s="260"/>
      <c r="B4" s="524"/>
      <c r="C4" s="524"/>
      <c r="D4" s="524"/>
      <c r="E4" s="524"/>
      <c r="F4" s="524"/>
      <c r="G4" s="524"/>
      <c r="H4" s="524"/>
      <c r="I4" s="524"/>
      <c r="J4" s="1"/>
      <c r="K4" s="1"/>
      <c r="L4" s="1"/>
    </row>
    <row r="5" spans="1:15" ht="31.2">
      <c r="A5" s="1"/>
      <c r="B5" s="5" t="s">
        <v>49</v>
      </c>
      <c r="C5" s="5" t="s">
        <v>4</v>
      </c>
      <c r="D5" s="524"/>
      <c r="E5" s="524"/>
      <c r="F5" s="524"/>
      <c r="G5" s="524"/>
      <c r="H5" s="524"/>
      <c r="I5" s="524"/>
      <c r="J5" s="524"/>
      <c r="K5" s="1"/>
      <c r="L5" s="1"/>
    </row>
    <row r="6" spans="1:15">
      <c r="A6" s="1"/>
      <c r="B6" s="32">
        <v>2014</v>
      </c>
      <c r="C6" s="92">
        <v>15262</v>
      </c>
      <c r="D6" s="524"/>
      <c r="E6" s="524"/>
      <c r="F6" s="524"/>
      <c r="G6" s="524"/>
      <c r="H6" s="524"/>
      <c r="I6" s="524"/>
      <c r="J6" s="524"/>
      <c r="K6" s="1"/>
      <c r="L6" s="1"/>
    </row>
    <row r="7" spans="1:15">
      <c r="A7" s="1"/>
      <c r="B7" s="32">
        <v>2015</v>
      </c>
      <c r="C7" s="92">
        <v>15567</v>
      </c>
      <c r="D7" s="524"/>
      <c r="E7" s="524"/>
      <c r="F7" s="524"/>
      <c r="G7" s="524"/>
      <c r="H7" s="524"/>
      <c r="I7" s="524"/>
      <c r="J7" s="524"/>
      <c r="K7" s="1"/>
      <c r="L7" s="1"/>
    </row>
    <row r="8" spans="1:15">
      <c r="A8" s="1"/>
      <c r="B8" s="32">
        <v>2016</v>
      </c>
      <c r="C8" s="92">
        <v>15878</v>
      </c>
      <c r="D8" s="524"/>
      <c r="E8" s="524"/>
      <c r="F8" s="524"/>
      <c r="G8" s="524"/>
      <c r="H8" s="524"/>
      <c r="I8" s="524"/>
      <c r="J8" s="524"/>
      <c r="K8" s="1"/>
      <c r="L8" s="1"/>
    </row>
    <row r="9" spans="1:15">
      <c r="A9" s="1"/>
      <c r="B9" s="32">
        <v>2017</v>
      </c>
      <c r="C9" s="92">
        <v>16354</v>
      </c>
      <c r="D9" s="524"/>
      <c r="E9" s="524"/>
      <c r="F9" s="524"/>
      <c r="G9" s="524"/>
      <c r="H9" s="524"/>
      <c r="I9" s="524"/>
      <c r="J9" s="524"/>
      <c r="K9" s="1"/>
      <c r="L9" s="1"/>
    </row>
    <row r="10" spans="1:15">
      <c r="A10" s="1"/>
      <c r="B10" s="32">
        <v>2018</v>
      </c>
      <c r="C10" s="92">
        <v>16845</v>
      </c>
      <c r="D10" s="524"/>
      <c r="E10" s="524"/>
      <c r="F10" s="524"/>
      <c r="G10" s="524"/>
      <c r="H10" s="524"/>
      <c r="I10" s="524"/>
      <c r="J10" s="524"/>
      <c r="K10" s="1"/>
      <c r="L10" s="1"/>
    </row>
    <row r="11" spans="1:15">
      <c r="A11" s="1"/>
      <c r="B11" s="32">
        <v>2019</v>
      </c>
      <c r="C11" s="92">
        <v>17687</v>
      </c>
      <c r="D11" s="524"/>
      <c r="E11" s="524"/>
      <c r="F11" s="524"/>
      <c r="G11" s="524"/>
      <c r="H11" s="524"/>
      <c r="I11" s="524"/>
      <c r="J11" s="524"/>
      <c r="K11" s="1"/>
      <c r="L11" s="1"/>
    </row>
    <row r="12" spans="1:15">
      <c r="A12" s="1"/>
      <c r="B12" s="32">
        <v>2020</v>
      </c>
      <c r="C12" s="92">
        <v>19456</v>
      </c>
      <c r="D12" s="524"/>
      <c r="E12" s="524"/>
      <c r="F12" s="524"/>
      <c r="G12" s="524"/>
      <c r="H12" s="524"/>
      <c r="I12" s="524"/>
      <c r="J12" s="524"/>
      <c r="K12" s="1"/>
      <c r="L12" s="1"/>
    </row>
    <row r="13" spans="1:15">
      <c r="A13" s="1"/>
      <c r="B13" s="32">
        <v>2021</v>
      </c>
      <c r="C13" s="92">
        <v>24320</v>
      </c>
      <c r="D13" s="524"/>
      <c r="E13" s="524"/>
      <c r="F13" s="524"/>
      <c r="G13" s="524"/>
      <c r="H13" s="524"/>
      <c r="I13" s="524"/>
      <c r="J13" s="524"/>
      <c r="K13" s="1"/>
      <c r="L13" s="1"/>
    </row>
    <row r="14" spans="1:15">
      <c r="A14" s="1"/>
      <c r="B14" s="260"/>
      <c r="C14" s="524"/>
      <c r="D14" s="524"/>
      <c r="E14" s="524"/>
      <c r="F14" s="524"/>
      <c r="G14" s="524"/>
      <c r="H14" s="524"/>
      <c r="I14" s="524"/>
      <c r="J14" s="524"/>
      <c r="K14" s="1"/>
      <c r="L14" s="1"/>
    </row>
    <row r="15" spans="1:15">
      <c r="A15" s="1"/>
      <c r="B15" s="163" t="s">
        <v>53</v>
      </c>
      <c r="C15" s="841" t="s">
        <v>1496</v>
      </c>
      <c r="D15" s="841"/>
      <c r="E15" s="841"/>
      <c r="F15" s="841"/>
      <c r="G15" s="841"/>
      <c r="H15" s="841"/>
      <c r="I15" s="841"/>
      <c r="J15" s="841"/>
      <c r="K15" s="1"/>
      <c r="L15" s="1"/>
    </row>
    <row r="16" spans="1:15">
      <c r="A16" s="1"/>
      <c r="B16" s="24" t="s">
        <v>55</v>
      </c>
      <c r="C16" s="27">
        <v>12</v>
      </c>
      <c r="D16" s="27">
        <v>24</v>
      </c>
      <c r="E16" s="27">
        <v>36</v>
      </c>
      <c r="F16" s="27">
        <v>48</v>
      </c>
      <c r="G16" s="27">
        <v>60</v>
      </c>
      <c r="H16" s="27">
        <v>72</v>
      </c>
      <c r="I16" s="27">
        <v>84</v>
      </c>
      <c r="J16" s="27">
        <v>96</v>
      </c>
      <c r="K16" s="1"/>
      <c r="L16" s="1"/>
    </row>
    <row r="17" spans="1:12">
      <c r="A17" s="1"/>
      <c r="B17" s="32">
        <v>2014</v>
      </c>
      <c r="C17" s="92">
        <v>311663</v>
      </c>
      <c r="D17" s="92">
        <v>795722</v>
      </c>
      <c r="E17" s="92">
        <v>1524180</v>
      </c>
      <c r="F17" s="92">
        <v>1990256</v>
      </c>
      <c r="G17" s="92">
        <v>2519542</v>
      </c>
      <c r="H17" s="92">
        <v>2855100</v>
      </c>
      <c r="I17" s="92">
        <v>3024598</v>
      </c>
      <c r="J17" s="92">
        <v>3150859</v>
      </c>
      <c r="K17" s="1"/>
      <c r="L17" s="1"/>
    </row>
    <row r="18" spans="1:12">
      <c r="A18" s="1"/>
      <c r="B18" s="32">
        <v>2015</v>
      </c>
      <c r="C18" s="92">
        <v>352341</v>
      </c>
      <c r="D18" s="92">
        <v>930301</v>
      </c>
      <c r="E18" s="92">
        <v>1580111</v>
      </c>
      <c r="F18" s="92">
        <v>2104607</v>
      </c>
      <c r="G18" s="92">
        <v>2700873</v>
      </c>
      <c r="H18" s="92">
        <v>3066239</v>
      </c>
      <c r="I18" s="92">
        <v>3334361</v>
      </c>
      <c r="J18" s="32"/>
      <c r="K18" s="1"/>
      <c r="L18" s="1"/>
    </row>
    <row r="19" spans="1:12">
      <c r="A19" s="1"/>
      <c r="B19" s="32">
        <v>2016</v>
      </c>
      <c r="C19" s="92">
        <v>328658</v>
      </c>
      <c r="D19" s="92">
        <v>1005033</v>
      </c>
      <c r="E19" s="92">
        <v>1875126</v>
      </c>
      <c r="F19" s="92">
        <v>2382118</v>
      </c>
      <c r="G19" s="92">
        <v>2941424</v>
      </c>
      <c r="H19" s="92">
        <v>3340680</v>
      </c>
      <c r="I19" s="32"/>
      <c r="J19" s="32"/>
      <c r="K19" s="1"/>
      <c r="L19" s="1"/>
    </row>
    <row r="20" spans="1:12">
      <c r="A20" s="1"/>
      <c r="B20" s="32">
        <v>2017</v>
      </c>
      <c r="C20" s="92">
        <v>365949</v>
      </c>
      <c r="D20" s="92">
        <v>1062531</v>
      </c>
      <c r="E20" s="92">
        <v>1891013</v>
      </c>
      <c r="F20" s="92">
        <v>2706041</v>
      </c>
      <c r="G20" s="92">
        <v>3211463</v>
      </c>
      <c r="H20" s="32"/>
      <c r="I20" s="32"/>
      <c r="J20" s="32"/>
      <c r="K20" s="1"/>
      <c r="L20" s="1"/>
    </row>
    <row r="21" spans="1:12">
      <c r="A21" s="1"/>
      <c r="B21" s="32">
        <v>2018</v>
      </c>
      <c r="C21" s="92">
        <v>484892</v>
      </c>
      <c r="D21" s="92">
        <v>1196440</v>
      </c>
      <c r="E21" s="92">
        <v>2104325</v>
      </c>
      <c r="F21" s="92">
        <v>3005560</v>
      </c>
      <c r="G21" s="32"/>
      <c r="H21" s="32"/>
      <c r="I21" s="32"/>
      <c r="J21" s="32"/>
      <c r="K21" s="1"/>
      <c r="L21" s="1"/>
    </row>
    <row r="22" spans="1:12">
      <c r="A22" s="1"/>
      <c r="B22" s="32">
        <v>2019</v>
      </c>
      <c r="C22" s="92">
        <v>520095</v>
      </c>
      <c r="D22" s="92">
        <v>1227907</v>
      </c>
      <c r="E22" s="92">
        <v>2385228</v>
      </c>
      <c r="F22" s="32"/>
      <c r="G22" s="32"/>
      <c r="H22" s="32"/>
      <c r="I22" s="32"/>
      <c r="J22" s="32"/>
      <c r="K22" s="1"/>
      <c r="L22" s="1"/>
    </row>
    <row r="23" spans="1:12">
      <c r="A23" s="1"/>
      <c r="B23" s="32">
        <v>2020</v>
      </c>
      <c r="C23" s="92">
        <v>535233</v>
      </c>
      <c r="D23" s="92">
        <v>1491676</v>
      </c>
      <c r="E23" s="32"/>
      <c r="F23" s="32"/>
      <c r="G23" s="32"/>
      <c r="H23" s="32"/>
      <c r="I23" s="32"/>
      <c r="J23" s="32"/>
      <c r="K23" s="1"/>
      <c r="L23" s="1"/>
    </row>
    <row r="24" spans="1:12">
      <c r="A24" s="1"/>
      <c r="B24" s="32">
        <v>2021</v>
      </c>
      <c r="C24" s="92">
        <v>766038</v>
      </c>
      <c r="D24" s="32"/>
      <c r="E24" s="32"/>
      <c r="F24" s="32"/>
      <c r="G24" s="32"/>
      <c r="H24" s="32"/>
      <c r="I24" s="32"/>
      <c r="J24" s="32"/>
      <c r="K24" s="1"/>
      <c r="L24" s="1"/>
    </row>
    <row r="25" spans="1:12">
      <c r="A25" s="1"/>
      <c r="B25" s="1"/>
      <c r="C25" s="1"/>
      <c r="D25" s="1"/>
      <c r="E25" s="1"/>
      <c r="F25" s="1"/>
      <c r="G25" s="1"/>
      <c r="H25" s="1"/>
      <c r="I25" s="1"/>
      <c r="J25" s="1"/>
      <c r="K25" s="1"/>
      <c r="L25" s="1"/>
    </row>
    <row r="26" spans="1:12">
      <c r="A26" s="1"/>
      <c r="B26" s="163" t="s">
        <v>53</v>
      </c>
      <c r="C26" s="853" t="s">
        <v>1497</v>
      </c>
      <c r="D26" s="841"/>
      <c r="E26" s="841"/>
      <c r="F26" s="841"/>
      <c r="G26" s="841"/>
      <c r="H26" s="841"/>
      <c r="I26" s="841"/>
      <c r="J26" s="841"/>
      <c r="K26" s="1"/>
      <c r="L26" s="1"/>
    </row>
    <row r="27" spans="1:12">
      <c r="A27" s="1"/>
      <c r="B27" s="24" t="s">
        <v>55</v>
      </c>
      <c r="C27" s="556">
        <v>44919</v>
      </c>
      <c r="D27" s="27" t="s">
        <v>992</v>
      </c>
      <c r="E27" s="27" t="s">
        <v>993</v>
      </c>
      <c r="F27" s="27" t="s">
        <v>994</v>
      </c>
      <c r="G27" s="27" t="s">
        <v>995</v>
      </c>
      <c r="H27" s="27" t="s">
        <v>996</v>
      </c>
      <c r="I27" s="27" t="s">
        <v>997</v>
      </c>
      <c r="J27" s="27" t="s">
        <v>1498</v>
      </c>
      <c r="K27" s="1"/>
      <c r="L27" s="1"/>
    </row>
    <row r="28" spans="1:12">
      <c r="A28" s="1"/>
      <c r="B28" s="197">
        <v>2014</v>
      </c>
      <c r="C28" s="184">
        <v>2.5529999999999999</v>
      </c>
      <c r="D28" s="184">
        <v>1.915</v>
      </c>
      <c r="E28" s="184">
        <v>1.306</v>
      </c>
      <c r="F28" s="184">
        <v>1.266</v>
      </c>
      <c r="G28" s="184">
        <v>1.133</v>
      </c>
      <c r="H28" s="184">
        <v>1.0589999999999999</v>
      </c>
      <c r="I28" s="184">
        <v>1.042</v>
      </c>
      <c r="J28" s="184"/>
      <c r="K28" s="1"/>
      <c r="L28" s="1"/>
    </row>
    <row r="29" spans="1:12">
      <c r="A29" s="1"/>
      <c r="B29" s="32">
        <v>2015</v>
      </c>
      <c r="C29" s="184">
        <v>2.64</v>
      </c>
      <c r="D29" s="184">
        <v>1.698</v>
      </c>
      <c r="E29" s="184">
        <v>1.3320000000000001</v>
      </c>
      <c r="F29" s="184">
        <v>1.2829999999999999</v>
      </c>
      <c r="G29" s="184">
        <v>1.135</v>
      </c>
      <c r="H29" s="184">
        <v>1.087</v>
      </c>
      <c r="I29" s="184"/>
      <c r="J29" s="184"/>
      <c r="K29" s="1"/>
      <c r="L29" s="1"/>
    </row>
    <row r="30" spans="1:12">
      <c r="A30" s="1"/>
      <c r="B30" s="32">
        <v>2016</v>
      </c>
      <c r="C30" s="184">
        <v>3.0579999999999998</v>
      </c>
      <c r="D30" s="184">
        <v>1.8660000000000001</v>
      </c>
      <c r="E30" s="184">
        <v>1.27</v>
      </c>
      <c r="F30" s="184">
        <v>1.2350000000000001</v>
      </c>
      <c r="G30" s="184">
        <v>1.1359999999999999</v>
      </c>
      <c r="H30" s="184"/>
      <c r="I30" s="184"/>
      <c r="J30" s="184"/>
      <c r="K30" s="1"/>
      <c r="L30" s="1"/>
    </row>
    <row r="31" spans="1:12">
      <c r="A31" s="1"/>
      <c r="B31" s="32">
        <v>2017</v>
      </c>
      <c r="C31" s="184">
        <v>2.903</v>
      </c>
      <c r="D31" s="184">
        <v>1.78</v>
      </c>
      <c r="E31" s="184">
        <v>1.431</v>
      </c>
      <c r="F31" s="184">
        <v>1.1870000000000001</v>
      </c>
      <c r="G31" s="184"/>
      <c r="H31" s="184"/>
      <c r="I31" s="184"/>
      <c r="J31" s="184"/>
      <c r="K31" s="1"/>
      <c r="L31" s="1"/>
    </row>
    <row r="32" spans="1:12">
      <c r="A32" s="1"/>
      <c r="B32" s="32">
        <v>2018</v>
      </c>
      <c r="C32" s="184">
        <v>2.4670000000000001</v>
      </c>
      <c r="D32" s="184">
        <v>1.7589999999999999</v>
      </c>
      <c r="E32" s="184">
        <v>1.4279999999999999</v>
      </c>
      <c r="F32" s="184"/>
      <c r="G32" s="184"/>
      <c r="H32" s="184"/>
      <c r="I32" s="184"/>
      <c r="J32" s="184"/>
      <c r="K32" s="1"/>
      <c r="L32" s="1"/>
    </row>
    <row r="33" spans="1:18">
      <c r="A33" s="1"/>
      <c r="B33" s="32">
        <v>2019</v>
      </c>
      <c r="C33" s="184">
        <v>2.3610000000000002</v>
      </c>
      <c r="D33" s="184">
        <v>1.9430000000000001</v>
      </c>
      <c r="E33" s="184"/>
      <c r="F33" s="184"/>
      <c r="G33" s="184"/>
      <c r="H33" s="184"/>
      <c r="I33" s="184"/>
      <c r="J33" s="184"/>
      <c r="K33" s="1"/>
      <c r="L33" s="1"/>
    </row>
    <row r="34" spans="1:18">
      <c r="A34" s="1"/>
      <c r="B34" s="32">
        <v>2020</v>
      </c>
      <c r="C34" s="184">
        <v>2.7869999999999999</v>
      </c>
      <c r="D34" s="184"/>
      <c r="E34" s="184"/>
      <c r="F34" s="184"/>
      <c r="G34" s="184"/>
      <c r="H34" s="184"/>
      <c r="I34" s="184"/>
      <c r="J34" s="557"/>
      <c r="K34" s="1"/>
      <c r="L34" s="1"/>
    </row>
    <row r="35" spans="1:18">
      <c r="A35" s="1"/>
      <c r="B35" s="27" t="s">
        <v>797</v>
      </c>
      <c r="C35" s="558">
        <v>2.681</v>
      </c>
      <c r="D35" s="558">
        <v>1.827</v>
      </c>
      <c r="E35" s="558">
        <v>1.353</v>
      </c>
      <c r="F35" s="558">
        <v>1.2430000000000001</v>
      </c>
      <c r="G35" s="558">
        <v>1.135</v>
      </c>
      <c r="H35" s="558">
        <v>1.073</v>
      </c>
      <c r="I35" s="558">
        <v>1.042</v>
      </c>
      <c r="J35" s="558">
        <v>1</v>
      </c>
      <c r="K35" s="1"/>
      <c r="L35" s="1"/>
    </row>
    <row r="36" spans="1:18">
      <c r="A36" s="260"/>
      <c r="B36" s="524"/>
      <c r="C36" s="524"/>
      <c r="D36" s="524"/>
      <c r="E36" s="524"/>
      <c r="F36" s="524"/>
      <c r="G36" s="524"/>
      <c r="H36" s="524"/>
      <c r="I36" s="524"/>
      <c r="J36" s="1"/>
      <c r="K36" s="1"/>
      <c r="L36" s="1"/>
    </row>
    <row r="37" spans="1:18">
      <c r="A37" s="1" t="s">
        <v>1499</v>
      </c>
      <c r="B37" s="524"/>
      <c r="C37" s="524"/>
      <c r="D37" s="524"/>
      <c r="E37" s="524"/>
      <c r="F37" s="524"/>
      <c r="G37" s="524"/>
      <c r="H37" s="524"/>
      <c r="I37" s="524"/>
      <c r="J37" s="1"/>
      <c r="K37" s="1"/>
      <c r="L37" s="1"/>
    </row>
    <row r="38" spans="1:18">
      <c r="A38" s="1"/>
      <c r="B38" s="1"/>
      <c r="C38" s="1"/>
      <c r="D38" s="1"/>
      <c r="E38" s="1"/>
      <c r="F38" s="1"/>
      <c r="G38" s="1"/>
      <c r="H38" s="1"/>
      <c r="I38" s="1"/>
      <c r="J38" s="1"/>
      <c r="K38" s="1"/>
      <c r="L38" s="1"/>
    </row>
    <row r="39" spans="1:18">
      <c r="A39" s="3"/>
      <c r="B39" s="3"/>
      <c r="C39" s="3"/>
      <c r="D39" s="3"/>
      <c r="E39" s="3"/>
      <c r="F39" s="3"/>
      <c r="G39" s="3"/>
      <c r="H39" s="3"/>
      <c r="I39" s="3"/>
      <c r="J39" s="3"/>
      <c r="K39" s="3"/>
      <c r="L39" s="3"/>
    </row>
    <row r="40" spans="1:18">
      <c r="A40" s="17" t="s">
        <v>91</v>
      </c>
      <c r="B40" s="1" t="s">
        <v>1500</v>
      </c>
      <c r="C40" s="1"/>
      <c r="D40" s="1"/>
      <c r="E40" s="1"/>
      <c r="F40" s="1"/>
      <c r="G40" s="1"/>
      <c r="H40" s="1"/>
      <c r="I40" s="1"/>
      <c r="J40" s="1"/>
      <c r="K40" s="1"/>
      <c r="L40" s="1"/>
      <c r="M40" s="9"/>
      <c r="N40" s="9"/>
      <c r="O40" s="9"/>
      <c r="P40" s="9"/>
      <c r="Q40" s="9"/>
      <c r="R40" s="9"/>
    </row>
    <row r="41" spans="1:18">
      <c r="A41" s="14"/>
      <c r="B41" s="14"/>
      <c r="C41" s="14"/>
      <c r="D41" s="14"/>
      <c r="E41" s="14"/>
      <c r="F41" s="14"/>
      <c r="G41" s="1"/>
      <c r="H41" s="1"/>
      <c r="I41" s="1"/>
      <c r="J41" s="1"/>
      <c r="K41" s="1"/>
      <c r="L41" s="1"/>
    </row>
    <row r="42" spans="1:18">
      <c r="A42" s="3"/>
      <c r="B42" s="3"/>
      <c r="C42" s="3"/>
      <c r="D42" s="3"/>
      <c r="E42" s="3"/>
      <c r="F42" s="3"/>
      <c r="G42" s="3"/>
      <c r="H42" s="3"/>
      <c r="I42" s="3"/>
      <c r="J42" s="3"/>
      <c r="K42" s="3"/>
      <c r="L42" s="3"/>
      <c r="M42" s="3"/>
    </row>
    <row r="43" spans="1:18">
      <c r="A43" s="3" t="s">
        <v>20</v>
      </c>
      <c r="B43" s="3"/>
      <c r="C43" s="3"/>
      <c r="D43" s="3"/>
      <c r="E43" s="3"/>
      <c r="F43" s="3"/>
      <c r="G43" s="3"/>
      <c r="H43" s="3"/>
      <c r="I43" s="3"/>
      <c r="J43" s="3"/>
      <c r="K43" s="3"/>
      <c r="L43" s="3"/>
      <c r="M43" s="3"/>
      <c r="N43" s="9"/>
    </row>
    <row r="44" spans="1:18" ht="31.2">
      <c r="A44" s="3"/>
      <c r="B44" s="559" t="s">
        <v>58</v>
      </c>
      <c r="C44" s="559" t="s">
        <v>1501</v>
      </c>
      <c r="D44" s="559" t="s">
        <v>1502</v>
      </c>
      <c r="E44" s="559" t="s">
        <v>324</v>
      </c>
      <c r="F44" s="559" t="s">
        <v>131</v>
      </c>
      <c r="G44" s="3"/>
      <c r="H44" s="3"/>
      <c r="I44" s="3"/>
      <c r="J44" s="3"/>
      <c r="K44" s="3"/>
      <c r="L44" s="3"/>
      <c r="M44" s="3"/>
      <c r="N44" s="9"/>
    </row>
    <row r="45" spans="1:18">
      <c r="A45" s="3"/>
      <c r="B45" s="560">
        <f>B17</f>
        <v>2014</v>
      </c>
      <c r="C45" s="105">
        <f ca="1">OFFSET($J$35,0,(2014-B45),1,1)</f>
        <v>1</v>
      </c>
      <c r="D45" s="105">
        <f ca="1">C45</f>
        <v>1</v>
      </c>
      <c r="E45" s="12">
        <f ca="1">OFFSET($J$17,(B45-2014),(2014-B45),1,1)</f>
        <v>3150859</v>
      </c>
      <c r="F45" s="12">
        <f ca="1">E45*D45</f>
        <v>3150859</v>
      </c>
      <c r="G45" s="3"/>
      <c r="H45" s="3"/>
      <c r="I45" s="3"/>
      <c r="J45" s="3"/>
      <c r="K45" s="3"/>
      <c r="L45" s="3"/>
      <c r="M45" s="3"/>
      <c r="N45" s="9"/>
    </row>
    <row r="46" spans="1:18">
      <c r="A46" s="3"/>
      <c r="B46" s="560">
        <f t="shared" ref="B46:B52" si="0">B18</f>
        <v>2015</v>
      </c>
      <c r="C46" s="105">
        <f t="shared" ref="C46:C52" ca="1" si="1">OFFSET($J$35,0,(2014-B46),1,1)</f>
        <v>1.042</v>
      </c>
      <c r="D46" s="105">
        <f ca="1">C46*D45</f>
        <v>1.042</v>
      </c>
      <c r="E46" s="12">
        <f t="shared" ref="E46:E52" ca="1" si="2">OFFSET($J$17,(B46-2014),(2014-B46),1,1)</f>
        <v>3334361</v>
      </c>
      <c r="F46" s="12">
        <f t="shared" ref="F46:F52" ca="1" si="3">E46*D46</f>
        <v>3474404.162</v>
      </c>
      <c r="G46" s="3"/>
      <c r="H46" s="3"/>
      <c r="I46" s="3"/>
      <c r="J46" s="3"/>
      <c r="K46" s="3"/>
      <c r="L46" s="3"/>
      <c r="M46" s="3"/>
      <c r="N46" s="9"/>
    </row>
    <row r="47" spans="1:18">
      <c r="A47" s="3"/>
      <c r="B47" s="560">
        <f t="shared" si="0"/>
        <v>2016</v>
      </c>
      <c r="C47" s="105">
        <f t="shared" ca="1" si="1"/>
        <v>1.073</v>
      </c>
      <c r="D47" s="105">
        <f t="shared" ref="D47:D52" ca="1" si="4">C47*D46</f>
        <v>1.118066</v>
      </c>
      <c r="E47" s="12">
        <f t="shared" ca="1" si="2"/>
        <v>3340680</v>
      </c>
      <c r="F47" s="12">
        <f t="shared" ca="1" si="3"/>
        <v>3735100.7248800001</v>
      </c>
      <c r="G47" s="3"/>
      <c r="H47" s="3"/>
      <c r="I47" s="3"/>
      <c r="J47" s="3"/>
      <c r="K47" s="3"/>
      <c r="L47" s="3"/>
      <c r="M47" s="3"/>
      <c r="N47" s="9"/>
    </row>
    <row r="48" spans="1:18">
      <c r="A48" s="3"/>
      <c r="B48" s="560">
        <f t="shared" si="0"/>
        <v>2017</v>
      </c>
      <c r="C48" s="105">
        <f t="shared" ca="1" si="1"/>
        <v>1.135</v>
      </c>
      <c r="D48" s="105">
        <f t="shared" ca="1" si="4"/>
        <v>1.26900491</v>
      </c>
      <c r="E48" s="12">
        <f t="shared" ca="1" si="2"/>
        <v>3211463</v>
      </c>
      <c r="F48" s="12">
        <f t="shared" ca="1" si="3"/>
        <v>4075362.3152833302</v>
      </c>
      <c r="G48" s="3"/>
      <c r="H48" s="3"/>
      <c r="I48" s="3"/>
      <c r="J48" s="3"/>
      <c r="K48" s="3"/>
      <c r="L48" s="3"/>
      <c r="M48" s="3"/>
      <c r="N48" s="9"/>
    </row>
    <row r="49" spans="1:14">
      <c r="A49" s="3"/>
      <c r="B49" s="560">
        <f t="shared" si="0"/>
        <v>2018</v>
      </c>
      <c r="C49" s="105">
        <f t="shared" ca="1" si="1"/>
        <v>1.2430000000000001</v>
      </c>
      <c r="D49" s="105">
        <f t="shared" ca="1" si="4"/>
        <v>1.5773731031300002</v>
      </c>
      <c r="E49" s="12">
        <f t="shared" ca="1" si="2"/>
        <v>3005560</v>
      </c>
      <c r="F49" s="12">
        <f t="shared" ca="1" si="3"/>
        <v>4740889.5038434034</v>
      </c>
      <c r="G49" s="3"/>
      <c r="H49" s="3"/>
      <c r="I49" s="3"/>
      <c r="J49" s="3"/>
      <c r="K49" s="3"/>
      <c r="L49" s="3"/>
      <c r="M49" s="3"/>
      <c r="N49" s="9"/>
    </row>
    <row r="50" spans="1:14">
      <c r="A50" s="3"/>
      <c r="B50" s="560">
        <f t="shared" si="0"/>
        <v>2019</v>
      </c>
      <c r="C50" s="105">
        <f t="shared" ca="1" si="1"/>
        <v>1.353</v>
      </c>
      <c r="D50" s="105">
        <f t="shared" ca="1" si="4"/>
        <v>2.1341858085348901</v>
      </c>
      <c r="E50" s="12">
        <f t="shared" ca="1" si="2"/>
        <v>2385228</v>
      </c>
      <c r="F50" s="12">
        <f t="shared" ca="1" si="3"/>
        <v>5090519.747720059</v>
      </c>
      <c r="G50" s="3"/>
      <c r="H50" s="3"/>
      <c r="I50" s="3"/>
      <c r="J50" s="3"/>
      <c r="K50" s="3"/>
      <c r="L50" s="3"/>
      <c r="M50" s="3"/>
      <c r="N50" s="9"/>
    </row>
    <row r="51" spans="1:14">
      <c r="B51" s="560">
        <f t="shared" si="0"/>
        <v>2020</v>
      </c>
      <c r="C51" s="105">
        <f t="shared" ca="1" si="1"/>
        <v>1.827</v>
      </c>
      <c r="D51" s="105">
        <f t="shared" ca="1" si="4"/>
        <v>3.8991574721932443</v>
      </c>
      <c r="E51" s="12">
        <f t="shared" ca="1" si="2"/>
        <v>1491676</v>
      </c>
      <c r="F51" s="12">
        <f t="shared" ca="1" si="3"/>
        <v>5816279.6214913297</v>
      </c>
      <c r="M51" s="9"/>
      <c r="N51" s="9"/>
    </row>
    <row r="52" spans="1:14">
      <c r="B52" s="478">
        <f t="shared" si="0"/>
        <v>2021</v>
      </c>
      <c r="C52" s="109">
        <f t="shared" ca="1" si="1"/>
        <v>2.681</v>
      </c>
      <c r="D52" s="109">
        <f t="shared" ca="1" si="4"/>
        <v>10.453641182950088</v>
      </c>
      <c r="E52" s="348">
        <f t="shared" ca="1" si="2"/>
        <v>766038</v>
      </c>
      <c r="F52" s="348">
        <f t="shared" ca="1" si="3"/>
        <v>8007886.3845047196</v>
      </c>
      <c r="M52" s="9"/>
      <c r="N52" s="9"/>
    </row>
    <row r="53" spans="1:14">
      <c r="B53" s="94" t="s">
        <v>132</v>
      </c>
      <c r="C53" s="62"/>
      <c r="D53" s="62"/>
      <c r="E53" s="12">
        <f ca="1">SUM(E45:E52)</f>
        <v>20685865</v>
      </c>
      <c r="F53" s="12">
        <f ca="1">SUM(F45:F52)</f>
        <v>38091301.459722847</v>
      </c>
      <c r="M53" s="9"/>
      <c r="N53" s="9"/>
    </row>
    <row r="55" spans="1:14">
      <c r="A55" s="17" t="s">
        <v>133</v>
      </c>
      <c r="B55" s="1" t="s">
        <v>1503</v>
      </c>
      <c r="C55" s="1"/>
      <c r="D55" s="1"/>
      <c r="E55" s="1"/>
      <c r="F55" s="1"/>
      <c r="G55" s="1"/>
      <c r="H55" s="1"/>
      <c r="I55" s="1"/>
      <c r="J55" s="1"/>
      <c r="K55" s="1"/>
      <c r="L55" s="1"/>
    </row>
    <row r="56" spans="1:14">
      <c r="A56" s="14"/>
      <c r="B56" s="14"/>
      <c r="C56" s="14"/>
      <c r="D56" s="14"/>
      <c r="E56" s="14"/>
      <c r="F56" s="14"/>
      <c r="G56" s="1"/>
      <c r="H56" s="1"/>
      <c r="I56" s="1"/>
      <c r="J56" s="1"/>
      <c r="K56" s="1"/>
      <c r="L56" s="1"/>
    </row>
    <row r="57" spans="1:14">
      <c r="A57" s="3"/>
      <c r="B57" s="3"/>
      <c r="C57" s="3"/>
      <c r="D57" s="3"/>
      <c r="E57" s="3"/>
      <c r="F57" s="3"/>
      <c r="G57" s="3"/>
      <c r="H57" s="3"/>
      <c r="I57" s="3"/>
      <c r="J57" s="3"/>
      <c r="K57" s="3"/>
      <c r="L57" s="3"/>
    </row>
    <row r="58" spans="1:14">
      <c r="A58" s="3" t="s">
        <v>20</v>
      </c>
      <c r="B58" s="3"/>
      <c r="C58" s="3"/>
      <c r="D58" s="3"/>
      <c r="E58" s="3"/>
      <c r="F58" s="3"/>
      <c r="G58" s="3"/>
      <c r="H58" s="3"/>
      <c r="I58" s="3"/>
      <c r="J58" s="3"/>
      <c r="K58" s="3"/>
      <c r="L58" s="3"/>
    </row>
    <row r="59" spans="1:14">
      <c r="A59" s="3"/>
      <c r="B59" s="414" t="s">
        <v>978</v>
      </c>
      <c r="C59" s="3"/>
      <c r="D59" s="3"/>
      <c r="E59" s="3"/>
      <c r="F59" s="3"/>
      <c r="G59" s="3"/>
      <c r="H59" s="3"/>
      <c r="I59" s="3"/>
      <c r="J59" s="3"/>
      <c r="K59" s="3"/>
      <c r="L59" s="3"/>
    </row>
    <row r="60" spans="1:14">
      <c r="A60" s="3"/>
      <c r="B60" s="561" t="s">
        <v>1504</v>
      </c>
      <c r="C60" s="3"/>
      <c r="D60" s="3"/>
      <c r="E60" s="3"/>
      <c r="F60" s="3"/>
      <c r="G60" s="3"/>
      <c r="H60" s="3"/>
      <c r="I60" s="3"/>
      <c r="J60" s="3"/>
      <c r="K60" s="3"/>
      <c r="L60" s="3"/>
    </row>
    <row r="61" spans="1:14">
      <c r="A61" s="3"/>
      <c r="B61" s="3"/>
      <c r="C61" s="3"/>
      <c r="D61" s="3"/>
      <c r="E61" s="3"/>
      <c r="F61" s="3"/>
      <c r="G61" s="3"/>
      <c r="H61" s="3"/>
      <c r="I61" s="3"/>
      <c r="J61" s="3"/>
      <c r="K61" s="3"/>
      <c r="L61" s="3"/>
    </row>
    <row r="62" spans="1:14">
      <c r="A62" s="3"/>
      <c r="B62" s="3" t="s">
        <v>1505</v>
      </c>
      <c r="C62" s="3"/>
      <c r="D62" s="3"/>
      <c r="E62" s="3"/>
      <c r="F62" s="3"/>
      <c r="G62" s="3"/>
      <c r="H62" s="3"/>
      <c r="I62" s="3"/>
      <c r="J62" s="3"/>
      <c r="K62" s="3"/>
      <c r="L62" s="3"/>
    </row>
    <row r="63" spans="1:14">
      <c r="B63" s="2" t="s">
        <v>1506</v>
      </c>
      <c r="M63" s="3"/>
    </row>
    <row r="65" spans="1:12">
      <c r="A65" s="17" t="s">
        <v>18</v>
      </c>
      <c r="B65" s="1" t="s">
        <v>1507</v>
      </c>
      <c r="C65" s="1"/>
      <c r="D65" s="1"/>
      <c r="E65" s="1"/>
      <c r="F65" s="1"/>
      <c r="G65" s="1"/>
      <c r="H65" s="1"/>
      <c r="I65" s="1"/>
      <c r="J65" s="1"/>
      <c r="K65" s="1"/>
      <c r="L65" s="1"/>
    </row>
    <row r="66" spans="1:12">
      <c r="A66" s="14"/>
      <c r="B66" s="14"/>
      <c r="C66" s="14"/>
      <c r="D66" s="14"/>
      <c r="E66" s="14"/>
      <c r="F66" s="14"/>
      <c r="G66" s="1"/>
      <c r="H66" s="1"/>
      <c r="I66" s="1"/>
      <c r="J66" s="1"/>
      <c r="K66" s="1"/>
      <c r="L66" s="1"/>
    </row>
    <row r="67" spans="1:12">
      <c r="A67" s="3"/>
      <c r="B67" s="3"/>
      <c r="C67" s="3"/>
      <c r="D67" s="3"/>
      <c r="E67" s="3"/>
      <c r="F67" s="3"/>
      <c r="G67" s="3"/>
      <c r="H67" s="3"/>
      <c r="I67" s="3"/>
      <c r="J67" s="3"/>
      <c r="K67" s="3"/>
      <c r="L67" s="3"/>
    </row>
    <row r="68" spans="1:12">
      <c r="A68" s="3" t="s">
        <v>20</v>
      </c>
      <c r="B68" s="3"/>
      <c r="C68" s="3"/>
      <c r="D68" s="3"/>
      <c r="E68" s="3"/>
      <c r="F68" s="3"/>
      <c r="G68" s="3"/>
      <c r="H68" s="3"/>
      <c r="I68" s="3"/>
      <c r="J68" s="3"/>
      <c r="K68" s="3"/>
      <c r="L68" s="3"/>
    </row>
    <row r="69" spans="1:12">
      <c r="A69" s="3"/>
      <c r="B69" s="3" t="s">
        <v>1508</v>
      </c>
      <c r="C69" s="3"/>
      <c r="D69" s="3"/>
      <c r="E69" s="3" t="s">
        <v>1509</v>
      </c>
      <c r="F69" s="3"/>
      <c r="G69" s="3"/>
      <c r="H69" s="3"/>
      <c r="I69" s="3"/>
      <c r="J69" s="3"/>
      <c r="K69" s="3"/>
      <c r="L69" s="3"/>
    </row>
    <row r="70" spans="1:12">
      <c r="A70" s="3"/>
      <c r="B70" s="3" t="s">
        <v>1510</v>
      </c>
      <c r="C70" s="3"/>
      <c r="D70" s="3"/>
      <c r="E70" s="3" t="s">
        <v>1511</v>
      </c>
      <c r="F70" s="3"/>
      <c r="G70" s="3"/>
      <c r="H70" s="3"/>
      <c r="I70" s="3"/>
      <c r="J70" s="3"/>
      <c r="K70" s="3"/>
      <c r="L70" s="3"/>
    </row>
    <row r="72" spans="1:12">
      <c r="A72" s="17" t="s">
        <v>25</v>
      </c>
      <c r="B72" s="1" t="s">
        <v>1512</v>
      </c>
      <c r="C72" s="1"/>
      <c r="D72" s="1"/>
      <c r="E72" s="1"/>
      <c r="F72" s="1"/>
      <c r="G72" s="1"/>
      <c r="H72" s="1"/>
      <c r="I72" s="1"/>
      <c r="J72" s="1"/>
      <c r="K72" s="1"/>
      <c r="L72" s="1"/>
    </row>
    <row r="73" spans="1:12">
      <c r="A73" s="17"/>
      <c r="B73" s="1"/>
      <c r="C73" s="1"/>
      <c r="D73" s="1"/>
      <c r="E73" s="1"/>
      <c r="F73" s="1"/>
      <c r="G73" s="1"/>
      <c r="H73" s="1"/>
      <c r="I73" s="1"/>
      <c r="J73" s="1"/>
      <c r="K73" s="1"/>
      <c r="L73" s="1"/>
    </row>
    <row r="74" spans="1:12">
      <c r="A74" s="17"/>
      <c r="B74" s="260" t="s">
        <v>1513</v>
      </c>
      <c r="C74" s="1"/>
      <c r="D74" s="1"/>
      <c r="E74" s="1"/>
      <c r="F74" s="1"/>
      <c r="G74" s="1"/>
      <c r="H74" s="1"/>
      <c r="I74" s="1"/>
      <c r="J74" s="1"/>
      <c r="K74" s="1"/>
      <c r="L74" s="1"/>
    </row>
    <row r="75" spans="1:12">
      <c r="A75" s="17"/>
      <c r="B75" s="260"/>
      <c r="C75" s="1"/>
      <c r="D75" s="1"/>
      <c r="E75" s="1"/>
      <c r="F75" s="1"/>
      <c r="G75" s="1"/>
      <c r="H75" s="1"/>
      <c r="I75" s="1"/>
      <c r="J75" s="1"/>
      <c r="K75" s="1"/>
      <c r="L75" s="1"/>
    </row>
    <row r="76" spans="1:12">
      <c r="A76" s="17"/>
      <c r="B76" s="260" t="s">
        <v>1514</v>
      </c>
      <c r="C76" s="1"/>
      <c r="D76" s="1"/>
      <c r="E76" s="1"/>
      <c r="F76" s="1"/>
      <c r="G76" s="1"/>
      <c r="H76" s="1"/>
      <c r="I76" s="1"/>
      <c r="J76" s="1"/>
      <c r="K76" s="1"/>
      <c r="L76" s="1"/>
    </row>
    <row r="77" spans="1:12">
      <c r="A77" s="14"/>
      <c r="B77" s="14"/>
      <c r="C77" s="14"/>
      <c r="D77" s="14"/>
      <c r="E77" s="14"/>
      <c r="F77" s="14"/>
      <c r="G77" s="1"/>
      <c r="H77" s="1"/>
      <c r="I77" s="1"/>
      <c r="J77" s="1"/>
      <c r="K77" s="1"/>
      <c r="L77" s="1"/>
    </row>
    <row r="78" spans="1:12">
      <c r="A78" s="3"/>
      <c r="B78" s="3"/>
      <c r="C78" s="3"/>
      <c r="D78" s="3"/>
      <c r="E78" s="3"/>
      <c r="F78" s="3"/>
      <c r="G78" s="3"/>
      <c r="H78" s="3"/>
      <c r="I78" s="3"/>
      <c r="J78" s="3"/>
      <c r="K78" s="3"/>
      <c r="L78" s="3"/>
    </row>
    <row r="79" spans="1:12">
      <c r="A79" s="3" t="s">
        <v>20</v>
      </c>
      <c r="B79" s="3"/>
      <c r="C79" s="3"/>
      <c r="D79" s="3"/>
      <c r="E79" s="3"/>
      <c r="F79" s="3"/>
      <c r="G79" s="3"/>
      <c r="H79" s="3"/>
      <c r="I79" s="3"/>
      <c r="J79" s="3"/>
      <c r="K79" s="3"/>
      <c r="L79" s="3"/>
    </row>
    <row r="80" spans="1:12">
      <c r="A80" s="3"/>
      <c r="B80" s="414" t="s">
        <v>978</v>
      </c>
      <c r="C80" s="3"/>
      <c r="D80" s="3"/>
      <c r="E80" s="3"/>
      <c r="F80" s="3"/>
      <c r="G80" s="3"/>
      <c r="H80" s="3"/>
      <c r="I80" s="3"/>
      <c r="J80" s="3"/>
      <c r="K80" s="3"/>
      <c r="L80" s="3"/>
    </row>
    <row r="81" spans="1:13">
      <c r="A81" s="3"/>
      <c r="B81" s="561" t="s">
        <v>1504</v>
      </c>
      <c r="C81" s="3"/>
      <c r="D81" s="3"/>
      <c r="E81" s="3"/>
      <c r="F81" s="3"/>
      <c r="G81" s="3"/>
      <c r="H81" s="3"/>
      <c r="I81" s="3"/>
      <c r="J81" s="3"/>
      <c r="K81" s="3"/>
      <c r="L81" s="3"/>
    </row>
    <row r="82" spans="1:13">
      <c r="B82" s="3"/>
      <c r="C82" s="3"/>
      <c r="D82" s="3"/>
      <c r="E82" s="3"/>
    </row>
    <row r="83" spans="1:13">
      <c r="B83" s="3" t="s">
        <v>1515</v>
      </c>
      <c r="C83" s="100" t="s">
        <v>1516</v>
      </c>
      <c r="D83" s="3"/>
      <c r="E83" s="3"/>
      <c r="M83" s="3"/>
    </row>
    <row r="84" spans="1:13">
      <c r="B84" s="3"/>
      <c r="C84" s="3"/>
      <c r="D84" s="3"/>
      <c r="E84" s="3"/>
    </row>
    <row r="85" spans="1:13">
      <c r="B85" s="3" t="s">
        <v>1517</v>
      </c>
      <c r="C85" s="100" t="s">
        <v>1518</v>
      </c>
      <c r="D85" s="3"/>
      <c r="E85" s="3"/>
    </row>
    <row r="87" spans="1:13">
      <c r="A87" s="14"/>
      <c r="B87" s="14"/>
      <c r="C87" s="14"/>
      <c r="D87" s="14"/>
      <c r="E87" s="14"/>
      <c r="F87" s="14"/>
      <c r="G87" s="1"/>
      <c r="H87" s="1"/>
      <c r="I87" s="1"/>
      <c r="J87" s="1"/>
      <c r="K87" s="1"/>
      <c r="L87" s="1"/>
    </row>
    <row r="88" spans="1:13">
      <c r="A88" s="851" t="s">
        <v>1519</v>
      </c>
      <c r="B88" s="851"/>
      <c r="C88" s="851"/>
      <c r="D88" s="851"/>
      <c r="E88" s="851"/>
      <c r="F88" s="851"/>
      <c r="G88" s="851"/>
      <c r="H88" s="851"/>
      <c r="I88" s="851"/>
      <c r="J88" s="851"/>
      <c r="K88" s="851"/>
      <c r="L88" s="1"/>
    </row>
    <row r="89" spans="1:13">
      <c r="A89" s="851"/>
      <c r="B89" s="851"/>
      <c r="C89" s="851"/>
      <c r="D89" s="851"/>
      <c r="E89" s="851"/>
      <c r="F89" s="851"/>
      <c r="G89" s="851"/>
      <c r="H89" s="851"/>
      <c r="I89" s="851"/>
      <c r="J89" s="851"/>
      <c r="K89" s="851"/>
      <c r="L89" s="1"/>
    </row>
    <row r="90" spans="1:13">
      <c r="A90" s="260"/>
      <c r="B90" s="524"/>
      <c r="C90" s="524"/>
      <c r="D90" s="524"/>
      <c r="E90" s="524"/>
      <c r="F90" s="524"/>
      <c r="G90" s="524"/>
      <c r="H90" s="524"/>
      <c r="I90" s="524"/>
      <c r="J90" s="1"/>
      <c r="K90" s="1"/>
      <c r="L90" s="1"/>
    </row>
    <row r="91" spans="1:13">
      <c r="A91" s="1"/>
      <c r="B91" s="163" t="s">
        <v>53</v>
      </c>
      <c r="C91" s="853" t="s">
        <v>59</v>
      </c>
      <c r="D91" s="841"/>
      <c r="E91" s="841"/>
      <c r="F91" s="841"/>
      <c r="G91" s="841"/>
      <c r="H91" s="841"/>
      <c r="I91" s="841"/>
      <c r="J91" s="841"/>
      <c r="K91" s="1"/>
      <c r="L91" s="1"/>
    </row>
    <row r="92" spans="1:13">
      <c r="A92" s="1"/>
      <c r="B92" s="24" t="s">
        <v>55</v>
      </c>
      <c r="C92" s="193">
        <v>12</v>
      </c>
      <c r="D92" s="27">
        <v>24</v>
      </c>
      <c r="E92" s="27">
        <v>36</v>
      </c>
      <c r="F92" s="27">
        <v>48</v>
      </c>
      <c r="G92" s="27">
        <v>60</v>
      </c>
      <c r="H92" s="27">
        <v>72</v>
      </c>
      <c r="I92" s="27">
        <v>84</v>
      </c>
      <c r="J92" s="27">
        <v>96</v>
      </c>
      <c r="K92" s="1"/>
      <c r="L92" s="1"/>
    </row>
    <row r="93" spans="1:13">
      <c r="A93" s="1"/>
      <c r="B93" s="197">
        <v>2014</v>
      </c>
      <c r="C93" s="92">
        <v>1088401</v>
      </c>
      <c r="D93" s="92">
        <v>1741208</v>
      </c>
      <c r="E93" s="92">
        <v>2337117</v>
      </c>
      <c r="F93" s="92">
        <v>2631768</v>
      </c>
      <c r="G93" s="92">
        <v>2873302</v>
      </c>
      <c r="H93" s="92">
        <v>3049220</v>
      </c>
      <c r="I93" s="92">
        <v>3131069</v>
      </c>
      <c r="J93" s="92">
        <v>3161268</v>
      </c>
      <c r="K93" s="1"/>
      <c r="L93" s="1"/>
    </row>
    <row r="94" spans="1:13">
      <c r="A94" s="1"/>
      <c r="B94" s="32">
        <v>2015</v>
      </c>
      <c r="C94" s="92">
        <v>1161528</v>
      </c>
      <c r="D94" s="92">
        <v>1901037</v>
      </c>
      <c r="E94" s="92">
        <v>2526912</v>
      </c>
      <c r="F94" s="92">
        <v>2874782</v>
      </c>
      <c r="G94" s="92">
        <v>3135434</v>
      </c>
      <c r="H94" s="92">
        <v>3337066</v>
      </c>
      <c r="I94" s="92">
        <v>3454115</v>
      </c>
      <c r="J94" s="32"/>
      <c r="K94" s="1"/>
      <c r="L94" s="1"/>
    </row>
    <row r="95" spans="1:13">
      <c r="A95" s="1"/>
      <c r="B95" s="32">
        <v>2016</v>
      </c>
      <c r="C95" s="92">
        <v>1274210</v>
      </c>
      <c r="D95" s="92">
        <v>2056524</v>
      </c>
      <c r="E95" s="92">
        <v>2786565</v>
      </c>
      <c r="F95" s="92">
        <v>3137931</v>
      </c>
      <c r="G95" s="92">
        <v>3421518</v>
      </c>
      <c r="H95" s="92">
        <v>3684648</v>
      </c>
      <c r="I95" s="32"/>
      <c r="J95" s="32"/>
      <c r="K95" s="1"/>
      <c r="L95" s="1"/>
    </row>
    <row r="96" spans="1:13">
      <c r="A96" s="1"/>
      <c r="B96" s="32">
        <v>2017</v>
      </c>
      <c r="C96" s="92">
        <v>1351653</v>
      </c>
      <c r="D96" s="92">
        <v>2242800</v>
      </c>
      <c r="E96" s="92">
        <v>3042803</v>
      </c>
      <c r="F96" s="92">
        <v>3409629</v>
      </c>
      <c r="G96" s="92">
        <v>3787476</v>
      </c>
      <c r="H96" s="32"/>
      <c r="I96" s="32"/>
      <c r="J96" s="32"/>
      <c r="K96" s="1"/>
      <c r="L96" s="1"/>
    </row>
    <row r="97" spans="1:12">
      <c r="A97" s="1"/>
      <c r="B97" s="32">
        <v>2018</v>
      </c>
      <c r="C97" s="92">
        <v>1545679</v>
      </c>
      <c r="D97" s="92">
        <v>2512220</v>
      </c>
      <c r="E97" s="92">
        <v>3394929</v>
      </c>
      <c r="F97" s="92">
        <v>3878344</v>
      </c>
      <c r="G97" s="32"/>
      <c r="H97" s="32"/>
      <c r="I97" s="32"/>
      <c r="J97" s="32"/>
      <c r="K97" s="1"/>
      <c r="L97" s="1"/>
    </row>
    <row r="98" spans="1:12">
      <c r="A98" s="1"/>
      <c r="B98" s="32">
        <v>2019</v>
      </c>
      <c r="C98" s="92">
        <v>1785869</v>
      </c>
      <c r="D98" s="92">
        <v>2834493</v>
      </c>
      <c r="E98" s="92">
        <v>3997935</v>
      </c>
      <c r="F98" s="32"/>
      <c r="G98" s="32"/>
      <c r="H98" s="32"/>
      <c r="I98" s="32"/>
      <c r="J98" s="32"/>
      <c r="K98" s="1"/>
      <c r="L98" s="1"/>
    </row>
    <row r="99" spans="1:12">
      <c r="A99" s="1"/>
      <c r="B99" s="32">
        <v>2020</v>
      </c>
      <c r="C99" s="92">
        <v>2050810</v>
      </c>
      <c r="D99" s="92">
        <v>3596409</v>
      </c>
      <c r="E99" s="32"/>
      <c r="F99" s="32"/>
      <c r="G99" s="32"/>
      <c r="H99" s="32"/>
      <c r="I99" s="32"/>
      <c r="J99" s="32"/>
      <c r="K99" s="1"/>
      <c r="L99" s="1"/>
    </row>
    <row r="100" spans="1:12">
      <c r="A100" s="1"/>
      <c r="B100" s="32">
        <v>2021</v>
      </c>
      <c r="C100" s="92">
        <v>3028985</v>
      </c>
      <c r="D100" s="32"/>
      <c r="E100" s="32"/>
      <c r="F100" s="32"/>
      <c r="G100" s="32"/>
      <c r="H100" s="32"/>
      <c r="I100" s="32"/>
      <c r="J100" s="32"/>
      <c r="K100" s="1"/>
      <c r="L100" s="1"/>
    </row>
    <row r="101" spans="1:12">
      <c r="A101" s="1"/>
      <c r="B101" s="1"/>
      <c r="C101" s="1"/>
      <c r="D101" s="1"/>
      <c r="E101" s="1"/>
      <c r="F101" s="1"/>
      <c r="G101" s="1"/>
      <c r="H101" s="1"/>
      <c r="I101" s="1"/>
      <c r="J101" s="1"/>
      <c r="K101" s="1"/>
      <c r="L101" s="1"/>
    </row>
    <row r="102" spans="1:12">
      <c r="A102" s="1"/>
      <c r="B102" s="163" t="s">
        <v>53</v>
      </c>
      <c r="C102" s="841" t="s">
        <v>1520</v>
      </c>
      <c r="D102" s="841"/>
      <c r="E102" s="841"/>
      <c r="F102" s="841"/>
      <c r="G102" s="841"/>
      <c r="H102" s="841"/>
      <c r="I102" s="841"/>
      <c r="J102" s="841"/>
      <c r="K102" s="1"/>
      <c r="L102" s="1"/>
    </row>
    <row r="103" spans="1:12">
      <c r="A103" s="1"/>
      <c r="B103" s="24" t="s">
        <v>55</v>
      </c>
      <c r="C103" s="562">
        <v>44919</v>
      </c>
      <c r="D103" s="27" t="s">
        <v>992</v>
      </c>
      <c r="E103" s="27" t="s">
        <v>993</v>
      </c>
      <c r="F103" s="27" t="s">
        <v>994</v>
      </c>
      <c r="G103" s="27" t="s">
        <v>995</v>
      </c>
      <c r="H103" s="27" t="s">
        <v>996</v>
      </c>
      <c r="I103" s="27" t="s">
        <v>997</v>
      </c>
      <c r="J103" s="27" t="s">
        <v>1498</v>
      </c>
      <c r="K103" s="1"/>
      <c r="L103" s="1"/>
    </row>
    <row r="104" spans="1:12">
      <c r="A104" s="1"/>
      <c r="B104" s="32">
        <v>2014</v>
      </c>
      <c r="C104" s="184">
        <v>1.6</v>
      </c>
      <c r="D104" s="184">
        <v>1.3420000000000001</v>
      </c>
      <c r="E104" s="184">
        <v>1.1259999999999999</v>
      </c>
      <c r="F104" s="184">
        <v>1.0920000000000001</v>
      </c>
      <c r="G104" s="184">
        <v>1.0609999999999999</v>
      </c>
      <c r="H104" s="184">
        <v>1.0269999999999999</v>
      </c>
      <c r="I104" s="184">
        <v>1.01</v>
      </c>
      <c r="J104" s="184"/>
      <c r="K104" s="1"/>
      <c r="L104" s="1"/>
    </row>
    <row r="105" spans="1:12">
      <c r="A105" s="1"/>
      <c r="B105" s="32">
        <v>2015</v>
      </c>
      <c r="C105" s="184">
        <v>1.637</v>
      </c>
      <c r="D105" s="184">
        <v>1.329</v>
      </c>
      <c r="E105" s="184">
        <v>1.1379999999999999</v>
      </c>
      <c r="F105" s="184">
        <v>1.091</v>
      </c>
      <c r="G105" s="184">
        <v>1.0640000000000001</v>
      </c>
      <c r="H105" s="184">
        <v>1.0349999999999999</v>
      </c>
      <c r="I105" s="184"/>
      <c r="J105" s="184"/>
      <c r="K105" s="1"/>
      <c r="L105" s="1"/>
    </row>
    <row r="106" spans="1:12">
      <c r="A106" s="1"/>
      <c r="B106" s="32">
        <v>2016</v>
      </c>
      <c r="C106" s="184">
        <v>1.6140000000000001</v>
      </c>
      <c r="D106" s="184">
        <v>1.355</v>
      </c>
      <c r="E106" s="184">
        <v>1.1259999999999999</v>
      </c>
      <c r="F106" s="184">
        <v>1.0900000000000001</v>
      </c>
      <c r="G106" s="184">
        <v>1.077</v>
      </c>
      <c r="H106" s="184"/>
      <c r="I106" s="184"/>
      <c r="J106" s="184"/>
      <c r="K106" s="1"/>
      <c r="L106" s="1"/>
    </row>
    <row r="107" spans="1:12">
      <c r="A107" s="1"/>
      <c r="B107" s="32">
        <v>2017</v>
      </c>
      <c r="C107" s="184">
        <v>1.659</v>
      </c>
      <c r="D107" s="184">
        <v>1.357</v>
      </c>
      <c r="E107" s="184">
        <v>1.121</v>
      </c>
      <c r="F107" s="184">
        <v>1.111</v>
      </c>
      <c r="G107" s="184"/>
      <c r="H107" s="184"/>
      <c r="I107" s="184"/>
      <c r="J107" s="184"/>
      <c r="K107" s="1"/>
      <c r="L107" s="1"/>
    </row>
    <row r="108" spans="1:12">
      <c r="A108" s="1"/>
      <c r="B108" s="32">
        <v>2018</v>
      </c>
      <c r="C108" s="184">
        <v>1.625</v>
      </c>
      <c r="D108" s="184">
        <v>1.351</v>
      </c>
      <c r="E108" s="184">
        <v>1.1419999999999999</v>
      </c>
      <c r="F108" s="184"/>
      <c r="G108" s="184"/>
      <c r="H108" s="184"/>
      <c r="I108" s="184"/>
      <c r="J108" s="184"/>
      <c r="K108" s="1"/>
      <c r="L108" s="1"/>
    </row>
    <row r="109" spans="1:12">
      <c r="A109" s="1"/>
      <c r="B109" s="32">
        <v>2019</v>
      </c>
      <c r="C109" s="184">
        <v>1.587</v>
      </c>
      <c r="D109" s="184">
        <v>1.41</v>
      </c>
      <c r="E109" s="184"/>
      <c r="F109" s="184"/>
      <c r="G109" s="184"/>
      <c r="H109" s="184"/>
      <c r="I109" s="184"/>
      <c r="J109" s="184"/>
      <c r="K109" s="1"/>
      <c r="L109" s="1"/>
    </row>
    <row r="110" spans="1:12">
      <c r="A110" s="1"/>
      <c r="B110" s="32">
        <v>2020</v>
      </c>
      <c r="C110" s="184">
        <v>1.754</v>
      </c>
      <c r="D110" s="184"/>
      <c r="E110" s="184"/>
      <c r="F110" s="184"/>
      <c r="G110" s="184"/>
      <c r="H110" s="184"/>
      <c r="I110" s="184"/>
      <c r="J110" s="557"/>
      <c r="K110" s="1"/>
      <c r="L110" s="1"/>
    </row>
    <row r="111" spans="1:12">
      <c r="A111" s="1"/>
      <c r="B111" s="27" t="s">
        <v>797</v>
      </c>
      <c r="C111" s="558">
        <v>1.639</v>
      </c>
      <c r="D111" s="558">
        <v>1.357</v>
      </c>
      <c r="E111" s="558">
        <v>1.131</v>
      </c>
      <c r="F111" s="558">
        <v>1.0960000000000001</v>
      </c>
      <c r="G111" s="558">
        <v>1.0669999999999999</v>
      </c>
      <c r="H111" s="558">
        <v>1.0309999999999999</v>
      </c>
      <c r="I111" s="558">
        <v>1.01</v>
      </c>
      <c r="J111" s="558">
        <v>1.01</v>
      </c>
      <c r="K111" s="1"/>
      <c r="L111" s="1"/>
    </row>
    <row r="112" spans="1:12">
      <c r="A112" s="14"/>
      <c r="B112" s="14"/>
      <c r="C112" s="14"/>
      <c r="D112" s="14"/>
      <c r="E112" s="14"/>
      <c r="F112" s="14"/>
      <c r="G112" s="1"/>
      <c r="H112" s="1"/>
      <c r="I112" s="1"/>
      <c r="J112" s="1"/>
      <c r="K112" s="1"/>
      <c r="L112" s="1"/>
    </row>
    <row r="114" spans="1:12">
      <c r="A114" s="17" t="s">
        <v>147</v>
      </c>
      <c r="B114" s="1" t="s">
        <v>1521</v>
      </c>
      <c r="C114" s="1"/>
      <c r="D114" s="1"/>
      <c r="E114" s="1"/>
      <c r="F114" s="1"/>
      <c r="G114" s="1"/>
      <c r="H114" s="1"/>
      <c r="I114" s="1"/>
      <c r="J114" s="1"/>
      <c r="K114" s="1"/>
      <c r="L114" s="1"/>
    </row>
    <row r="115" spans="1:12">
      <c r="A115" s="14"/>
      <c r="B115" s="14"/>
      <c r="C115" s="14"/>
      <c r="D115" s="14"/>
      <c r="E115" s="14"/>
      <c r="F115" s="14"/>
      <c r="G115" s="1"/>
      <c r="H115" s="1"/>
      <c r="I115" s="1"/>
      <c r="J115" s="1"/>
      <c r="K115" s="1"/>
      <c r="L115" s="1"/>
    </row>
    <row r="116" spans="1:12">
      <c r="A116" s="3"/>
      <c r="B116" s="3"/>
      <c r="C116" s="3"/>
      <c r="D116" s="3"/>
      <c r="E116" s="3"/>
      <c r="F116" s="3"/>
      <c r="G116" s="3"/>
      <c r="H116" s="3"/>
      <c r="I116" s="3"/>
      <c r="J116" s="3"/>
      <c r="K116" s="3"/>
      <c r="L116" s="3"/>
    </row>
    <row r="117" spans="1:12">
      <c r="A117" s="3" t="s">
        <v>20</v>
      </c>
      <c r="B117" s="3"/>
      <c r="C117" s="3"/>
      <c r="D117" s="3"/>
      <c r="E117" s="3"/>
      <c r="F117" s="3"/>
      <c r="G117" s="3"/>
      <c r="H117" s="3"/>
      <c r="I117" s="3"/>
      <c r="J117" s="3"/>
      <c r="K117" s="3"/>
      <c r="L117" s="3"/>
    </row>
    <row r="118" spans="1:12" ht="31.2">
      <c r="A118" s="3"/>
      <c r="B118" s="559" t="s">
        <v>58</v>
      </c>
      <c r="C118" s="559" t="s">
        <v>1501</v>
      </c>
      <c r="D118" s="559" t="s">
        <v>1502</v>
      </c>
      <c r="E118" s="559" t="s">
        <v>59</v>
      </c>
      <c r="F118" s="559" t="s">
        <v>131</v>
      </c>
      <c r="G118" s="3"/>
      <c r="H118" s="3"/>
      <c r="I118" s="3"/>
      <c r="J118" s="3"/>
      <c r="K118" s="3"/>
      <c r="L118" s="3"/>
    </row>
    <row r="119" spans="1:12">
      <c r="A119" s="3"/>
      <c r="B119" s="560">
        <f>B93</f>
        <v>2014</v>
      </c>
      <c r="C119" s="126">
        <f ca="1">OFFSET($J$111,0,(2014-B119),1,1)</f>
        <v>1.01</v>
      </c>
      <c r="D119" s="126">
        <f ca="1">C119</f>
        <v>1.01</v>
      </c>
      <c r="E119" s="12">
        <f ca="1">OFFSET($J$93,(B119-2014),(2014-B119),1,1)</f>
        <v>3161268</v>
      </c>
      <c r="F119" s="12">
        <f ca="1">E119*D119</f>
        <v>3192880.68</v>
      </c>
      <c r="G119" s="3"/>
      <c r="H119" s="3"/>
      <c r="I119" s="3"/>
      <c r="J119" s="3"/>
      <c r="K119" s="3"/>
      <c r="L119" s="3"/>
    </row>
    <row r="120" spans="1:12">
      <c r="A120" s="3"/>
      <c r="B120" s="560">
        <f t="shared" ref="B120:B126" si="5">B94</f>
        <v>2015</v>
      </c>
      <c r="C120" s="126">
        <f t="shared" ref="C120:C126" ca="1" si="6">OFFSET($J$111,0,(2014-B120),1,1)</f>
        <v>1.01</v>
      </c>
      <c r="D120" s="126">
        <f ca="1">C120*D119</f>
        <v>1.0201</v>
      </c>
      <c r="E120" s="12">
        <f t="shared" ref="E120:E126" ca="1" si="7">OFFSET($J$93,(B120-2014),(2014-B120),1,1)</f>
        <v>3454115</v>
      </c>
      <c r="F120" s="12">
        <f t="shared" ref="F120:F126" ca="1" si="8">E120*D120</f>
        <v>3523542.7115000002</v>
      </c>
      <c r="G120" s="3"/>
      <c r="H120" s="3"/>
      <c r="I120" s="3"/>
      <c r="J120" s="3"/>
      <c r="K120" s="3"/>
      <c r="L120" s="3"/>
    </row>
    <row r="121" spans="1:12">
      <c r="A121" s="3"/>
      <c r="B121" s="560">
        <f t="shared" si="5"/>
        <v>2016</v>
      </c>
      <c r="C121" s="126">
        <f t="shared" ca="1" si="6"/>
        <v>1.0309999999999999</v>
      </c>
      <c r="D121" s="126">
        <f t="shared" ref="D121:D126" ca="1" si="9">C121*D120</f>
        <v>1.0517231</v>
      </c>
      <c r="E121" s="12">
        <f t="shared" ca="1" si="7"/>
        <v>3684648</v>
      </c>
      <c r="F121" s="12">
        <f t="shared" ca="1" si="8"/>
        <v>3875229.4169688001</v>
      </c>
      <c r="G121" s="3"/>
      <c r="H121" s="3"/>
      <c r="I121" s="3"/>
      <c r="J121" s="3"/>
      <c r="K121" s="3"/>
      <c r="L121" s="3"/>
    </row>
    <row r="122" spans="1:12">
      <c r="A122" s="3"/>
      <c r="B122" s="560">
        <f t="shared" si="5"/>
        <v>2017</v>
      </c>
      <c r="C122" s="126">
        <f t="shared" ca="1" si="6"/>
        <v>1.0669999999999999</v>
      </c>
      <c r="D122" s="126">
        <f t="shared" ca="1" si="9"/>
        <v>1.1221885477</v>
      </c>
      <c r="E122" s="12">
        <f t="shared" ca="1" si="7"/>
        <v>3787476</v>
      </c>
      <c r="F122" s="12">
        <f t="shared" ca="1" si="8"/>
        <v>4250262.1918886052</v>
      </c>
      <c r="G122" s="3"/>
      <c r="H122" s="3"/>
      <c r="I122" s="3"/>
      <c r="J122" s="3"/>
      <c r="K122" s="3"/>
      <c r="L122" s="3"/>
    </row>
    <row r="123" spans="1:12">
      <c r="A123" s="3"/>
      <c r="B123" s="560">
        <f t="shared" si="5"/>
        <v>2018</v>
      </c>
      <c r="C123" s="126">
        <f t="shared" ca="1" si="6"/>
        <v>1.0960000000000001</v>
      </c>
      <c r="D123" s="126">
        <f t="shared" ca="1" si="9"/>
        <v>1.2299186482792002</v>
      </c>
      <c r="E123" s="12">
        <f t="shared" ca="1" si="7"/>
        <v>3878344</v>
      </c>
      <c r="F123" s="12">
        <f t="shared" ca="1" si="8"/>
        <v>4770047.6100417459</v>
      </c>
      <c r="G123" s="3"/>
      <c r="H123" s="3"/>
      <c r="I123" s="3"/>
      <c r="J123" s="3"/>
      <c r="K123" s="3"/>
      <c r="L123" s="3"/>
    </row>
    <row r="124" spans="1:12">
      <c r="B124" s="560">
        <f t="shared" si="5"/>
        <v>2019</v>
      </c>
      <c r="C124" s="126">
        <f t="shared" ca="1" si="6"/>
        <v>1.131</v>
      </c>
      <c r="D124" s="126">
        <f t="shared" ca="1" si="9"/>
        <v>1.3910379912037754</v>
      </c>
      <c r="E124" s="12">
        <f t="shared" ca="1" si="7"/>
        <v>3997935</v>
      </c>
      <c r="F124" s="12">
        <f t="shared" ca="1" si="8"/>
        <v>5561279.471363266</v>
      </c>
    </row>
    <row r="125" spans="1:12">
      <c r="B125" s="560">
        <f t="shared" si="5"/>
        <v>2020</v>
      </c>
      <c r="C125" s="126">
        <f t="shared" ca="1" si="6"/>
        <v>1.357</v>
      </c>
      <c r="D125" s="126">
        <f t="shared" ca="1" si="9"/>
        <v>1.8876385540635232</v>
      </c>
      <c r="E125" s="12">
        <f t="shared" ca="1" si="7"/>
        <v>3596409</v>
      </c>
      <c r="F125" s="12">
        <f t="shared" ca="1" si="8"/>
        <v>6788720.2845810419</v>
      </c>
    </row>
    <row r="126" spans="1:12">
      <c r="B126" s="478">
        <f t="shared" si="5"/>
        <v>2021</v>
      </c>
      <c r="C126" s="129">
        <f t="shared" ca="1" si="6"/>
        <v>1.639</v>
      </c>
      <c r="D126" s="129">
        <f t="shared" ca="1" si="9"/>
        <v>3.0938395901101146</v>
      </c>
      <c r="E126" s="348">
        <f t="shared" ca="1" si="7"/>
        <v>3028985</v>
      </c>
      <c r="F126" s="348">
        <f t="shared" ca="1" si="8"/>
        <v>9371193.7108496856</v>
      </c>
    </row>
    <row r="127" spans="1:12">
      <c r="B127" s="94" t="s">
        <v>132</v>
      </c>
      <c r="C127" s="62"/>
      <c r="D127" s="62"/>
      <c r="E127" s="12">
        <f ca="1">SUM(E119:E126)</f>
        <v>28589180</v>
      </c>
      <c r="F127" s="12">
        <f ca="1">SUM(F119:F126)</f>
        <v>41333156.077193141</v>
      </c>
    </row>
    <row r="129" spans="1:12">
      <c r="A129" s="17" t="s">
        <v>545</v>
      </c>
      <c r="B129" s="1" t="s">
        <v>1522</v>
      </c>
      <c r="C129" s="1"/>
      <c r="D129" s="1"/>
      <c r="E129" s="1"/>
      <c r="F129" s="1"/>
      <c r="G129" s="1"/>
      <c r="H129" s="1"/>
      <c r="I129" s="1"/>
      <c r="J129" s="1"/>
      <c r="K129" s="1"/>
      <c r="L129" s="1"/>
    </row>
    <row r="130" spans="1:12">
      <c r="A130" s="14"/>
      <c r="B130" s="14"/>
      <c r="C130" s="14"/>
      <c r="D130" s="14"/>
      <c r="E130" s="14"/>
      <c r="F130" s="14"/>
      <c r="G130" s="1"/>
      <c r="H130" s="1"/>
      <c r="I130" s="1"/>
      <c r="J130" s="1"/>
      <c r="K130" s="1"/>
      <c r="L130" s="1"/>
    </row>
    <row r="131" spans="1:12">
      <c r="A131" s="3"/>
      <c r="B131" s="3"/>
      <c r="C131" s="3"/>
      <c r="D131" s="3"/>
      <c r="E131" s="3"/>
      <c r="F131" s="3"/>
      <c r="G131" s="3"/>
      <c r="H131" s="3"/>
      <c r="I131" s="3"/>
      <c r="J131" s="3"/>
      <c r="K131" s="3"/>
      <c r="L131" s="3"/>
    </row>
    <row r="132" spans="1:12">
      <c r="A132" s="3" t="s">
        <v>20</v>
      </c>
      <c r="B132" s="3"/>
      <c r="C132" s="3"/>
      <c r="D132" s="3"/>
      <c r="E132" s="3"/>
      <c r="F132" s="3"/>
      <c r="G132" s="3"/>
      <c r="H132" s="3"/>
      <c r="I132" s="3"/>
      <c r="J132" s="3"/>
      <c r="K132" s="3"/>
      <c r="L132" s="3"/>
    </row>
    <row r="133" spans="1:12">
      <c r="A133" s="3"/>
      <c r="B133" s="3"/>
      <c r="C133" s="3"/>
      <c r="D133" s="3"/>
      <c r="E133" s="3"/>
      <c r="F133" s="3"/>
      <c r="G133" s="3"/>
      <c r="H133" s="3"/>
      <c r="I133" s="3"/>
      <c r="J133" s="3"/>
      <c r="K133" s="3"/>
      <c r="L133" s="3"/>
    </row>
    <row r="134" spans="1:12">
      <c r="B134" s="2" t="s">
        <v>1523</v>
      </c>
    </row>
    <row r="135" spans="1:12">
      <c r="B135" s="2" t="s">
        <v>1524</v>
      </c>
    </row>
    <row r="137" spans="1:12">
      <c r="A137" s="14"/>
      <c r="B137" s="14"/>
      <c r="C137" s="14"/>
      <c r="D137" s="14"/>
      <c r="E137" s="14"/>
      <c r="F137" s="14"/>
      <c r="G137" s="1"/>
      <c r="H137" s="1"/>
      <c r="I137" s="1"/>
      <c r="J137" s="1"/>
      <c r="K137" s="1"/>
      <c r="L137" s="1"/>
    </row>
    <row r="138" spans="1:12">
      <c r="A138" s="831" t="s">
        <v>1525</v>
      </c>
      <c r="B138" s="831"/>
      <c r="C138" s="831"/>
      <c r="D138" s="831"/>
      <c r="E138" s="831"/>
      <c r="F138" s="831"/>
      <c r="G138" s="831"/>
      <c r="H138" s="831"/>
      <c r="I138" s="831"/>
      <c r="J138" s="831"/>
      <c r="K138" s="831"/>
      <c r="L138" s="1"/>
    </row>
    <row r="139" spans="1:12">
      <c r="A139" s="831"/>
      <c r="B139" s="831"/>
      <c r="C139" s="831"/>
      <c r="D139" s="831"/>
      <c r="E139" s="831"/>
      <c r="F139" s="831"/>
      <c r="G139" s="831"/>
      <c r="H139" s="831"/>
      <c r="I139" s="831"/>
      <c r="J139" s="831"/>
      <c r="K139" s="831"/>
      <c r="L139" s="1"/>
    </row>
    <row r="140" spans="1:12">
      <c r="A140" s="14"/>
      <c r="B140" s="14"/>
      <c r="C140" s="14"/>
      <c r="D140" s="14"/>
      <c r="E140" s="14"/>
      <c r="F140" s="14"/>
      <c r="G140" s="1"/>
      <c r="H140" s="1"/>
      <c r="I140" s="1"/>
      <c r="J140" s="1"/>
      <c r="K140" s="1"/>
      <c r="L140" s="1"/>
    </row>
    <row r="142" spans="1:12">
      <c r="A142" s="17" t="s">
        <v>798</v>
      </c>
      <c r="B142" s="1" t="s">
        <v>1526</v>
      </c>
      <c r="C142" s="1"/>
      <c r="D142" s="1"/>
      <c r="E142" s="1"/>
      <c r="F142" s="1"/>
      <c r="G142" s="1"/>
      <c r="H142" s="1"/>
      <c r="I142" s="1"/>
      <c r="J142" s="1"/>
      <c r="K142" s="1"/>
      <c r="L142" s="1"/>
    </row>
    <row r="143" spans="1:12">
      <c r="A143" s="14"/>
      <c r="B143" s="14"/>
      <c r="C143" s="14"/>
      <c r="D143" s="14"/>
      <c r="E143" s="14"/>
      <c r="F143" s="14"/>
      <c r="G143" s="1"/>
      <c r="H143" s="1"/>
      <c r="I143" s="1"/>
      <c r="J143" s="1"/>
      <c r="K143" s="1"/>
      <c r="L143" s="1"/>
    </row>
    <row r="144" spans="1:12">
      <c r="A144" s="3"/>
      <c r="B144" s="3"/>
      <c r="C144" s="3"/>
      <c r="D144" s="3"/>
      <c r="E144" s="3"/>
      <c r="F144" s="3"/>
      <c r="G144" s="3"/>
      <c r="H144" s="3"/>
      <c r="I144" s="3"/>
      <c r="J144" s="3"/>
      <c r="K144" s="3"/>
      <c r="L144" s="3"/>
    </row>
    <row r="145" spans="1:12">
      <c r="A145" s="3" t="s">
        <v>20</v>
      </c>
      <c r="B145" s="3"/>
      <c r="C145" s="3"/>
      <c r="D145" s="3"/>
      <c r="E145" s="3"/>
      <c r="F145" s="3"/>
      <c r="G145" s="3"/>
      <c r="H145" s="3"/>
      <c r="I145" s="3"/>
      <c r="J145" s="3"/>
      <c r="K145" s="3"/>
      <c r="L145" s="3"/>
    </row>
    <row r="146" spans="1:12">
      <c r="A146" s="3"/>
      <c r="B146" s="3" t="s">
        <v>1527</v>
      </c>
      <c r="C146" s="3"/>
      <c r="D146" s="3"/>
      <c r="E146" s="3"/>
      <c r="F146" s="3"/>
      <c r="G146" s="3"/>
      <c r="H146" s="3"/>
      <c r="I146" s="3"/>
      <c r="J146" s="3"/>
      <c r="K146" s="3"/>
      <c r="L146" s="3"/>
    </row>
    <row r="147" spans="1:12">
      <c r="A147" s="3"/>
      <c r="B147" s="3" t="s">
        <v>1528</v>
      </c>
      <c r="C147" s="3"/>
      <c r="D147" s="3"/>
      <c r="E147" s="3"/>
      <c r="F147" s="3"/>
      <c r="G147" s="3"/>
      <c r="H147" s="3"/>
      <c r="I147" s="3"/>
      <c r="J147" s="3"/>
      <c r="K147" s="3"/>
      <c r="L147" s="3"/>
    </row>
    <row r="148" spans="1:12">
      <c r="B148" s="2" t="s">
        <v>1529</v>
      </c>
    </row>
  </sheetData>
  <mergeCells count="6">
    <mergeCell ref="A138:K139"/>
    <mergeCell ref="C15:J15"/>
    <mergeCell ref="C26:J26"/>
    <mergeCell ref="A88:K89"/>
    <mergeCell ref="C91:J91"/>
    <mergeCell ref="C102:J102"/>
  </mergeCells>
  <hyperlinks>
    <hyperlink ref="O1" location="TOC!A1" display="Table of Contents" xr:uid="{B1F5343C-6196-47F9-A6B7-9FAEDDA1563C}"/>
  </hyperlinks>
  <pageMargins left="0.7" right="0.7" top="0.75" bottom="0.75" header="0.3" footer="0.3"/>
  <pageSetup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673B-4224-403C-A9AE-BE7F2FDBE38E}">
  <dimension ref="A1:R84"/>
  <sheetViews>
    <sheetView zoomScaleNormal="100" workbookViewId="0"/>
  </sheetViews>
  <sheetFormatPr defaultColWidth="8.88671875" defaultRowHeight="15.6"/>
  <cols>
    <col min="1" max="1" width="8.88671875" style="2" customWidth="1"/>
    <col min="2" max="2" width="16.6640625" style="2" customWidth="1"/>
    <col min="3" max="6" width="17.6640625" style="2" customWidth="1"/>
    <col min="7" max="7" width="8.88671875" style="2"/>
    <col min="8" max="8" width="8.88671875" style="2" customWidth="1"/>
    <col min="9" max="16384" width="8.88671875" style="2"/>
  </cols>
  <sheetData>
    <row r="1" spans="1:15" ht="17.399999999999999">
      <c r="A1" s="13" t="s">
        <v>1942</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260" t="s">
        <v>1530</v>
      </c>
      <c r="B3" s="46"/>
      <c r="C3" s="46"/>
      <c r="D3" s="46"/>
      <c r="E3" s="1"/>
      <c r="F3" s="1"/>
      <c r="G3" s="1"/>
      <c r="H3" s="1"/>
      <c r="I3" s="1"/>
      <c r="J3" s="1"/>
      <c r="K3" s="1"/>
      <c r="L3" s="14"/>
    </row>
    <row r="4" spans="1:15">
      <c r="A4" s="260"/>
      <c r="B4" s="46"/>
      <c r="C4" s="46"/>
      <c r="D4" s="46"/>
      <c r="E4" s="1"/>
      <c r="F4" s="1"/>
      <c r="G4" s="1"/>
      <c r="H4" s="1"/>
      <c r="I4" s="1"/>
      <c r="J4" s="1"/>
      <c r="K4" s="1"/>
      <c r="L4" s="1"/>
    </row>
    <row r="5" spans="1:15" ht="46.8">
      <c r="A5" s="1"/>
      <c r="B5" s="4" t="s">
        <v>1531</v>
      </c>
      <c r="C5" s="4" t="s">
        <v>576</v>
      </c>
      <c r="D5" s="4" t="s">
        <v>1532</v>
      </c>
      <c r="E5" s="4" t="s">
        <v>577</v>
      </c>
      <c r="F5" s="1"/>
      <c r="G5" s="1"/>
      <c r="H5" s="1"/>
      <c r="I5" s="1"/>
      <c r="J5" s="1"/>
      <c r="K5" s="1"/>
      <c r="L5" s="1"/>
    </row>
    <row r="6" spans="1:15">
      <c r="A6" s="1"/>
      <c r="B6" s="563" t="s">
        <v>1533</v>
      </c>
      <c r="C6" s="92">
        <v>5229</v>
      </c>
      <c r="D6" s="92">
        <v>2443276</v>
      </c>
      <c r="E6" s="92">
        <v>2700678</v>
      </c>
      <c r="F6" s="1"/>
      <c r="G6" s="1"/>
      <c r="H6" s="1"/>
      <c r="I6" s="1"/>
      <c r="J6" s="1"/>
      <c r="K6" s="1"/>
      <c r="L6" s="1"/>
    </row>
    <row r="7" spans="1:15">
      <c r="A7" s="1"/>
      <c r="B7" s="563" t="s">
        <v>1534</v>
      </c>
      <c r="C7" s="92">
        <v>5354</v>
      </c>
      <c r="D7" s="92">
        <v>2549138</v>
      </c>
      <c r="E7" s="92">
        <v>2817692</v>
      </c>
      <c r="F7" s="1"/>
      <c r="G7" s="1"/>
      <c r="H7" s="1"/>
      <c r="I7" s="1"/>
      <c r="J7" s="1"/>
      <c r="K7" s="1"/>
      <c r="L7" s="1"/>
    </row>
    <row r="8" spans="1:15">
      <c r="A8" s="1"/>
      <c r="B8" s="563" t="s">
        <v>1535</v>
      </c>
      <c r="C8" s="92">
        <v>5568</v>
      </c>
      <c r="D8" s="92">
        <v>2676306</v>
      </c>
      <c r="E8" s="92">
        <v>2958258</v>
      </c>
      <c r="F8" s="1"/>
      <c r="G8" s="1"/>
      <c r="H8" s="1"/>
      <c r="I8" s="1"/>
      <c r="J8" s="1"/>
      <c r="K8" s="1"/>
      <c r="L8" s="1"/>
    </row>
    <row r="9" spans="1:15">
      <c r="A9" s="1"/>
      <c r="B9" s="563" t="s">
        <v>1536</v>
      </c>
      <c r="C9" s="92">
        <v>5754</v>
      </c>
      <c r="D9" s="92">
        <v>2775206</v>
      </c>
      <c r="E9" s="92">
        <v>3067577</v>
      </c>
      <c r="F9" s="1"/>
      <c r="G9" s="1"/>
      <c r="H9" s="1"/>
      <c r="I9" s="1"/>
      <c r="J9" s="1"/>
      <c r="K9" s="1"/>
      <c r="L9" s="1"/>
    </row>
    <row r="10" spans="1:15">
      <c r="A10" s="1"/>
      <c r="B10" s="563" t="s">
        <v>1537</v>
      </c>
      <c r="C10" s="92">
        <v>5931</v>
      </c>
      <c r="D10" s="92">
        <v>2918640</v>
      </c>
      <c r="E10" s="92">
        <v>3234297</v>
      </c>
      <c r="F10" s="1"/>
      <c r="G10" s="1"/>
      <c r="H10" s="1"/>
      <c r="I10" s="1"/>
      <c r="J10" s="1"/>
      <c r="K10" s="1"/>
      <c r="L10" s="1"/>
    </row>
    <row r="11" spans="1:15">
      <c r="A11" s="1"/>
      <c r="B11" s="563" t="s">
        <v>1538</v>
      </c>
      <c r="C11" s="92">
        <v>6065</v>
      </c>
      <c r="D11" s="92">
        <v>2965409</v>
      </c>
      <c r="E11" s="92">
        <v>3286125</v>
      </c>
      <c r="F11" s="1"/>
      <c r="G11" s="1"/>
      <c r="H11" s="1"/>
      <c r="I11" s="1"/>
      <c r="J11" s="1"/>
      <c r="K11" s="1"/>
      <c r="L11" s="1"/>
    </row>
    <row r="12" spans="1:15">
      <c r="A12" s="1"/>
      <c r="B12" s="563" t="s">
        <v>1539</v>
      </c>
      <c r="C12" s="92">
        <v>6327</v>
      </c>
      <c r="D12" s="92">
        <v>3177321</v>
      </c>
      <c r="E12" s="92">
        <v>3520955</v>
      </c>
      <c r="F12" s="1"/>
      <c r="G12" s="1"/>
      <c r="H12" s="1"/>
      <c r="I12" s="1"/>
      <c r="J12" s="1"/>
      <c r="K12" s="1"/>
      <c r="L12" s="1"/>
    </row>
    <row r="13" spans="1:15">
      <c r="A13" s="1"/>
      <c r="B13" s="563" t="s">
        <v>1540</v>
      </c>
      <c r="C13" s="92">
        <v>6450</v>
      </c>
      <c r="D13" s="92">
        <v>3239327</v>
      </c>
      <c r="E13" s="92">
        <v>3589668</v>
      </c>
      <c r="F13" s="1"/>
      <c r="G13" s="1"/>
      <c r="H13" s="1"/>
      <c r="I13" s="1"/>
      <c r="J13" s="1"/>
      <c r="K13" s="1"/>
      <c r="L13" s="1"/>
    </row>
    <row r="14" spans="1:15">
      <c r="A14" s="1"/>
      <c r="B14" s="563" t="s">
        <v>1541</v>
      </c>
      <c r="C14" s="92">
        <v>6697</v>
      </c>
      <c r="D14" s="92">
        <v>3502765</v>
      </c>
      <c r="E14" s="92">
        <v>3738994</v>
      </c>
      <c r="F14" s="1"/>
      <c r="G14" s="1"/>
      <c r="H14" s="1"/>
      <c r="I14" s="1"/>
      <c r="J14" s="1"/>
      <c r="K14" s="1"/>
      <c r="L14" s="1"/>
    </row>
    <row r="15" spans="1:15">
      <c r="A15" s="1"/>
      <c r="B15" s="563" t="s">
        <v>1542</v>
      </c>
      <c r="C15" s="92">
        <v>6904</v>
      </c>
      <c r="D15" s="92">
        <v>3653803</v>
      </c>
      <c r="E15" s="92">
        <v>3900218</v>
      </c>
      <c r="F15" s="1"/>
      <c r="G15" s="1"/>
      <c r="H15" s="1"/>
      <c r="I15" s="1"/>
      <c r="J15" s="1"/>
      <c r="K15" s="1"/>
      <c r="L15" s="1"/>
    </row>
    <row r="16" spans="1:15">
      <c r="A16" s="1"/>
      <c r="B16" s="563" t="s">
        <v>1543</v>
      </c>
      <c r="C16" s="92">
        <v>7119</v>
      </c>
      <c r="D16" s="92">
        <v>3858738</v>
      </c>
      <c r="E16" s="92">
        <v>4118974</v>
      </c>
      <c r="F16" s="1"/>
      <c r="G16" s="1"/>
      <c r="H16" s="1"/>
      <c r="I16" s="1"/>
      <c r="J16" s="1"/>
      <c r="K16" s="1"/>
      <c r="L16" s="1"/>
    </row>
    <row r="17" spans="1:18">
      <c r="A17" s="1"/>
      <c r="B17" s="563" t="s">
        <v>1544</v>
      </c>
      <c r="C17" s="92">
        <v>7224</v>
      </c>
      <c r="D17" s="92">
        <v>3903207</v>
      </c>
      <c r="E17" s="92">
        <v>4166442</v>
      </c>
      <c r="F17" s="1"/>
      <c r="G17" s="1"/>
      <c r="H17" s="1"/>
      <c r="I17" s="1"/>
      <c r="J17" s="1"/>
      <c r="K17" s="1"/>
      <c r="L17" s="1"/>
    </row>
    <row r="18" spans="1:18">
      <c r="A18" s="1"/>
      <c r="B18" s="563" t="s">
        <v>1545</v>
      </c>
      <c r="C18" s="92">
        <v>7520</v>
      </c>
      <c r="D18" s="92">
        <v>4255243</v>
      </c>
      <c r="E18" s="92">
        <v>4432677</v>
      </c>
      <c r="F18" s="1"/>
      <c r="G18" s="1"/>
      <c r="H18" s="1"/>
      <c r="I18" s="1"/>
      <c r="J18" s="1"/>
      <c r="K18" s="1"/>
      <c r="L18" s="1"/>
    </row>
    <row r="19" spans="1:18">
      <c r="A19" s="1"/>
      <c r="B19" s="563" t="s">
        <v>1546</v>
      </c>
      <c r="C19" s="92">
        <v>7709</v>
      </c>
      <c r="D19" s="92">
        <v>4416103</v>
      </c>
      <c r="E19" s="92">
        <v>4600245</v>
      </c>
      <c r="F19" s="1"/>
      <c r="G19" s="1"/>
      <c r="H19" s="1"/>
      <c r="I19" s="1"/>
      <c r="J19" s="1"/>
      <c r="K19" s="1"/>
      <c r="L19" s="1"/>
    </row>
    <row r="20" spans="1:18">
      <c r="A20" s="1"/>
      <c r="B20" s="563" t="s">
        <v>1547</v>
      </c>
      <c r="C20" s="92">
        <v>7920</v>
      </c>
      <c r="D20" s="92">
        <v>4555392</v>
      </c>
      <c r="E20" s="92">
        <v>4745342</v>
      </c>
      <c r="F20" s="1"/>
      <c r="G20" s="1"/>
      <c r="H20" s="1"/>
      <c r="I20" s="1"/>
      <c r="J20" s="1"/>
      <c r="K20" s="1"/>
      <c r="L20" s="1"/>
    </row>
    <row r="21" spans="1:18">
      <c r="A21" s="1"/>
      <c r="B21" s="563" t="s">
        <v>1548</v>
      </c>
      <c r="C21" s="92">
        <v>8205</v>
      </c>
      <c r="D21" s="92">
        <v>4772726</v>
      </c>
      <c r="E21" s="92">
        <v>4971738</v>
      </c>
      <c r="F21" s="1"/>
      <c r="G21" s="1"/>
      <c r="H21" s="1"/>
      <c r="I21" s="1"/>
      <c r="J21" s="1"/>
      <c r="K21" s="1"/>
      <c r="L21" s="1"/>
    </row>
    <row r="22" spans="1:18">
      <c r="A22" s="1"/>
      <c r="B22" s="563" t="s">
        <v>1549</v>
      </c>
      <c r="C22" s="92">
        <v>8422</v>
      </c>
      <c r="D22" s="92">
        <v>5114877</v>
      </c>
      <c r="E22" s="92">
        <v>5140873</v>
      </c>
      <c r="F22" s="1"/>
      <c r="G22" s="1"/>
      <c r="H22" s="1"/>
      <c r="I22" s="1"/>
      <c r="J22" s="1"/>
      <c r="K22" s="1"/>
      <c r="L22" s="1"/>
    </row>
    <row r="23" spans="1:18">
      <c r="A23" s="1"/>
      <c r="B23" s="563" t="s">
        <v>1550</v>
      </c>
      <c r="C23" s="92">
        <v>8757</v>
      </c>
      <c r="D23" s="92">
        <v>5411129</v>
      </c>
      <c r="E23" s="92">
        <v>5438630</v>
      </c>
      <c r="F23" s="1"/>
      <c r="G23" s="1"/>
      <c r="H23" s="1"/>
      <c r="I23" s="1"/>
      <c r="J23" s="1"/>
      <c r="K23" s="1"/>
      <c r="L23" s="1"/>
    </row>
    <row r="24" spans="1:18">
      <c r="A24" s="1"/>
      <c r="B24" s="1"/>
      <c r="C24" s="1"/>
      <c r="D24" s="1"/>
      <c r="E24" s="1"/>
      <c r="F24" s="1"/>
      <c r="G24" s="1"/>
      <c r="H24" s="1"/>
      <c r="I24" s="1"/>
      <c r="J24" s="1"/>
      <c r="K24" s="1"/>
      <c r="L24" s="1"/>
    </row>
    <row r="25" spans="1:18">
      <c r="A25" s="3"/>
      <c r="B25" s="3"/>
      <c r="C25" s="3"/>
      <c r="D25" s="3"/>
      <c r="E25" s="3"/>
      <c r="F25" s="3"/>
      <c r="G25" s="3"/>
      <c r="H25" s="3"/>
      <c r="I25" s="3"/>
      <c r="J25" s="3"/>
      <c r="K25" s="3"/>
      <c r="L25" s="3"/>
    </row>
    <row r="26" spans="1:18">
      <c r="A26" s="17" t="s">
        <v>91</v>
      </c>
      <c r="B26" s="1" t="s">
        <v>1551</v>
      </c>
      <c r="C26" s="1"/>
      <c r="D26" s="1"/>
      <c r="E26" s="1"/>
      <c r="F26" s="1"/>
      <c r="G26" s="1"/>
      <c r="H26" s="1"/>
      <c r="I26" s="1"/>
      <c r="J26" s="1"/>
      <c r="K26" s="1"/>
      <c r="L26" s="1"/>
      <c r="M26" s="9"/>
      <c r="N26" s="9"/>
      <c r="O26" s="9"/>
      <c r="P26" s="9"/>
      <c r="Q26" s="9"/>
      <c r="R26" s="9"/>
    </row>
    <row r="27" spans="1:18">
      <c r="A27" s="17"/>
      <c r="B27" s="1"/>
      <c r="C27" s="1"/>
      <c r="D27" s="1"/>
      <c r="E27" s="1"/>
      <c r="F27" s="1"/>
      <c r="G27" s="1"/>
      <c r="H27" s="1"/>
      <c r="I27" s="1"/>
      <c r="J27" s="1"/>
      <c r="K27" s="1"/>
      <c r="L27" s="1"/>
      <c r="M27" s="9"/>
      <c r="N27" s="9"/>
      <c r="O27" s="9"/>
      <c r="P27" s="9"/>
      <c r="Q27" s="9"/>
      <c r="R27" s="9"/>
    </row>
    <row r="28" spans="1:18">
      <c r="A28" s="17"/>
      <c r="B28" s="260" t="s">
        <v>1552</v>
      </c>
      <c r="C28" s="1"/>
      <c r="D28" s="1"/>
      <c r="E28" s="1"/>
      <c r="F28" s="1"/>
      <c r="G28" s="1"/>
      <c r="H28" s="1"/>
      <c r="I28" s="1"/>
      <c r="J28" s="1"/>
      <c r="K28" s="1"/>
      <c r="L28" s="1"/>
      <c r="M28" s="9"/>
      <c r="N28" s="9"/>
      <c r="O28" s="9"/>
      <c r="P28" s="9"/>
      <c r="Q28" s="9"/>
      <c r="R28" s="9"/>
    </row>
    <row r="29" spans="1:18">
      <c r="A29" s="17"/>
      <c r="B29" s="260"/>
      <c r="C29" s="1"/>
      <c r="D29" s="1"/>
      <c r="E29" s="1"/>
      <c r="F29" s="1"/>
      <c r="G29" s="1"/>
      <c r="H29" s="1"/>
      <c r="I29" s="1"/>
      <c r="J29" s="1"/>
      <c r="K29" s="1"/>
      <c r="L29" s="1"/>
      <c r="M29" s="9"/>
      <c r="N29" s="9"/>
      <c r="O29" s="9"/>
      <c r="P29" s="9"/>
      <c r="Q29" s="9"/>
      <c r="R29" s="9"/>
    </row>
    <row r="30" spans="1:18">
      <c r="A30" s="17"/>
      <c r="B30" s="260" t="s">
        <v>1553</v>
      </c>
      <c r="C30" s="1"/>
      <c r="D30" s="1"/>
      <c r="E30" s="1"/>
      <c r="F30" s="1"/>
      <c r="G30" s="1"/>
      <c r="H30" s="1"/>
      <c r="I30" s="1"/>
      <c r="J30" s="1"/>
      <c r="K30" s="1"/>
      <c r="L30" s="1"/>
      <c r="M30" s="9"/>
      <c r="N30" s="9"/>
      <c r="O30" s="9"/>
      <c r="P30" s="9"/>
      <c r="Q30" s="9"/>
      <c r="R30" s="9"/>
    </row>
    <row r="31" spans="1:18">
      <c r="A31" s="14"/>
      <c r="B31" s="14"/>
      <c r="C31" s="14"/>
      <c r="D31" s="14"/>
      <c r="E31" s="14"/>
      <c r="F31" s="14"/>
      <c r="G31" s="1"/>
      <c r="H31" s="1"/>
      <c r="I31" s="1"/>
      <c r="J31" s="1"/>
      <c r="K31" s="1"/>
      <c r="L31" s="1"/>
    </row>
    <row r="32" spans="1:18">
      <c r="A32" s="3"/>
      <c r="B32" s="3"/>
      <c r="C32" s="3"/>
      <c r="D32" s="3"/>
      <c r="E32" s="3"/>
      <c r="F32" s="3"/>
      <c r="G32" s="3"/>
      <c r="H32" s="3"/>
      <c r="I32" s="3"/>
      <c r="J32" s="3"/>
      <c r="K32" s="3"/>
      <c r="L32" s="3"/>
      <c r="M32" s="3"/>
    </row>
    <row r="33" spans="1:14">
      <c r="A33" s="3" t="s">
        <v>20</v>
      </c>
      <c r="B33" s="3"/>
      <c r="C33" s="3"/>
      <c r="D33" s="3"/>
      <c r="E33" s="3"/>
      <c r="F33" s="3"/>
      <c r="G33" s="3"/>
      <c r="H33" s="3"/>
      <c r="I33" s="3"/>
      <c r="J33" s="3"/>
      <c r="K33" s="3"/>
      <c r="L33" s="3"/>
      <c r="M33" s="3"/>
      <c r="N33" s="9"/>
    </row>
    <row r="34" spans="1:14" ht="33" customHeight="1">
      <c r="A34" s="3"/>
      <c r="C34" s="862" t="s">
        <v>1554</v>
      </c>
      <c r="D34" s="862"/>
      <c r="E34" s="909" t="s">
        <v>1555</v>
      </c>
      <c r="F34" s="909"/>
      <c r="G34" s="3"/>
      <c r="H34" s="3"/>
      <c r="I34" s="3"/>
      <c r="J34" s="3"/>
      <c r="K34" s="3"/>
      <c r="L34" s="3"/>
      <c r="M34" s="3"/>
      <c r="N34" s="9"/>
    </row>
    <row r="35" spans="1:14" ht="46.8">
      <c r="A35" s="3"/>
      <c r="B35" s="93" t="str">
        <f>B5</f>
        <v>Experience Period Calendar Quarter Ending</v>
      </c>
      <c r="C35" s="36" t="s">
        <v>1556</v>
      </c>
      <c r="D35" s="36" t="s">
        <v>1557</v>
      </c>
      <c r="E35" s="36" t="s">
        <v>1556</v>
      </c>
      <c r="F35" s="36" t="s">
        <v>1557</v>
      </c>
      <c r="G35" s="3"/>
      <c r="H35" s="3"/>
      <c r="I35" s="3"/>
      <c r="J35" s="3"/>
      <c r="K35" s="3"/>
      <c r="L35" s="3"/>
      <c r="M35" s="3"/>
      <c r="N35" s="9"/>
    </row>
    <row r="36" spans="1:14">
      <c r="A36" s="3"/>
      <c r="B36" s="564" t="str">
        <f t="shared" ref="B36:B53" si="0">B6</f>
        <v>2018-1</v>
      </c>
      <c r="C36" s="176">
        <f t="shared" ref="C36:C53" si="1">E6/C6</f>
        <v>516.48078026391283</v>
      </c>
      <c r="G36" s="3"/>
      <c r="H36" s="3"/>
      <c r="I36" s="3"/>
      <c r="J36" s="3"/>
      <c r="K36" s="3"/>
      <c r="L36" s="3"/>
      <c r="M36" s="3"/>
      <c r="N36" s="9"/>
    </row>
    <row r="37" spans="1:14">
      <c r="A37" s="3"/>
      <c r="B37" s="564" t="str">
        <f t="shared" si="0"/>
        <v>2018-2</v>
      </c>
      <c r="C37" s="176">
        <f t="shared" si="1"/>
        <v>526.27792304818831</v>
      </c>
      <c r="E37" s="177">
        <f>C37/C36-1</f>
        <v>1.896903652304216E-2</v>
      </c>
      <c r="G37" s="3"/>
      <c r="H37" s="3"/>
      <c r="I37" s="3"/>
      <c r="J37" s="3"/>
      <c r="K37" s="3"/>
      <c r="L37" s="3"/>
      <c r="M37" s="3"/>
      <c r="N37" s="9"/>
    </row>
    <row r="38" spans="1:14">
      <c r="A38" s="3"/>
      <c r="B38" s="564" t="str">
        <f t="shared" si="0"/>
        <v>2018-3</v>
      </c>
      <c r="C38" s="176">
        <f t="shared" si="1"/>
        <v>531.29633620689651</v>
      </c>
      <c r="E38" s="177">
        <f t="shared" ref="E38:F53" si="2">C38/C37-1</f>
        <v>9.5356710569229897E-3</v>
      </c>
      <c r="G38" s="3"/>
      <c r="H38" s="3"/>
      <c r="I38" s="3"/>
      <c r="J38" s="3"/>
      <c r="K38" s="3"/>
      <c r="L38" s="3"/>
      <c r="M38" s="3"/>
      <c r="N38" s="9"/>
    </row>
    <row r="39" spans="1:14">
      <c r="A39" s="3"/>
      <c r="B39" s="564" t="str">
        <f t="shared" si="0"/>
        <v>2018-4</v>
      </c>
      <c r="C39" s="176">
        <f t="shared" si="1"/>
        <v>533.12078554049356</v>
      </c>
      <c r="D39" s="176">
        <f t="shared" ref="D39:D53" si="3">SUM(E6:E9)/SUM(C6:C9)</f>
        <v>527.01232595297881</v>
      </c>
      <c r="E39" s="177">
        <f t="shared" si="2"/>
        <v>3.4339580555409199E-3</v>
      </c>
      <c r="G39" s="3"/>
      <c r="H39" s="3"/>
      <c r="I39" s="3"/>
      <c r="J39" s="3"/>
      <c r="K39" s="3"/>
      <c r="L39" s="3"/>
      <c r="M39" s="3"/>
      <c r="N39" s="9"/>
    </row>
    <row r="40" spans="1:14">
      <c r="A40" s="3"/>
      <c r="B40" s="564" t="str">
        <f t="shared" si="0"/>
        <v>2019-1</v>
      </c>
      <c r="C40" s="176">
        <f t="shared" si="1"/>
        <v>545.32068791097618</v>
      </c>
      <c r="D40" s="176">
        <f t="shared" si="3"/>
        <v>534.25151501747246</v>
      </c>
      <c r="E40" s="177">
        <f t="shared" si="2"/>
        <v>2.288393681389489E-2</v>
      </c>
      <c r="F40" s="177">
        <f t="shared" si="2"/>
        <v>1.3736280363847664E-2</v>
      </c>
      <c r="G40" s="3"/>
      <c r="H40" s="3"/>
      <c r="I40" s="3"/>
      <c r="J40" s="3"/>
      <c r="K40" s="3"/>
      <c r="L40" s="3"/>
      <c r="M40" s="3"/>
      <c r="N40" s="9"/>
    </row>
    <row r="41" spans="1:14">
      <c r="A41" s="3"/>
      <c r="B41" s="564" t="str">
        <f t="shared" si="0"/>
        <v>2019-2</v>
      </c>
      <c r="C41" s="176">
        <f t="shared" si="1"/>
        <v>541.8178070898598</v>
      </c>
      <c r="D41" s="176">
        <f t="shared" si="3"/>
        <v>538.05030448580499</v>
      </c>
      <c r="E41" s="177">
        <f t="shared" si="2"/>
        <v>-6.4235245402760599E-3</v>
      </c>
      <c r="F41" s="177">
        <f t="shared" si="2"/>
        <v>7.1104889018578366E-3</v>
      </c>
      <c r="G41" s="3"/>
      <c r="H41" s="3"/>
      <c r="I41" s="3"/>
      <c r="J41" s="3"/>
      <c r="K41" s="3"/>
      <c r="L41" s="3"/>
      <c r="M41" s="3"/>
      <c r="N41" s="9"/>
    </row>
    <row r="42" spans="1:14">
      <c r="A42" s="3"/>
      <c r="B42" s="564" t="str">
        <f t="shared" si="0"/>
        <v>2019-3</v>
      </c>
      <c r="C42" s="176">
        <f t="shared" si="1"/>
        <v>556.4967599178126</v>
      </c>
      <c r="D42" s="176">
        <f t="shared" si="3"/>
        <v>544.45960875524361</v>
      </c>
      <c r="E42" s="177">
        <f t="shared" si="2"/>
        <v>2.7092045768658757E-2</v>
      </c>
      <c r="F42" s="177">
        <f t="shared" si="2"/>
        <v>1.191209114836167E-2</v>
      </c>
      <c r="G42" s="3"/>
      <c r="H42" s="3"/>
      <c r="I42" s="3"/>
      <c r="J42" s="3"/>
      <c r="K42" s="3"/>
      <c r="L42" s="3"/>
      <c r="M42" s="3"/>
      <c r="N42" s="9"/>
    </row>
    <row r="43" spans="1:14">
      <c r="A43" s="3"/>
      <c r="B43" s="564" t="str">
        <f t="shared" si="0"/>
        <v>2019-4</v>
      </c>
      <c r="C43" s="176">
        <f t="shared" si="1"/>
        <v>556.53767441860464</v>
      </c>
      <c r="D43" s="176">
        <f t="shared" si="3"/>
        <v>550.23796068300169</v>
      </c>
      <c r="E43" s="177">
        <f t="shared" si="2"/>
        <v>7.3521543590082672E-5</v>
      </c>
      <c r="F43" s="177">
        <f t="shared" si="2"/>
        <v>1.0613003857106396E-2</v>
      </c>
      <c r="G43" s="3"/>
      <c r="H43" s="3"/>
      <c r="I43" s="3"/>
      <c r="J43" s="3"/>
      <c r="K43" s="3"/>
      <c r="L43" s="3"/>
      <c r="M43" s="3"/>
      <c r="N43" s="9"/>
    </row>
    <row r="44" spans="1:14">
      <c r="A44" s="3"/>
      <c r="B44" s="564" t="str">
        <f t="shared" si="0"/>
        <v>2020-1</v>
      </c>
      <c r="C44" s="176">
        <f t="shared" si="1"/>
        <v>558.30879498282809</v>
      </c>
      <c r="D44" s="176">
        <f t="shared" si="3"/>
        <v>553.49629977681195</v>
      </c>
      <c r="E44" s="177">
        <f t="shared" si="2"/>
        <v>3.1823911401391847E-3</v>
      </c>
      <c r="F44" s="177">
        <f t="shared" si="2"/>
        <v>5.9216908440227201E-3</v>
      </c>
      <c r="G44" s="3"/>
      <c r="H44" s="3"/>
      <c r="I44" s="3"/>
      <c r="J44" s="3"/>
      <c r="K44" s="3"/>
      <c r="L44" s="3"/>
      <c r="M44" s="3"/>
      <c r="N44" s="9"/>
    </row>
    <row r="45" spans="1:14">
      <c r="A45" s="3"/>
      <c r="B45" s="564" t="str">
        <f t="shared" si="0"/>
        <v>2020-2</v>
      </c>
      <c r="C45" s="176">
        <f t="shared" si="1"/>
        <v>564.92149478563147</v>
      </c>
      <c r="D45" s="176">
        <f t="shared" si="3"/>
        <v>559.17184775191447</v>
      </c>
      <c r="E45" s="177">
        <f t="shared" si="2"/>
        <v>1.1844161980301138E-2</v>
      </c>
      <c r="F45" s="177">
        <f t="shared" si="2"/>
        <v>1.0253994430299063E-2</v>
      </c>
      <c r="G45" s="3"/>
      <c r="H45" s="3"/>
      <c r="I45" s="3"/>
      <c r="J45" s="3"/>
      <c r="K45" s="3"/>
      <c r="L45" s="3"/>
      <c r="M45" s="3"/>
      <c r="N45" s="9"/>
    </row>
    <row r="46" spans="1:14">
      <c r="A46" s="3"/>
      <c r="B46" s="564" t="str">
        <f t="shared" si="0"/>
        <v>2020-3</v>
      </c>
      <c r="C46" s="176">
        <f t="shared" si="1"/>
        <v>578.58884674813874</v>
      </c>
      <c r="D46" s="176">
        <f t="shared" si="3"/>
        <v>564.88237026131765</v>
      </c>
      <c r="E46" s="177">
        <f t="shared" si="2"/>
        <v>2.4193365075785511E-2</v>
      </c>
      <c r="F46" s="177">
        <f t="shared" si="2"/>
        <v>1.0212464258280596E-2</v>
      </c>
      <c r="G46" s="3"/>
      <c r="H46" s="3"/>
      <c r="I46" s="3"/>
      <c r="J46" s="3"/>
      <c r="K46" s="3"/>
      <c r="L46" s="3"/>
      <c r="M46" s="3"/>
      <c r="N46" s="9"/>
    </row>
    <row r="47" spans="1:14">
      <c r="A47" s="3"/>
      <c r="B47" s="564" t="str">
        <f t="shared" si="0"/>
        <v>2020-4</v>
      </c>
      <c r="C47" s="176">
        <f t="shared" si="1"/>
        <v>576.75</v>
      </c>
      <c r="D47" s="176">
        <f t="shared" si="3"/>
        <v>569.87646722015461</v>
      </c>
      <c r="E47" s="177">
        <f t="shared" si="2"/>
        <v>-3.1781579587537578E-3</v>
      </c>
      <c r="F47" s="177">
        <f t="shared" si="2"/>
        <v>8.8409502964779119E-3</v>
      </c>
      <c r="G47" s="3"/>
      <c r="H47" s="3"/>
      <c r="I47" s="3"/>
      <c r="J47" s="3"/>
      <c r="K47" s="3"/>
      <c r="L47" s="3"/>
      <c r="M47" s="3"/>
      <c r="N47" s="9"/>
    </row>
    <row r="48" spans="1:14">
      <c r="A48" s="3"/>
      <c r="B48" s="564" t="str">
        <f t="shared" si="0"/>
        <v>2021-1</v>
      </c>
      <c r="C48" s="176">
        <f t="shared" si="1"/>
        <v>589.45172872340424</v>
      </c>
      <c r="D48" s="176">
        <f t="shared" si="3"/>
        <v>577.68662008551462</v>
      </c>
      <c r="E48" s="177">
        <f t="shared" si="2"/>
        <v>2.2022936668234516E-2</v>
      </c>
      <c r="F48" s="177">
        <f t="shared" si="2"/>
        <v>1.3704992774061564E-2</v>
      </c>
      <c r="G48" s="3"/>
      <c r="H48" s="3"/>
      <c r="I48" s="3"/>
      <c r="J48" s="3"/>
      <c r="K48" s="3"/>
      <c r="L48" s="3"/>
      <c r="M48" s="3"/>
      <c r="N48" s="9"/>
    </row>
    <row r="49" spans="1:14">
      <c r="A49" s="3"/>
      <c r="B49" s="564" t="str">
        <f t="shared" si="0"/>
        <v>2021-2</v>
      </c>
      <c r="C49" s="176">
        <f t="shared" si="1"/>
        <v>596.73693086003368</v>
      </c>
      <c r="D49" s="176">
        <f t="shared" si="3"/>
        <v>585.63296361422965</v>
      </c>
      <c r="E49" s="177">
        <f t="shared" si="2"/>
        <v>1.235928538611164E-2</v>
      </c>
      <c r="F49" s="177">
        <f t="shared" si="2"/>
        <v>1.3755457115379954E-2</v>
      </c>
      <c r="G49" s="3"/>
      <c r="H49" s="3"/>
      <c r="I49" s="3"/>
      <c r="J49" s="3"/>
      <c r="K49" s="3"/>
      <c r="L49" s="3"/>
      <c r="M49" s="3"/>
      <c r="N49" s="9"/>
    </row>
    <row r="50" spans="1:14">
      <c r="A50" s="3"/>
      <c r="B50" s="564" t="str">
        <f t="shared" si="0"/>
        <v>2021-3</v>
      </c>
      <c r="C50" s="176">
        <f t="shared" si="1"/>
        <v>599.15934343434344</v>
      </c>
      <c r="D50" s="176">
        <f t="shared" si="3"/>
        <v>590.81111513515293</v>
      </c>
      <c r="E50" s="177">
        <f t="shared" si="2"/>
        <v>4.0594312988446735E-3</v>
      </c>
      <c r="F50" s="177">
        <f t="shared" si="2"/>
        <v>8.8419741419034636E-3</v>
      </c>
      <c r="G50" s="3"/>
      <c r="H50" s="3"/>
      <c r="I50" s="3"/>
      <c r="J50" s="3"/>
      <c r="K50" s="3"/>
      <c r="L50" s="3"/>
      <c r="M50" s="3"/>
      <c r="N50" s="9"/>
    </row>
    <row r="51" spans="1:14">
      <c r="A51" s="3"/>
      <c r="B51" s="564" t="str">
        <f t="shared" si="0"/>
        <v>2021-4</v>
      </c>
      <c r="C51" s="176">
        <f t="shared" si="1"/>
        <v>605.94003656307132</v>
      </c>
      <c r="D51" s="176">
        <f t="shared" si="3"/>
        <v>598.0098870957454</v>
      </c>
      <c r="E51" s="177">
        <f t="shared" si="2"/>
        <v>1.1317011414461842E-2</v>
      </c>
      <c r="F51" s="177">
        <f t="shared" si="2"/>
        <v>1.2184557426523135E-2</v>
      </c>
      <c r="G51" s="3"/>
      <c r="H51" s="3"/>
      <c r="I51" s="3"/>
      <c r="J51" s="3"/>
      <c r="K51" s="3"/>
      <c r="L51" s="3"/>
      <c r="M51" s="3"/>
      <c r="N51" s="9"/>
    </row>
    <row r="52" spans="1:14">
      <c r="A52" s="3"/>
      <c r="B52" s="564" t="str">
        <f t="shared" si="0"/>
        <v>2022-1</v>
      </c>
      <c r="C52" s="176">
        <f t="shared" si="1"/>
        <v>610.40999762526712</v>
      </c>
      <c r="D52" s="176">
        <f t="shared" si="3"/>
        <v>603.24274553571433</v>
      </c>
      <c r="E52" s="177">
        <f t="shared" si="2"/>
        <v>7.3769033113404436E-3</v>
      </c>
      <c r="F52" s="177">
        <f t="shared" si="2"/>
        <v>8.7504547213801409E-3</v>
      </c>
      <c r="G52" s="3"/>
      <c r="H52" s="3"/>
      <c r="I52" s="3"/>
      <c r="J52" s="3"/>
      <c r="K52" s="3"/>
      <c r="L52" s="3"/>
      <c r="M52" s="3"/>
      <c r="N52" s="9"/>
    </row>
    <row r="53" spans="1:14">
      <c r="A53" s="3"/>
      <c r="B53" s="564" t="str">
        <f t="shared" si="0"/>
        <v>2022-2</v>
      </c>
      <c r="C53" s="176">
        <f t="shared" si="1"/>
        <v>621.06086559323967</v>
      </c>
      <c r="D53" s="176">
        <f t="shared" si="3"/>
        <v>609.43379173672827</v>
      </c>
      <c r="E53" s="177">
        <f t="shared" si="2"/>
        <v>1.744871153717753E-2</v>
      </c>
      <c r="F53" s="177">
        <f t="shared" si="2"/>
        <v>1.026294347811163E-2</v>
      </c>
      <c r="G53" s="3"/>
      <c r="H53" s="3"/>
      <c r="I53" s="3"/>
      <c r="J53" s="3"/>
      <c r="K53" s="3"/>
      <c r="L53" s="3"/>
      <c r="M53" s="3"/>
      <c r="N53" s="9"/>
    </row>
    <row r="55" spans="1:14">
      <c r="A55" s="17" t="s">
        <v>133</v>
      </c>
      <c r="B55" s="1" t="s">
        <v>1558</v>
      </c>
      <c r="C55" s="1"/>
      <c r="D55" s="1"/>
      <c r="E55" s="1"/>
      <c r="F55" s="1"/>
      <c r="G55" s="1"/>
      <c r="H55" s="1"/>
      <c r="I55" s="1"/>
      <c r="J55" s="1"/>
      <c r="K55" s="1"/>
      <c r="L55" s="1"/>
    </row>
    <row r="56" spans="1:14">
      <c r="A56" s="14"/>
      <c r="B56" s="14"/>
      <c r="C56" s="14"/>
      <c r="D56" s="14"/>
      <c r="E56" s="14"/>
      <c r="F56" s="14"/>
      <c r="G56" s="1"/>
      <c r="H56" s="1"/>
      <c r="I56" s="1"/>
      <c r="J56" s="1"/>
      <c r="K56" s="1"/>
      <c r="L56" s="1"/>
    </row>
    <row r="57" spans="1:14">
      <c r="A57" s="3"/>
      <c r="B57" s="3"/>
      <c r="C57" s="3"/>
      <c r="D57" s="3"/>
      <c r="E57" s="3"/>
      <c r="F57" s="3"/>
      <c r="G57" s="3"/>
      <c r="H57" s="3"/>
      <c r="I57" s="3"/>
      <c r="J57" s="3"/>
      <c r="K57" s="3"/>
      <c r="L57" s="3"/>
    </row>
    <row r="58" spans="1:14">
      <c r="A58" s="3" t="s">
        <v>20</v>
      </c>
      <c r="B58" s="3"/>
      <c r="C58" s="3"/>
      <c r="D58" s="3"/>
      <c r="E58" s="3"/>
      <c r="F58" s="3"/>
      <c r="G58" s="3"/>
      <c r="H58" s="3"/>
      <c r="I58" s="3"/>
      <c r="J58" s="3"/>
      <c r="K58" s="3"/>
      <c r="L58" s="3"/>
    </row>
    <row r="59" spans="1:14" ht="46.8">
      <c r="A59" s="3"/>
      <c r="B59" s="565"/>
      <c r="C59" s="565"/>
      <c r="D59" s="36" t="s">
        <v>1556</v>
      </c>
      <c r="E59" s="36" t="s">
        <v>1557</v>
      </c>
      <c r="F59" s="3"/>
      <c r="G59" s="3"/>
      <c r="H59" s="3"/>
      <c r="I59" s="3"/>
      <c r="J59" s="3"/>
      <c r="K59" s="3"/>
      <c r="L59" s="3"/>
    </row>
    <row r="60" spans="1:14">
      <c r="A60" s="3"/>
      <c r="B60" s="3" t="s">
        <v>1559</v>
      </c>
      <c r="C60" s="3"/>
      <c r="D60" s="112">
        <f>AVERAGE(E37:E53)</f>
        <v>1.0952393239706851E-2</v>
      </c>
      <c r="E60" s="112">
        <f>AVERAGE(F40:F53)</f>
        <v>1.0435810268400982E-2</v>
      </c>
      <c r="F60" s="3"/>
      <c r="G60" s="3"/>
      <c r="H60" s="3"/>
      <c r="I60" s="3"/>
      <c r="J60" s="3"/>
      <c r="K60" s="3"/>
      <c r="L60" s="3"/>
    </row>
    <row r="61" spans="1:14">
      <c r="B61" s="3" t="s">
        <v>1560</v>
      </c>
      <c r="C61" s="3"/>
      <c r="D61" s="112">
        <f>(SUM(E37:E53)-MIN(E37:E53)-MAX(E37:E53))/15</f>
        <v>1.1034810923108918E-2</v>
      </c>
      <c r="E61" s="112">
        <f>(SUM(F40:F53)-MIN(F40:F53)-MAX(F40:F53))/12</f>
        <v>1.0535349649850922E-2</v>
      </c>
      <c r="M61" s="3"/>
    </row>
    <row r="62" spans="1:14">
      <c r="B62" s="3" t="s">
        <v>1561</v>
      </c>
      <c r="C62" s="3"/>
      <c r="D62" s="112">
        <f>AVERAGE(E48:E53)</f>
        <v>1.2430713269361774E-2</v>
      </c>
      <c r="E62" s="112">
        <f>AVERAGE(F48:F53)</f>
        <v>1.1250063276226649E-2</v>
      </c>
      <c r="M62" s="3"/>
    </row>
    <row r="63" spans="1:14">
      <c r="B63" s="62"/>
      <c r="C63" s="62"/>
      <c r="D63" s="62"/>
      <c r="E63" s="62"/>
      <c r="M63" s="3"/>
    </row>
    <row r="64" spans="1:14">
      <c r="B64" s="3" t="s">
        <v>1562</v>
      </c>
      <c r="C64" s="62"/>
      <c r="D64" s="62"/>
      <c r="E64" s="112">
        <f>E61</f>
        <v>1.0535349649850922E-2</v>
      </c>
    </row>
    <row r="65" spans="1:12">
      <c r="B65" s="3" t="s">
        <v>1563</v>
      </c>
      <c r="C65" s="62"/>
      <c r="D65" s="62"/>
      <c r="E65" s="112">
        <f>(1+E64)^4-1</f>
        <v>4.2812049897660964E-2</v>
      </c>
    </row>
    <row r="66" spans="1:12">
      <c r="B66" s="3" t="s">
        <v>496</v>
      </c>
      <c r="C66" s="100" t="s">
        <v>1564</v>
      </c>
      <c r="D66" s="62"/>
      <c r="E66" s="62"/>
    </row>
    <row r="68" spans="1:12">
      <c r="A68" s="14"/>
      <c r="B68" s="14"/>
      <c r="C68" s="14"/>
      <c r="D68" s="14"/>
      <c r="E68" s="14"/>
      <c r="F68" s="14"/>
      <c r="G68" s="1"/>
      <c r="H68" s="1"/>
      <c r="I68" s="1"/>
      <c r="J68" s="1"/>
      <c r="K68" s="1"/>
      <c r="L68" s="1"/>
    </row>
    <row r="69" spans="1:12">
      <c r="A69" s="260" t="s">
        <v>12</v>
      </c>
      <c r="B69" s="1"/>
      <c r="C69" s="1"/>
      <c r="D69" s="1"/>
      <c r="E69" s="1"/>
      <c r="F69" s="14"/>
      <c r="G69" s="1"/>
      <c r="H69" s="1"/>
      <c r="I69" s="1"/>
      <c r="J69" s="1"/>
      <c r="K69" s="1"/>
      <c r="L69" s="1"/>
    </row>
    <row r="70" spans="1:12">
      <c r="A70" s="1"/>
      <c r="B70" s="492" t="s">
        <v>1565</v>
      </c>
      <c r="C70" s="1"/>
      <c r="D70" s="1"/>
      <c r="E70" s="231">
        <v>5136000</v>
      </c>
      <c r="F70" s="14"/>
      <c r="G70" s="1"/>
      <c r="H70" s="1"/>
      <c r="I70" s="1"/>
      <c r="J70" s="1"/>
      <c r="K70" s="1"/>
      <c r="L70" s="1"/>
    </row>
    <row r="71" spans="1:12">
      <c r="A71" s="1"/>
      <c r="B71" s="492" t="s">
        <v>1293</v>
      </c>
      <c r="C71" s="1"/>
      <c r="D71" s="474">
        <v>45017</v>
      </c>
      <c r="E71" s="1" t="s">
        <v>1566</v>
      </c>
      <c r="F71" s="14"/>
      <c r="G71" s="1"/>
      <c r="H71" s="1"/>
      <c r="I71" s="1"/>
      <c r="J71" s="1"/>
      <c r="K71" s="1"/>
      <c r="L71" s="1"/>
    </row>
    <row r="72" spans="1:12">
      <c r="A72" s="1"/>
      <c r="B72" s="492" t="s">
        <v>1567</v>
      </c>
      <c r="C72" s="1"/>
      <c r="D72" s="1"/>
      <c r="E72" s="1"/>
      <c r="F72" s="14"/>
      <c r="G72" s="1"/>
      <c r="H72" s="1"/>
      <c r="I72" s="1"/>
      <c r="J72" s="1"/>
      <c r="K72" s="1"/>
      <c r="L72" s="1"/>
    </row>
    <row r="73" spans="1:12">
      <c r="A73" s="14"/>
      <c r="B73" s="14"/>
      <c r="C73" s="14"/>
      <c r="D73" s="14"/>
      <c r="E73" s="14"/>
      <c r="F73" s="14"/>
      <c r="G73" s="1"/>
      <c r="H73" s="1"/>
      <c r="I73" s="1"/>
      <c r="J73" s="1"/>
      <c r="K73" s="1"/>
      <c r="L73" s="1"/>
    </row>
    <row r="75" spans="1:12">
      <c r="A75" s="17" t="s">
        <v>18</v>
      </c>
      <c r="B75" s="1" t="s">
        <v>1568</v>
      </c>
      <c r="C75" s="1"/>
      <c r="D75" s="1"/>
      <c r="E75" s="1"/>
      <c r="F75" s="1"/>
      <c r="G75" s="1"/>
      <c r="H75" s="1"/>
      <c r="I75" s="1"/>
      <c r="J75" s="1"/>
      <c r="K75" s="1"/>
      <c r="L75" s="1"/>
    </row>
    <row r="76" spans="1:12">
      <c r="A76" s="14"/>
      <c r="B76" s="14"/>
      <c r="C76" s="14"/>
      <c r="D76" s="14"/>
      <c r="E76" s="14"/>
      <c r="F76" s="14"/>
      <c r="G76" s="1"/>
      <c r="H76" s="1"/>
      <c r="I76" s="1"/>
      <c r="J76" s="1"/>
      <c r="K76" s="1"/>
      <c r="L76" s="1"/>
    </row>
    <row r="77" spans="1:12">
      <c r="A77" s="3"/>
      <c r="B77" s="3"/>
      <c r="C77" s="3"/>
      <c r="D77" s="3"/>
      <c r="E77" s="3"/>
      <c r="F77" s="3"/>
      <c r="G77" s="3"/>
      <c r="H77" s="3"/>
      <c r="I77" s="3"/>
      <c r="J77" s="3"/>
      <c r="K77" s="3"/>
      <c r="L77" s="3"/>
    </row>
    <row r="78" spans="1:12">
      <c r="A78" s="3" t="s">
        <v>20</v>
      </c>
      <c r="B78" s="3"/>
      <c r="C78" s="3"/>
      <c r="D78" s="3"/>
      <c r="E78" s="3"/>
      <c r="F78" s="3"/>
      <c r="G78" s="3"/>
      <c r="H78" s="3"/>
      <c r="I78" s="3"/>
      <c r="J78" s="3"/>
      <c r="K78" s="3"/>
      <c r="L78" s="3"/>
    </row>
    <row r="79" spans="1:12">
      <c r="B79" s="3"/>
      <c r="C79" s="3"/>
      <c r="D79" s="3"/>
      <c r="E79" s="3"/>
      <c r="F79" s="3"/>
      <c r="G79" s="3"/>
    </row>
    <row r="80" spans="1:12">
      <c r="B80" s="3" t="s">
        <v>1569</v>
      </c>
      <c r="C80" s="3"/>
      <c r="D80" s="3"/>
      <c r="E80" s="99">
        <v>44607</v>
      </c>
      <c r="F80" s="3"/>
      <c r="G80" s="3"/>
    </row>
    <row r="81" spans="2:7">
      <c r="B81" s="3" t="s">
        <v>1570</v>
      </c>
      <c r="C81" s="3"/>
      <c r="D81" s="3"/>
      <c r="E81" s="99">
        <f>DATE(YEAR(D71)+1,MONTH(D71),1)</f>
        <v>45383</v>
      </c>
      <c r="F81" s="3"/>
      <c r="G81" s="3"/>
    </row>
    <row r="82" spans="2:7">
      <c r="B82" s="3" t="s">
        <v>1571</v>
      </c>
      <c r="C82" s="3"/>
      <c r="D82" s="3"/>
      <c r="E82" s="3">
        <f>2+1.5/12</f>
        <v>2.125</v>
      </c>
      <c r="F82" s="3"/>
      <c r="G82" s="3"/>
    </row>
    <row r="83" spans="2:7">
      <c r="B83" s="3"/>
      <c r="C83" s="3"/>
      <c r="D83" s="3"/>
      <c r="E83" s="3"/>
      <c r="F83" s="3"/>
      <c r="G83" s="3"/>
    </row>
    <row r="84" spans="2:7">
      <c r="B84" s="3" t="s">
        <v>1572</v>
      </c>
      <c r="C84" s="3"/>
      <c r="D84" s="3"/>
      <c r="E84" s="12">
        <f>E70*(1+E65)^E82</f>
        <v>5614522.8276473172</v>
      </c>
      <c r="F84" s="3"/>
      <c r="G84" s="3"/>
    </row>
  </sheetData>
  <mergeCells count="2">
    <mergeCell ref="C34:D34"/>
    <mergeCell ref="E34:F34"/>
  </mergeCells>
  <hyperlinks>
    <hyperlink ref="O1" location="TOC!A1" display="Table of Contents" xr:uid="{E4638C7E-8E78-446E-8DDF-C26AB96A7D49}"/>
  </hyperlinks>
  <pageMargins left="0.7" right="0.7" top="0.75" bottom="0.75" header="0.3" footer="0.3"/>
  <pageSetup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93EE3-CCBA-431C-A1AF-67368770F31F}">
  <dimension ref="A1:R112"/>
  <sheetViews>
    <sheetView zoomScaleNormal="100" workbookViewId="0"/>
  </sheetViews>
  <sheetFormatPr defaultColWidth="8.88671875" defaultRowHeight="15.6"/>
  <cols>
    <col min="1" max="1" width="10.6640625" style="2" customWidth="1"/>
    <col min="2" max="4" width="14.6640625" style="2" customWidth="1"/>
    <col min="5" max="5" width="16.6640625" style="2" customWidth="1"/>
    <col min="6" max="6" width="16.109375" style="2" customWidth="1"/>
    <col min="7" max="7" width="13.6640625" style="2" customWidth="1"/>
    <col min="8" max="8" width="9.6640625" style="2" customWidth="1"/>
    <col min="9" max="9" width="16" style="2" customWidth="1"/>
    <col min="10" max="10" width="15.44140625" style="2" customWidth="1"/>
    <col min="11" max="12" width="9.6640625" style="2" customWidth="1"/>
    <col min="13" max="16384" width="8.88671875" style="2"/>
  </cols>
  <sheetData>
    <row r="1" spans="1:18" ht="17.399999999999999">
      <c r="A1" s="13" t="s">
        <v>1943</v>
      </c>
      <c r="B1" s="1"/>
      <c r="C1" s="1"/>
      <c r="D1" s="1" t="s">
        <v>1573</v>
      </c>
      <c r="E1" s="1"/>
      <c r="F1" s="1"/>
      <c r="G1" s="1"/>
      <c r="H1" s="1"/>
      <c r="I1" s="1"/>
      <c r="J1" s="1"/>
      <c r="K1" s="1"/>
      <c r="L1" s="14"/>
      <c r="O1" s="21" t="s">
        <v>2927</v>
      </c>
    </row>
    <row r="2" spans="1:18">
      <c r="A2" s="1"/>
      <c r="B2" s="1"/>
      <c r="C2" s="1"/>
      <c r="D2" s="1"/>
      <c r="E2" s="1"/>
      <c r="F2" s="1"/>
      <c r="G2" s="1"/>
      <c r="H2" s="1"/>
      <c r="I2" s="1"/>
      <c r="J2" s="1"/>
      <c r="K2" s="1"/>
      <c r="L2" s="14"/>
    </row>
    <row r="3" spans="1:18">
      <c r="A3" s="3"/>
      <c r="B3" s="3"/>
      <c r="C3" s="3"/>
      <c r="D3" s="3"/>
      <c r="E3" s="3"/>
      <c r="F3" s="3"/>
      <c r="G3" s="3"/>
      <c r="H3" s="3"/>
      <c r="I3" s="3"/>
      <c r="J3" s="3"/>
      <c r="K3" s="3"/>
      <c r="L3" s="3"/>
    </row>
    <row r="4" spans="1:18">
      <c r="A4" s="17" t="s">
        <v>91</v>
      </c>
      <c r="B4" s="1" t="s">
        <v>1574</v>
      </c>
      <c r="C4" s="1"/>
      <c r="D4" s="1"/>
      <c r="E4" s="1"/>
      <c r="F4" s="1"/>
      <c r="G4" s="1"/>
      <c r="H4" s="1"/>
      <c r="I4" s="1"/>
      <c r="J4" s="1"/>
      <c r="K4" s="1"/>
      <c r="L4" s="1"/>
      <c r="M4" s="9"/>
      <c r="N4" s="9"/>
      <c r="O4" s="9"/>
      <c r="P4" s="9"/>
      <c r="Q4" s="9"/>
      <c r="R4" s="9"/>
    </row>
    <row r="5" spans="1:18">
      <c r="A5" s="14"/>
      <c r="B5" s="14"/>
      <c r="C5" s="14"/>
      <c r="D5" s="14"/>
      <c r="E5" s="14"/>
      <c r="F5" s="14"/>
      <c r="G5" s="1"/>
      <c r="H5" s="1"/>
      <c r="I5" s="1"/>
      <c r="J5" s="1"/>
      <c r="K5" s="1"/>
      <c r="L5" s="1"/>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B8" s="3"/>
      <c r="C8" s="3"/>
      <c r="D8" s="3"/>
      <c r="E8" s="3"/>
      <c r="F8" s="3"/>
      <c r="G8" s="3"/>
      <c r="H8" s="3"/>
      <c r="I8" s="3"/>
      <c r="J8" s="3"/>
      <c r="K8" s="3"/>
      <c r="L8" s="3"/>
      <c r="M8" s="3"/>
      <c r="N8" s="9"/>
    </row>
    <row r="9" spans="1:18">
      <c r="A9" s="465" t="s">
        <v>775</v>
      </c>
      <c r="B9" s="3"/>
      <c r="C9" s="3"/>
      <c r="D9" s="3"/>
      <c r="E9" s="3"/>
      <c r="F9" s="3"/>
      <c r="G9" s="3"/>
      <c r="H9" s="3"/>
      <c r="I9" s="3"/>
      <c r="J9" s="3"/>
      <c r="K9" s="3"/>
      <c r="L9" s="3"/>
      <c r="M9" s="3"/>
      <c r="N9" s="9"/>
    </row>
    <row r="10" spans="1:18">
      <c r="A10" s="3" t="s">
        <v>1575</v>
      </c>
      <c r="M10" s="9"/>
      <c r="N10" s="9"/>
    </row>
    <row r="11" spans="1:18">
      <c r="A11" s="2" t="s">
        <v>1576</v>
      </c>
      <c r="M11" s="9"/>
      <c r="N11" s="9"/>
    </row>
    <row r="12" spans="1:18">
      <c r="A12" s="2" t="s">
        <v>1577</v>
      </c>
      <c r="M12" s="9"/>
      <c r="N12" s="9"/>
    </row>
    <row r="13" spans="1:18">
      <c r="A13" s="2" t="s">
        <v>1578</v>
      </c>
      <c r="M13" s="9"/>
      <c r="N13" s="9"/>
    </row>
    <row r="14" spans="1:18">
      <c r="A14" s="2" t="s">
        <v>1579</v>
      </c>
      <c r="M14" s="9"/>
      <c r="N14" s="9"/>
    </row>
    <row r="15" spans="1:18">
      <c r="A15" s="2" t="s">
        <v>1580</v>
      </c>
      <c r="M15" s="9"/>
      <c r="N15" s="9"/>
    </row>
    <row r="16" spans="1:18">
      <c r="M16" s="9"/>
      <c r="N16" s="9"/>
    </row>
    <row r="17" spans="1:14">
      <c r="A17" s="14"/>
      <c r="B17" s="14"/>
      <c r="C17" s="14"/>
      <c r="D17" s="14"/>
      <c r="E17" s="14"/>
      <c r="F17" s="14"/>
      <c r="G17" s="1"/>
      <c r="H17" s="1"/>
      <c r="I17" s="1"/>
      <c r="J17" s="1"/>
      <c r="K17" s="1"/>
      <c r="L17" s="1"/>
      <c r="M17" s="9"/>
      <c r="N17" s="9"/>
    </row>
    <row r="18" spans="1:14">
      <c r="A18" s="260" t="s">
        <v>1581</v>
      </c>
      <c r="B18" s="46"/>
      <c r="C18" s="46"/>
      <c r="D18" s="46"/>
      <c r="E18" s="1"/>
      <c r="F18" s="1"/>
      <c r="G18" s="1"/>
      <c r="H18" s="1"/>
      <c r="I18" s="1"/>
      <c r="J18" s="1"/>
      <c r="K18" s="1"/>
      <c r="L18" s="1"/>
      <c r="M18" s="9"/>
      <c r="N18" s="9"/>
    </row>
    <row r="19" spans="1:14">
      <c r="A19" s="205"/>
      <c r="B19" s="46"/>
      <c r="C19" s="46"/>
      <c r="D19" s="46"/>
      <c r="E19" s="1"/>
      <c r="F19" s="1"/>
      <c r="G19" s="1"/>
      <c r="H19" s="1"/>
      <c r="I19" s="1"/>
      <c r="J19" s="1"/>
      <c r="K19" s="1"/>
      <c r="L19" s="1"/>
      <c r="M19" s="9"/>
      <c r="N19" s="9"/>
    </row>
    <row r="20" spans="1:14" ht="62.4">
      <c r="A20" s="14"/>
      <c r="B20" s="4" t="s">
        <v>49</v>
      </c>
      <c r="C20" s="4" t="s">
        <v>4</v>
      </c>
      <c r="D20" s="4" t="s">
        <v>1582</v>
      </c>
      <c r="E20" s="4" t="s">
        <v>1583</v>
      </c>
      <c r="F20" s="1"/>
      <c r="G20" s="1"/>
      <c r="H20" s="1"/>
      <c r="I20" s="1"/>
      <c r="J20" s="1"/>
      <c r="K20" s="1"/>
      <c r="L20" s="1"/>
      <c r="M20" s="9"/>
      <c r="N20" s="9"/>
    </row>
    <row r="21" spans="1:14">
      <c r="A21" s="14"/>
      <c r="B21" s="32">
        <v>2014</v>
      </c>
      <c r="C21" s="92">
        <v>24282</v>
      </c>
      <c r="D21" s="92">
        <v>3617</v>
      </c>
      <c r="E21" s="184">
        <v>1</v>
      </c>
      <c r="F21" s="1"/>
      <c r="G21" s="1"/>
      <c r="H21" s="1"/>
      <c r="I21" s="1"/>
      <c r="J21" s="1"/>
      <c r="K21" s="1"/>
      <c r="L21" s="1"/>
      <c r="M21" s="9"/>
      <c r="N21" s="9"/>
    </row>
    <row r="22" spans="1:14">
      <c r="A22" s="14"/>
      <c r="B22" s="32">
        <v>2015</v>
      </c>
      <c r="C22" s="92">
        <v>25414</v>
      </c>
      <c r="D22" s="92">
        <v>4159</v>
      </c>
      <c r="E22" s="184">
        <v>1.0109999999999999</v>
      </c>
      <c r="F22" s="1"/>
      <c r="G22" s="1"/>
      <c r="H22" s="1"/>
      <c r="I22" s="1"/>
      <c r="J22" s="1"/>
      <c r="K22" s="1"/>
      <c r="L22" s="1"/>
      <c r="M22" s="9"/>
      <c r="N22" s="9"/>
    </row>
    <row r="23" spans="1:14">
      <c r="A23" s="14"/>
      <c r="B23" s="32">
        <v>2016</v>
      </c>
      <c r="C23" s="92">
        <v>26264</v>
      </c>
      <c r="D23" s="92">
        <v>2256</v>
      </c>
      <c r="E23" s="184">
        <v>1.0529999999999999</v>
      </c>
      <c r="F23" s="1"/>
      <c r="G23" s="1"/>
      <c r="H23" s="1"/>
      <c r="I23" s="1"/>
      <c r="J23" s="1"/>
      <c r="K23" s="1"/>
      <c r="L23" s="1"/>
      <c r="M23" s="9"/>
      <c r="N23" s="9"/>
    </row>
    <row r="24" spans="1:14">
      <c r="A24" s="14"/>
      <c r="B24" s="32">
        <v>2017</v>
      </c>
      <c r="C24" s="92">
        <v>26950</v>
      </c>
      <c r="D24" s="92">
        <v>2410</v>
      </c>
      <c r="E24" s="184">
        <v>1.1140000000000001</v>
      </c>
      <c r="F24" s="1"/>
      <c r="G24" s="1"/>
      <c r="H24" s="1"/>
      <c r="I24" s="1"/>
      <c r="J24" s="1"/>
      <c r="K24" s="1"/>
      <c r="L24" s="1"/>
      <c r="M24" s="9"/>
      <c r="N24" s="9"/>
    </row>
    <row r="25" spans="1:14">
      <c r="A25" s="14"/>
      <c r="B25" s="32">
        <v>2018</v>
      </c>
      <c r="C25" s="92">
        <v>28044</v>
      </c>
      <c r="D25" s="92">
        <v>2051</v>
      </c>
      <c r="E25" s="184">
        <v>1.234</v>
      </c>
      <c r="F25" s="1"/>
      <c r="G25" s="1"/>
      <c r="H25" s="1"/>
      <c r="I25" s="1"/>
      <c r="J25" s="1"/>
      <c r="K25" s="1"/>
      <c r="L25" s="1"/>
      <c r="M25" s="9"/>
      <c r="N25" s="9"/>
    </row>
    <row r="26" spans="1:14">
      <c r="A26" s="14"/>
      <c r="B26" s="32">
        <v>2019</v>
      </c>
      <c r="C26" s="92">
        <v>29110</v>
      </c>
      <c r="D26" s="92">
        <v>2672</v>
      </c>
      <c r="E26" s="184">
        <v>1.411</v>
      </c>
      <c r="F26" s="1"/>
      <c r="G26" s="1"/>
      <c r="H26" s="1"/>
      <c r="I26" s="1"/>
      <c r="J26" s="1"/>
      <c r="K26" s="1"/>
      <c r="L26" s="1"/>
      <c r="M26" s="9"/>
      <c r="N26" s="9"/>
    </row>
    <row r="27" spans="1:14">
      <c r="A27" s="14"/>
      <c r="B27" s="32">
        <v>2020</v>
      </c>
      <c r="C27" s="92">
        <v>29880</v>
      </c>
      <c r="D27" s="92">
        <v>4900</v>
      </c>
      <c r="E27" s="184">
        <v>1.9219999999999999</v>
      </c>
      <c r="F27" s="1"/>
      <c r="G27" s="1"/>
      <c r="H27" s="1"/>
      <c r="I27" s="1"/>
      <c r="J27" s="1"/>
      <c r="K27" s="1"/>
      <c r="L27" s="1"/>
      <c r="M27" s="9"/>
      <c r="N27" s="9"/>
    </row>
    <row r="28" spans="1:14">
      <c r="A28" s="14"/>
      <c r="B28" s="32">
        <v>2021</v>
      </c>
      <c r="C28" s="92">
        <v>30606</v>
      </c>
      <c r="D28" s="92">
        <v>2699</v>
      </c>
      <c r="E28" s="184">
        <v>3.5739999999999998</v>
      </c>
      <c r="F28" s="1"/>
      <c r="G28" s="1"/>
      <c r="H28" s="1"/>
      <c r="I28" s="1"/>
      <c r="J28" s="1"/>
      <c r="K28" s="1"/>
      <c r="L28" s="1"/>
      <c r="M28" s="9"/>
      <c r="N28" s="9"/>
    </row>
    <row r="29" spans="1:14">
      <c r="A29" s="14"/>
      <c r="B29" s="32" t="s">
        <v>1584</v>
      </c>
      <c r="C29" s="196">
        <v>220550</v>
      </c>
      <c r="D29" s="196">
        <v>24764</v>
      </c>
      <c r="E29" s="32"/>
      <c r="F29" s="1"/>
      <c r="G29" s="1"/>
      <c r="H29" s="1"/>
      <c r="I29" s="1"/>
      <c r="J29" s="1"/>
      <c r="K29" s="1"/>
      <c r="L29" s="1"/>
      <c r="M29" s="9"/>
      <c r="N29" s="9"/>
    </row>
    <row r="30" spans="1:14">
      <c r="A30" s="205"/>
      <c r="B30" s="46"/>
      <c r="C30" s="46"/>
      <c r="D30" s="46"/>
      <c r="E30" s="1"/>
      <c r="F30" s="1"/>
      <c r="G30" s="1"/>
      <c r="H30" s="1"/>
      <c r="I30" s="1"/>
      <c r="J30" s="1"/>
      <c r="K30" s="1"/>
      <c r="L30" s="1"/>
      <c r="M30" s="9"/>
      <c r="N30" s="9"/>
    </row>
    <row r="31" spans="1:14">
      <c r="A31" s="1"/>
      <c r="B31" s="492" t="s">
        <v>1585</v>
      </c>
      <c r="C31" s="46"/>
      <c r="D31" s="485">
        <v>-1.4999999999999999E-2</v>
      </c>
      <c r="E31" s="1"/>
      <c r="F31" s="1"/>
      <c r="G31" s="1"/>
      <c r="H31" s="1"/>
      <c r="I31" s="1"/>
      <c r="J31" s="1"/>
      <c r="K31" s="1"/>
      <c r="L31" s="1"/>
      <c r="M31" s="9"/>
      <c r="N31" s="9"/>
    </row>
    <row r="32" spans="1:14">
      <c r="A32" s="1"/>
      <c r="B32" s="492" t="s">
        <v>1586</v>
      </c>
      <c r="C32" s="46"/>
      <c r="D32" s="485">
        <v>0.04</v>
      </c>
      <c r="E32" s="1"/>
      <c r="F32" s="1"/>
      <c r="G32" s="1"/>
      <c r="H32" s="1"/>
      <c r="I32" s="1"/>
      <c r="J32" s="1"/>
      <c r="K32" s="1"/>
      <c r="L32" s="1"/>
      <c r="M32" s="9"/>
      <c r="N32" s="9"/>
    </row>
    <row r="33" spans="1:14">
      <c r="A33" s="1"/>
      <c r="B33" s="492" t="s">
        <v>1587</v>
      </c>
      <c r="C33" s="46"/>
      <c r="D33" s="46"/>
      <c r="E33" s="1"/>
      <c r="F33" s="377">
        <v>0.1</v>
      </c>
      <c r="G33" s="1" t="s">
        <v>1588</v>
      </c>
      <c r="H33" s="1"/>
      <c r="I33" s="1"/>
      <c r="J33" s="1"/>
      <c r="K33" s="1"/>
      <c r="L33" s="1"/>
      <c r="M33" s="9"/>
      <c r="N33" s="9"/>
    </row>
    <row r="34" spans="1:14">
      <c r="A34" s="14"/>
      <c r="B34" s="14"/>
      <c r="C34" s="14"/>
      <c r="D34" s="14"/>
      <c r="E34" s="14"/>
      <c r="F34" s="14"/>
      <c r="G34" s="1"/>
      <c r="H34" s="1"/>
      <c r="I34" s="1"/>
      <c r="J34" s="1"/>
      <c r="K34" s="1"/>
      <c r="L34" s="1"/>
      <c r="M34" s="9"/>
      <c r="N34" s="9"/>
    </row>
    <row r="36" spans="1:14">
      <c r="A36" s="17" t="s">
        <v>133</v>
      </c>
      <c r="B36" s="831" t="s">
        <v>1589</v>
      </c>
      <c r="C36" s="831"/>
      <c r="D36" s="831"/>
      <c r="E36" s="831"/>
      <c r="F36" s="831"/>
      <c r="G36" s="831"/>
      <c r="H36" s="831"/>
      <c r="I36" s="831"/>
      <c r="J36" s="831"/>
      <c r="K36" s="831"/>
      <c r="L36" s="1"/>
    </row>
    <row r="37" spans="1:14">
      <c r="A37" s="17"/>
      <c r="B37" s="831"/>
      <c r="C37" s="831"/>
      <c r="D37" s="831"/>
      <c r="E37" s="831"/>
      <c r="F37" s="831"/>
      <c r="G37" s="831"/>
      <c r="H37" s="831"/>
      <c r="I37" s="831"/>
      <c r="J37" s="831"/>
      <c r="K37" s="831"/>
      <c r="L37" s="1"/>
    </row>
    <row r="38" spans="1:14">
      <c r="A38" s="14"/>
      <c r="B38" s="14"/>
      <c r="C38" s="14"/>
      <c r="D38" s="14"/>
      <c r="E38" s="14"/>
      <c r="F38" s="14"/>
      <c r="G38" s="1"/>
      <c r="H38" s="1"/>
      <c r="I38" s="1"/>
      <c r="J38" s="1"/>
      <c r="K38" s="1"/>
      <c r="L38" s="1"/>
    </row>
    <row r="39" spans="1:14">
      <c r="A39" s="3"/>
      <c r="B39" s="3"/>
      <c r="C39" s="3"/>
      <c r="D39" s="3"/>
      <c r="E39" s="3"/>
      <c r="F39" s="3"/>
      <c r="G39" s="3"/>
      <c r="H39" s="3"/>
      <c r="I39" s="3"/>
      <c r="J39" s="3"/>
      <c r="K39" s="3"/>
      <c r="L39" s="3"/>
    </row>
    <row r="40" spans="1:14">
      <c r="A40" s="3" t="s">
        <v>20</v>
      </c>
      <c r="B40" s="3"/>
      <c r="C40" s="3"/>
      <c r="D40" s="3"/>
      <c r="E40" s="3"/>
      <c r="F40" s="3"/>
      <c r="G40" s="3"/>
      <c r="H40" s="3"/>
      <c r="I40" s="3"/>
      <c r="J40" s="3"/>
      <c r="K40" s="3"/>
      <c r="L40" s="3"/>
    </row>
    <row r="41" spans="1:14">
      <c r="A41" s="3"/>
      <c r="B41" s="3"/>
      <c r="C41" s="3"/>
      <c r="D41" s="3"/>
      <c r="E41" s="3"/>
      <c r="F41" s="3"/>
      <c r="G41" s="3"/>
      <c r="H41" s="3"/>
      <c r="I41" s="3"/>
      <c r="J41" s="3"/>
      <c r="K41" s="3"/>
      <c r="L41" s="3"/>
    </row>
    <row r="42" spans="1:14">
      <c r="A42" s="323" t="s">
        <v>1590</v>
      </c>
      <c r="B42" s="566"/>
      <c r="C42" s="567">
        <f>(1+D31)*(1+D32)-1</f>
        <v>2.4399999999999977E-2</v>
      </c>
      <c r="D42" s="566"/>
      <c r="E42" s="566"/>
      <c r="G42" s="3"/>
      <c r="H42" s="3"/>
      <c r="I42" s="3"/>
      <c r="J42" s="3"/>
      <c r="K42" s="3"/>
      <c r="L42" s="3"/>
    </row>
    <row r="43" spans="1:14">
      <c r="A43" s="323"/>
      <c r="B43" s="566"/>
      <c r="C43" s="567"/>
      <c r="D43" s="566"/>
      <c r="E43" s="566"/>
      <c r="G43" s="3"/>
      <c r="H43" s="3"/>
      <c r="I43" s="3"/>
      <c r="J43" s="3"/>
      <c r="K43" s="3"/>
      <c r="L43" s="3"/>
    </row>
    <row r="44" spans="1:14">
      <c r="A44" s="3"/>
      <c r="B44" s="3"/>
      <c r="C44" s="3"/>
      <c r="D44" s="824" t="s">
        <v>1591</v>
      </c>
      <c r="E44" s="824"/>
      <c r="F44" s="3"/>
      <c r="G44" s="3"/>
      <c r="K44" s="3"/>
      <c r="L44" s="3"/>
    </row>
    <row r="45" spans="1:14" ht="46.8">
      <c r="A45" s="93" t="s">
        <v>49</v>
      </c>
      <c r="B45" s="93" t="s">
        <v>203</v>
      </c>
      <c r="C45" s="93" t="s">
        <v>1592</v>
      </c>
      <c r="D45" s="93" t="s">
        <v>1593</v>
      </c>
      <c r="E45" s="93" t="s">
        <v>208</v>
      </c>
      <c r="F45" s="93" t="s">
        <v>1594</v>
      </c>
      <c r="G45" s="93" t="s">
        <v>1595</v>
      </c>
      <c r="K45" s="3"/>
      <c r="L45" s="3"/>
    </row>
    <row r="46" spans="1:14">
      <c r="A46" s="94">
        <v>2014</v>
      </c>
      <c r="B46" s="385">
        <f t="shared" ref="B46:B53" si="0">1/E21</f>
        <v>1</v>
      </c>
      <c r="C46" s="463">
        <f t="shared" ref="C46:C53" si="1">C21*B46</f>
        <v>24282</v>
      </c>
      <c r="D46" s="568">
        <f t="shared" ref="D46:D52" si="2">D47*(1+$C$42)</f>
        <v>1.1838235864178657</v>
      </c>
      <c r="E46" s="569">
        <f t="shared" ref="E46:E49" si="3">1-$F$33</f>
        <v>0.9</v>
      </c>
      <c r="F46" s="463">
        <f t="shared" ref="F46:F53" si="4">D21*D46*E46</f>
        <v>3853.7009208660784</v>
      </c>
      <c r="G46" s="568">
        <f>F46/C46</f>
        <v>0.15870607531776948</v>
      </c>
      <c r="K46" s="3"/>
      <c r="L46" s="3"/>
    </row>
    <row r="47" spans="1:14">
      <c r="A47" s="94">
        <v>2015</v>
      </c>
      <c r="B47" s="385">
        <f t="shared" si="0"/>
        <v>0.98911968348170143</v>
      </c>
      <c r="C47" s="463">
        <f t="shared" si="1"/>
        <v>25137.48763600396</v>
      </c>
      <c r="D47" s="568">
        <f t="shared" si="2"/>
        <v>1.155626304585968</v>
      </c>
      <c r="E47" s="569">
        <f t="shared" si="3"/>
        <v>0.9</v>
      </c>
      <c r="F47" s="463">
        <f t="shared" si="4"/>
        <v>4325.6248206957371</v>
      </c>
      <c r="G47" s="568">
        <f t="shared" ref="G47:G54" si="5">F47/C47</f>
        <v>0.17207864538141929</v>
      </c>
      <c r="K47" s="3"/>
      <c r="L47" s="3"/>
    </row>
    <row r="48" spans="1:14">
      <c r="A48" s="94">
        <v>2016</v>
      </c>
      <c r="B48" s="385">
        <f t="shared" si="0"/>
        <v>0.94966761633428309</v>
      </c>
      <c r="C48" s="463">
        <f t="shared" si="1"/>
        <v>24942.07027540361</v>
      </c>
      <c r="D48" s="568">
        <f t="shared" si="2"/>
        <v>1.1281006487563141</v>
      </c>
      <c r="E48" s="569">
        <f t="shared" si="3"/>
        <v>0.9</v>
      </c>
      <c r="F48" s="463">
        <f t="shared" si="4"/>
        <v>2290.4955572348204</v>
      </c>
      <c r="G48" s="568">
        <f t="shared" si="5"/>
        <v>9.1832615815118243E-2</v>
      </c>
      <c r="K48" s="3"/>
      <c r="L48" s="3"/>
    </row>
    <row r="49" spans="1:12">
      <c r="A49" s="94">
        <v>2017</v>
      </c>
      <c r="B49" s="385">
        <f t="shared" si="0"/>
        <v>0.89766606822262107</v>
      </c>
      <c r="C49" s="463">
        <f t="shared" si="1"/>
        <v>24192.10053859964</v>
      </c>
      <c r="D49" s="568">
        <f t="shared" si="2"/>
        <v>1.1012306215895296</v>
      </c>
      <c r="E49" s="569">
        <f t="shared" si="3"/>
        <v>0.9</v>
      </c>
      <c r="F49" s="463">
        <f t="shared" si="4"/>
        <v>2388.5692182276894</v>
      </c>
      <c r="G49" s="568">
        <f t="shared" si="5"/>
        <v>9.8733436330450688E-2</v>
      </c>
      <c r="K49" s="3"/>
      <c r="L49" s="3"/>
    </row>
    <row r="50" spans="1:12">
      <c r="A50" s="94">
        <v>2018</v>
      </c>
      <c r="B50" s="385">
        <f t="shared" si="0"/>
        <v>0.81037277147487841</v>
      </c>
      <c r="C50" s="463">
        <f t="shared" si="1"/>
        <v>22726.094003241491</v>
      </c>
      <c r="D50" s="568">
        <f t="shared" si="2"/>
        <v>1.0750006067839999</v>
      </c>
      <c r="E50" s="569">
        <f>1-$F$33</f>
        <v>0.9</v>
      </c>
      <c r="F50" s="463">
        <f t="shared" si="4"/>
        <v>1984.3436200625856</v>
      </c>
      <c r="G50" s="568">
        <f t="shared" si="5"/>
        <v>8.7315647809058289E-2</v>
      </c>
      <c r="K50" s="3"/>
      <c r="L50" s="3"/>
    </row>
    <row r="51" spans="1:12">
      <c r="A51" s="94">
        <v>2019</v>
      </c>
      <c r="B51" s="385">
        <f t="shared" si="0"/>
        <v>0.7087172218284904</v>
      </c>
      <c r="C51" s="463">
        <f t="shared" si="1"/>
        <v>20630.758327427357</v>
      </c>
      <c r="D51" s="568">
        <f t="shared" si="2"/>
        <v>1.0493953599999999</v>
      </c>
      <c r="E51" s="569">
        <f>AVERAGE(E50,E52)</f>
        <v>0.95</v>
      </c>
      <c r="F51" s="463">
        <f t="shared" si="4"/>
        <v>2663.7851818239992</v>
      </c>
      <c r="G51" s="568">
        <f t="shared" si="5"/>
        <v>0.12911717250270227</v>
      </c>
      <c r="K51" s="3"/>
      <c r="L51" s="3"/>
    </row>
    <row r="52" spans="1:12">
      <c r="A52" s="94">
        <v>2020</v>
      </c>
      <c r="B52" s="385">
        <f t="shared" si="0"/>
        <v>0.52029136316337155</v>
      </c>
      <c r="C52" s="463">
        <f t="shared" si="1"/>
        <v>15546.305931321542</v>
      </c>
      <c r="D52" s="568">
        <f t="shared" si="2"/>
        <v>1.0244</v>
      </c>
      <c r="E52" s="569">
        <v>1</v>
      </c>
      <c r="F52" s="463">
        <f t="shared" si="4"/>
        <v>5019.5599999999995</v>
      </c>
      <c r="G52" s="568">
        <f t="shared" si="5"/>
        <v>0.32287798929049527</v>
      </c>
      <c r="K52" s="3"/>
      <c r="L52" s="3"/>
    </row>
    <row r="53" spans="1:12">
      <c r="A53" s="107">
        <v>2021</v>
      </c>
      <c r="B53" s="140">
        <f t="shared" si="0"/>
        <v>0.27979854504756574</v>
      </c>
      <c r="C53" s="352">
        <f t="shared" si="1"/>
        <v>8563.5142697257961</v>
      </c>
      <c r="D53" s="570">
        <v>1</v>
      </c>
      <c r="E53" s="490">
        <v>1</v>
      </c>
      <c r="F53" s="352">
        <f t="shared" si="4"/>
        <v>2699</v>
      </c>
      <c r="G53" s="570">
        <f t="shared" si="5"/>
        <v>0.31517434489969293</v>
      </c>
      <c r="K53" s="3"/>
      <c r="L53" s="3"/>
    </row>
    <row r="54" spans="1:12">
      <c r="A54" s="94" t="s">
        <v>132</v>
      </c>
      <c r="B54" s="385"/>
      <c r="C54" s="463">
        <f>SUM(C46:C53)</f>
        <v>166020.33098172341</v>
      </c>
      <c r="D54" s="3"/>
      <c r="E54" s="3"/>
      <c r="F54" s="463">
        <f>SUM(F46:F53)</f>
        <v>25225.07931891091</v>
      </c>
      <c r="G54" s="568">
        <f t="shared" si="5"/>
        <v>0.15193970021471556</v>
      </c>
      <c r="K54" s="3"/>
      <c r="L54" s="3"/>
    </row>
    <row r="56" spans="1:12">
      <c r="A56" s="17" t="s">
        <v>18</v>
      </c>
      <c r="B56" s="1" t="s">
        <v>1596</v>
      </c>
      <c r="C56" s="1"/>
      <c r="D56" s="1"/>
      <c r="E56" s="1"/>
      <c r="F56" s="1"/>
      <c r="G56" s="1"/>
      <c r="H56" s="1"/>
      <c r="I56" s="1"/>
      <c r="J56" s="1"/>
      <c r="K56" s="1"/>
      <c r="L56" s="1"/>
    </row>
    <row r="57" spans="1:12">
      <c r="A57" s="14"/>
      <c r="B57" s="14"/>
      <c r="C57" s="14"/>
      <c r="D57" s="14"/>
      <c r="E57" s="14"/>
      <c r="F57" s="14"/>
      <c r="G57" s="1"/>
      <c r="H57" s="1"/>
      <c r="I57" s="1"/>
      <c r="J57" s="1"/>
      <c r="K57" s="1"/>
      <c r="L57" s="1"/>
    </row>
    <row r="58" spans="1:12">
      <c r="A58" s="3"/>
      <c r="B58" s="3"/>
      <c r="C58" s="3"/>
      <c r="D58" s="3"/>
      <c r="E58" s="3"/>
      <c r="F58" s="3"/>
      <c r="G58" s="3"/>
      <c r="H58" s="3"/>
      <c r="I58" s="3"/>
      <c r="J58" s="3"/>
      <c r="K58" s="3"/>
      <c r="L58" s="3"/>
    </row>
    <row r="59" spans="1:12">
      <c r="A59" s="3" t="s">
        <v>20</v>
      </c>
      <c r="B59" s="3"/>
      <c r="C59" s="3"/>
      <c r="D59" s="3"/>
      <c r="E59" s="3"/>
      <c r="F59" s="3"/>
      <c r="G59" s="3"/>
      <c r="H59" s="3"/>
      <c r="I59" s="3"/>
      <c r="J59" s="3"/>
      <c r="K59" s="3"/>
      <c r="L59" s="3"/>
    </row>
    <row r="60" spans="1:12">
      <c r="A60" s="3"/>
      <c r="B60" s="3"/>
      <c r="C60" s="3"/>
      <c r="D60" s="3"/>
      <c r="E60" s="3"/>
      <c r="F60" s="3"/>
      <c r="G60" s="3"/>
      <c r="H60" s="3"/>
      <c r="I60" s="3"/>
      <c r="J60" s="3"/>
      <c r="K60" s="3"/>
      <c r="L60" s="3"/>
    </row>
    <row r="61" spans="1:12">
      <c r="A61" s="3" t="s">
        <v>1597</v>
      </c>
      <c r="B61" s="3"/>
      <c r="C61" s="3"/>
      <c r="D61" s="3"/>
      <c r="E61" s="3"/>
      <c r="F61" s="3"/>
      <c r="G61" s="3"/>
      <c r="H61" s="3"/>
      <c r="I61" s="3"/>
      <c r="J61" s="3"/>
      <c r="K61" s="3"/>
      <c r="L61" s="3"/>
    </row>
    <row r="62" spans="1:12">
      <c r="A62" s="2" t="s">
        <v>1598</v>
      </c>
    </row>
    <row r="64" spans="1:12">
      <c r="A64" s="17" t="s">
        <v>25</v>
      </c>
      <c r="B64" s="1" t="s">
        <v>1599</v>
      </c>
      <c r="C64" s="1"/>
      <c r="D64" s="1"/>
      <c r="E64" s="1"/>
      <c r="F64" s="1"/>
      <c r="G64" s="1"/>
      <c r="H64" s="1"/>
      <c r="I64" s="1"/>
      <c r="J64" s="1"/>
      <c r="K64" s="1"/>
      <c r="L64" s="1"/>
    </row>
    <row r="65" spans="1:13">
      <c r="A65" s="14"/>
      <c r="B65" s="14"/>
      <c r="C65" s="14"/>
      <c r="D65" s="14"/>
      <c r="E65" s="14"/>
      <c r="F65" s="14"/>
      <c r="G65" s="1"/>
      <c r="H65" s="1"/>
      <c r="I65" s="1"/>
      <c r="J65" s="1"/>
      <c r="K65" s="1"/>
      <c r="L65" s="1"/>
    </row>
    <row r="66" spans="1:13">
      <c r="A66" s="3"/>
      <c r="B66" s="3"/>
      <c r="C66" s="3"/>
      <c r="D66" s="3"/>
      <c r="E66" s="3"/>
      <c r="F66" s="3"/>
      <c r="G66" s="3"/>
      <c r="H66" s="3"/>
      <c r="I66" s="3"/>
      <c r="J66" s="3"/>
      <c r="K66" s="3"/>
      <c r="L66" s="3"/>
    </row>
    <row r="67" spans="1:13">
      <c r="A67" s="3" t="s">
        <v>20</v>
      </c>
      <c r="B67" s="3"/>
      <c r="C67" s="3"/>
      <c r="D67" s="3"/>
      <c r="E67" s="3"/>
      <c r="F67" s="3"/>
      <c r="G67" s="3"/>
      <c r="H67" s="3"/>
      <c r="I67" s="3"/>
      <c r="J67" s="3"/>
      <c r="K67" s="3"/>
      <c r="L67" s="3"/>
    </row>
    <row r="68" spans="1:13">
      <c r="A68" s="3"/>
      <c r="B68" s="560"/>
      <c r="C68" s="560"/>
      <c r="D68" s="560"/>
      <c r="E68" s="560"/>
      <c r="F68" s="3"/>
      <c r="G68" s="3"/>
      <c r="H68" s="3"/>
      <c r="I68" s="3"/>
      <c r="J68" s="3"/>
      <c r="K68" s="3"/>
      <c r="L68" s="3"/>
    </row>
    <row r="69" spans="1:13" ht="31.2">
      <c r="A69" s="93" t="s">
        <v>49</v>
      </c>
      <c r="B69" s="93" t="s">
        <v>1600</v>
      </c>
      <c r="C69" s="93" t="s">
        <v>1601</v>
      </c>
      <c r="D69" s="93" t="s">
        <v>214</v>
      </c>
      <c r="E69" s="93" t="s">
        <v>1602</v>
      </c>
      <c r="F69" s="3"/>
      <c r="G69" s="3"/>
      <c r="H69" s="3"/>
      <c r="I69" s="3"/>
      <c r="J69" s="3"/>
      <c r="K69" s="3"/>
      <c r="L69" s="3"/>
    </row>
    <row r="70" spans="1:13">
      <c r="A70" s="94">
        <v>2014</v>
      </c>
      <c r="B70" s="463">
        <f t="shared" ref="B70:B77" si="6">($G$54*C21)/(D46*E46)</f>
        <v>3462.790536381528</v>
      </c>
      <c r="C70" s="385">
        <f t="shared" ref="C70:C77" si="7">1-B46</f>
        <v>0</v>
      </c>
      <c r="D70" s="463">
        <f>B70*C70</f>
        <v>0</v>
      </c>
      <c r="E70" s="463">
        <f t="shared" ref="E70:E77" si="8">D21+D70</f>
        <v>3617</v>
      </c>
      <c r="F70" s="3"/>
      <c r="G70" s="3"/>
      <c r="H70" s="3"/>
      <c r="I70" s="3"/>
      <c r="J70" s="3"/>
      <c r="K70" s="3"/>
      <c r="L70" s="3"/>
    </row>
    <row r="71" spans="1:13">
      <c r="A71" s="94">
        <v>2015</v>
      </c>
      <c r="B71" s="463">
        <f t="shared" si="6"/>
        <v>3712.6530204956434</v>
      </c>
      <c r="C71" s="385">
        <f t="shared" si="7"/>
        <v>1.0880316518298572E-2</v>
      </c>
      <c r="D71" s="463">
        <f t="shared" ref="D71:D77" si="9">B71*C71</f>
        <v>40.394839985609835</v>
      </c>
      <c r="E71" s="463">
        <f t="shared" si="8"/>
        <v>4199.3948399856099</v>
      </c>
      <c r="F71" s="3"/>
      <c r="G71" s="3"/>
      <c r="H71" s="3"/>
      <c r="I71" s="3"/>
      <c r="J71" s="3"/>
      <c r="K71" s="3"/>
      <c r="L71" s="3"/>
    </row>
    <row r="72" spans="1:13">
      <c r="A72" s="94">
        <v>2016</v>
      </c>
      <c r="B72" s="463">
        <f t="shared" si="6"/>
        <v>3930.4454801368074</v>
      </c>
      <c r="C72" s="385">
        <f t="shared" si="7"/>
        <v>5.0332383665716907E-2</v>
      </c>
      <c r="D72" s="463">
        <f t="shared" si="9"/>
        <v>197.82868988342869</v>
      </c>
      <c r="E72" s="463">
        <f t="shared" si="8"/>
        <v>2453.8286898834285</v>
      </c>
      <c r="F72" s="3"/>
      <c r="G72" s="3"/>
      <c r="H72" s="3"/>
      <c r="I72" s="3"/>
      <c r="J72" s="3"/>
      <c r="K72" s="3"/>
      <c r="L72" s="3"/>
    </row>
    <row r="73" spans="1:13">
      <c r="A73" s="94">
        <v>2017</v>
      </c>
      <c r="B73" s="463">
        <f t="shared" si="6"/>
        <v>4131.5141649602247</v>
      </c>
      <c r="C73" s="385">
        <f t="shared" si="7"/>
        <v>0.10233393177737893</v>
      </c>
      <c r="D73" s="463">
        <f t="shared" si="9"/>
        <v>422.79408869431433</v>
      </c>
      <c r="E73" s="463">
        <f t="shared" si="8"/>
        <v>2832.7940886943143</v>
      </c>
    </row>
    <row r="74" spans="1:13">
      <c r="A74" s="94">
        <v>2018</v>
      </c>
      <c r="B74" s="463">
        <f t="shared" si="6"/>
        <v>4404.1287314750598</v>
      </c>
      <c r="C74" s="385">
        <f t="shared" si="7"/>
        <v>0.18962722852512159</v>
      </c>
      <c r="D74" s="463">
        <f t="shared" si="9"/>
        <v>835.14272541747505</v>
      </c>
      <c r="E74" s="463">
        <f t="shared" si="8"/>
        <v>2886.142725417475</v>
      </c>
    </row>
    <row r="75" spans="1:13">
      <c r="A75" s="94">
        <v>2019</v>
      </c>
      <c r="B75" s="463">
        <f t="shared" si="6"/>
        <v>4436.6046059437203</v>
      </c>
      <c r="C75" s="385">
        <f t="shared" si="7"/>
        <v>0.2912827781715096</v>
      </c>
      <c r="D75" s="463">
        <f t="shared" si="9"/>
        <v>1292.3065152678025</v>
      </c>
      <c r="E75" s="463">
        <f t="shared" si="8"/>
        <v>3964.3065152678028</v>
      </c>
      <c r="M75" s="3"/>
    </row>
    <row r="76" spans="1:13">
      <c r="A76" s="94">
        <v>2020</v>
      </c>
      <c r="B76" s="463">
        <f t="shared" si="6"/>
        <v>4431.8217907220824</v>
      </c>
      <c r="C76" s="385">
        <f t="shared" si="7"/>
        <v>0.47970863683662845</v>
      </c>
      <c r="D76" s="463">
        <f t="shared" si="9"/>
        <v>2125.9831899301557</v>
      </c>
      <c r="E76" s="463">
        <f t="shared" si="8"/>
        <v>7025.9831899301553</v>
      </c>
      <c r="M76" s="3"/>
    </row>
    <row r="77" spans="1:13">
      <c r="A77" s="107">
        <v>2021</v>
      </c>
      <c r="B77" s="352">
        <f t="shared" si="6"/>
        <v>4650.2664647715847</v>
      </c>
      <c r="C77" s="140">
        <f t="shared" si="7"/>
        <v>0.72020145495243426</v>
      </c>
      <c r="D77" s="352">
        <f t="shared" si="9"/>
        <v>3349.1286738450081</v>
      </c>
      <c r="E77" s="352">
        <f t="shared" si="8"/>
        <v>6048.1286738450081</v>
      </c>
    </row>
    <row r="78" spans="1:13">
      <c r="A78" s="94" t="s">
        <v>132</v>
      </c>
      <c r="B78" s="463">
        <f>SUM(B70:B77)</f>
        <v>33160.22479488665</v>
      </c>
      <c r="D78" s="463">
        <f>SUM(D70:D77)</f>
        <v>8263.5787230237947</v>
      </c>
      <c r="E78" s="463">
        <f>SUM(E70:E77)</f>
        <v>33027.578723023791</v>
      </c>
    </row>
    <row r="81" spans="1:12">
      <c r="A81" s="17" t="s">
        <v>147</v>
      </c>
      <c r="B81" s="1" t="s">
        <v>1603</v>
      </c>
      <c r="C81" s="1"/>
      <c r="D81" s="1"/>
      <c r="E81" s="1"/>
      <c r="F81" s="1"/>
      <c r="G81" s="1"/>
      <c r="H81" s="1"/>
      <c r="I81" s="1"/>
      <c r="J81" s="1"/>
      <c r="K81" s="1"/>
      <c r="L81" s="1"/>
    </row>
    <row r="82" spans="1:12">
      <c r="A82" s="14"/>
      <c r="B82" s="14"/>
      <c r="C82" s="14"/>
      <c r="D82" s="14"/>
      <c r="E82" s="14"/>
      <c r="F82" s="14"/>
      <c r="G82" s="1"/>
      <c r="H82" s="1"/>
      <c r="I82" s="1"/>
      <c r="J82" s="1"/>
      <c r="K82" s="1"/>
      <c r="L82" s="1"/>
    </row>
    <row r="83" spans="1:12">
      <c r="A83" s="3"/>
      <c r="B83" s="3"/>
      <c r="C83" s="3"/>
      <c r="D83" s="3"/>
      <c r="E83" s="3"/>
      <c r="F83" s="3"/>
      <c r="G83" s="3"/>
      <c r="H83" s="3"/>
      <c r="I83" s="3"/>
      <c r="J83" s="3"/>
      <c r="K83" s="3"/>
      <c r="L83" s="3"/>
    </row>
    <row r="84" spans="1:12">
      <c r="A84" s="3" t="s">
        <v>20</v>
      </c>
      <c r="B84" s="3"/>
      <c r="C84" s="3"/>
      <c r="D84" s="3"/>
      <c r="E84" s="3"/>
      <c r="F84" s="3"/>
      <c r="G84" s="3"/>
      <c r="H84" s="3"/>
      <c r="I84" s="3"/>
      <c r="J84" s="3"/>
      <c r="K84" s="3"/>
      <c r="L84" s="3"/>
    </row>
    <row r="85" spans="1:12">
      <c r="A85" s="3"/>
      <c r="B85" s="3"/>
      <c r="C85" s="3"/>
      <c r="D85" s="3"/>
      <c r="E85" s="3"/>
      <c r="F85" s="3"/>
      <c r="G85" s="3"/>
      <c r="H85" s="3"/>
      <c r="I85" s="3"/>
      <c r="J85" s="3"/>
      <c r="K85" s="3"/>
      <c r="L85" s="3"/>
    </row>
    <row r="86" spans="1:12" ht="46.8">
      <c r="A86" s="93" t="s">
        <v>49</v>
      </c>
      <c r="B86" s="93" t="s">
        <v>1604</v>
      </c>
      <c r="C86" s="93" t="s">
        <v>803</v>
      </c>
      <c r="D86" s="93" t="s">
        <v>1605</v>
      </c>
      <c r="E86" s="93" t="s">
        <v>1606</v>
      </c>
      <c r="F86" s="3"/>
      <c r="G86" s="3"/>
      <c r="H86" s="3"/>
      <c r="I86" s="3"/>
      <c r="J86" s="3"/>
      <c r="K86" s="3"/>
      <c r="L86" s="3"/>
    </row>
    <row r="87" spans="1:12">
      <c r="A87" s="94">
        <v>2014</v>
      </c>
      <c r="B87" s="463">
        <f t="shared" ref="B87:B94" si="10">D21</f>
        <v>3617</v>
      </c>
      <c r="C87" s="463">
        <f t="shared" ref="C87:C94" si="11">B70-D70</f>
        <v>3462.790536381528</v>
      </c>
      <c r="D87" s="571">
        <f>B87-C87</f>
        <v>154.209463618472</v>
      </c>
      <c r="E87" s="351">
        <f>D87/B87</f>
        <v>4.2634631910000553E-2</v>
      </c>
      <c r="F87" s="3"/>
      <c r="G87" s="3"/>
      <c r="H87" s="3"/>
      <c r="I87" s="3"/>
      <c r="J87" s="3"/>
      <c r="K87" s="3"/>
      <c r="L87" s="3"/>
    </row>
    <row r="88" spans="1:12">
      <c r="A88" s="94">
        <v>2015</v>
      </c>
      <c r="B88" s="463">
        <f t="shared" si="10"/>
        <v>4159</v>
      </c>
      <c r="C88" s="463">
        <f t="shared" si="11"/>
        <v>3672.2581805100335</v>
      </c>
      <c r="D88" s="571">
        <f t="shared" ref="D88:D95" si="12">B88-C88</f>
        <v>486.74181948996647</v>
      </c>
      <c r="E88" s="351">
        <f t="shared" ref="E88:E95" si="13">D88/B88</f>
        <v>0.1170333780932836</v>
      </c>
      <c r="F88" s="3"/>
      <c r="G88" s="3"/>
      <c r="H88" s="3"/>
      <c r="I88" s="3"/>
      <c r="J88" s="3"/>
      <c r="K88" s="3"/>
      <c r="L88" s="3"/>
    </row>
    <row r="89" spans="1:12">
      <c r="A89" s="94">
        <v>2016</v>
      </c>
      <c r="B89" s="463">
        <f t="shared" si="10"/>
        <v>2256</v>
      </c>
      <c r="C89" s="463">
        <f t="shared" si="11"/>
        <v>3732.6167902533789</v>
      </c>
      <c r="D89" s="571">
        <f t="shared" si="12"/>
        <v>-1476.6167902533789</v>
      </c>
      <c r="E89" s="351">
        <f t="shared" si="13"/>
        <v>-0.6545287190839445</v>
      </c>
      <c r="F89" s="3"/>
      <c r="G89" s="3"/>
      <c r="H89" s="3"/>
      <c r="I89" s="3"/>
      <c r="J89" s="3"/>
      <c r="K89" s="3"/>
      <c r="L89" s="3"/>
    </row>
    <row r="90" spans="1:12">
      <c r="A90" s="94">
        <v>2017</v>
      </c>
      <c r="B90" s="463">
        <f t="shared" si="10"/>
        <v>2410</v>
      </c>
      <c r="C90" s="463">
        <f t="shared" si="11"/>
        <v>3708.7200762659104</v>
      </c>
      <c r="D90" s="571">
        <f t="shared" si="12"/>
        <v>-1298.7200762659104</v>
      </c>
      <c r="E90" s="351">
        <f t="shared" si="13"/>
        <v>-0.53888799845058521</v>
      </c>
      <c r="F90" s="3"/>
      <c r="G90" s="3"/>
      <c r="H90" s="3"/>
      <c r="I90" s="3"/>
      <c r="J90" s="3"/>
      <c r="K90" s="3"/>
      <c r="L90" s="3"/>
    </row>
    <row r="91" spans="1:12">
      <c r="A91" s="94">
        <v>2018</v>
      </c>
      <c r="B91" s="463">
        <f t="shared" si="10"/>
        <v>2051</v>
      </c>
      <c r="C91" s="463">
        <f t="shared" si="11"/>
        <v>3568.9860060575847</v>
      </c>
      <c r="D91" s="571">
        <f t="shared" si="12"/>
        <v>-1517.9860060575847</v>
      </c>
      <c r="E91" s="351">
        <f t="shared" si="13"/>
        <v>-0.74011994444543383</v>
      </c>
      <c r="F91" s="3"/>
      <c r="G91" s="3"/>
      <c r="H91" s="3"/>
      <c r="I91" s="3"/>
      <c r="J91" s="3"/>
      <c r="K91" s="3"/>
      <c r="L91" s="3"/>
    </row>
    <row r="92" spans="1:12">
      <c r="A92" s="94">
        <v>2019</v>
      </c>
      <c r="B92" s="463">
        <f t="shared" si="10"/>
        <v>2672</v>
      </c>
      <c r="C92" s="463">
        <f t="shared" si="11"/>
        <v>3144.2980906759176</v>
      </c>
      <c r="D92" s="571">
        <f t="shared" si="12"/>
        <v>-472.29809067591759</v>
      </c>
      <c r="E92" s="351">
        <f t="shared" si="13"/>
        <v>-0.17675826746853204</v>
      </c>
    </row>
    <row r="93" spans="1:12">
      <c r="A93" s="94">
        <v>2020</v>
      </c>
      <c r="B93" s="463">
        <f t="shared" si="10"/>
        <v>4900</v>
      </c>
      <c r="C93" s="463">
        <f t="shared" si="11"/>
        <v>2305.8386007919266</v>
      </c>
      <c r="D93" s="571">
        <f t="shared" si="12"/>
        <v>2594.1613992080734</v>
      </c>
      <c r="E93" s="351">
        <f t="shared" si="13"/>
        <v>0.52942069371593337</v>
      </c>
    </row>
    <row r="94" spans="1:12">
      <c r="A94" s="107">
        <v>2021</v>
      </c>
      <c r="B94" s="352">
        <f t="shared" si="10"/>
        <v>2699</v>
      </c>
      <c r="C94" s="352">
        <f t="shared" si="11"/>
        <v>1301.1377909265766</v>
      </c>
      <c r="D94" s="572">
        <f t="shared" si="12"/>
        <v>1397.8622090734234</v>
      </c>
      <c r="E94" s="353">
        <f t="shared" si="13"/>
        <v>0.51791856579230211</v>
      </c>
    </row>
    <row r="95" spans="1:12">
      <c r="A95" s="94" t="s">
        <v>132</v>
      </c>
      <c r="B95" s="463">
        <f>SUM(B87:B94)</f>
        <v>24764</v>
      </c>
      <c r="C95" s="463">
        <f>SUM(C87:C94)</f>
        <v>24896.646071862855</v>
      </c>
      <c r="D95" s="571">
        <f t="shared" si="12"/>
        <v>-132.64607186285502</v>
      </c>
      <c r="E95" s="351">
        <f t="shared" si="13"/>
        <v>-5.3564073599925302E-3</v>
      </c>
    </row>
    <row r="97" spans="1:12">
      <c r="A97" s="17" t="s">
        <v>545</v>
      </c>
      <c r="B97" s="1" t="s">
        <v>1607</v>
      </c>
      <c r="C97" s="1"/>
      <c r="D97" s="1"/>
      <c r="E97" s="1"/>
      <c r="F97" s="1"/>
      <c r="G97" s="1"/>
      <c r="H97" s="1"/>
      <c r="I97" s="1"/>
      <c r="J97" s="1"/>
      <c r="K97" s="1"/>
      <c r="L97" s="1"/>
    </row>
    <row r="98" spans="1:12">
      <c r="A98" s="14"/>
      <c r="B98" s="14"/>
      <c r="C98" s="14"/>
      <c r="D98" s="14"/>
      <c r="E98" s="14"/>
      <c r="F98" s="14"/>
      <c r="G98" s="1"/>
      <c r="H98" s="1"/>
      <c r="I98" s="1"/>
      <c r="J98" s="1"/>
      <c r="K98" s="1"/>
      <c r="L98" s="1"/>
    </row>
    <row r="99" spans="1:12">
      <c r="A99" s="3"/>
      <c r="B99" s="3"/>
      <c r="C99" s="3"/>
      <c r="D99" s="3"/>
      <c r="E99" s="3"/>
      <c r="F99" s="3"/>
      <c r="G99" s="3"/>
      <c r="H99" s="3"/>
      <c r="I99" s="3"/>
      <c r="J99" s="3"/>
      <c r="K99" s="3"/>
      <c r="L99" s="3"/>
    </row>
    <row r="100" spans="1:12">
      <c r="A100" s="3" t="s">
        <v>20</v>
      </c>
      <c r="B100" s="3"/>
      <c r="C100" s="3"/>
      <c r="D100" s="3"/>
      <c r="E100" s="3"/>
      <c r="F100" s="3"/>
      <c r="G100" s="3"/>
      <c r="H100" s="3"/>
      <c r="I100" s="3"/>
      <c r="J100" s="3"/>
      <c r="K100" s="3"/>
      <c r="L100" s="3"/>
    </row>
    <row r="101" spans="1:12">
      <c r="A101" s="3"/>
      <c r="B101" s="3"/>
      <c r="C101" s="3"/>
      <c r="D101" s="3"/>
      <c r="E101" s="3"/>
      <c r="F101" s="3"/>
      <c r="G101" s="3"/>
      <c r="H101" s="3"/>
      <c r="I101" s="3"/>
      <c r="J101" s="3"/>
      <c r="K101" s="3"/>
      <c r="L101" s="3"/>
    </row>
    <row r="102" spans="1:12">
      <c r="A102" s="3" t="s">
        <v>1608</v>
      </c>
      <c r="B102" s="3"/>
      <c r="C102" s="3"/>
      <c r="D102" s="3"/>
      <c r="E102" s="3"/>
      <c r="F102" s="3"/>
      <c r="G102" s="3"/>
      <c r="H102" s="3"/>
      <c r="I102" s="3"/>
      <c r="J102" s="3"/>
      <c r="K102" s="3"/>
      <c r="L102" s="3"/>
    </row>
    <row r="103" spans="1:12">
      <c r="A103" s="2" t="s">
        <v>1609</v>
      </c>
    </row>
    <row r="105" spans="1:12">
      <c r="A105" s="17" t="s">
        <v>798</v>
      </c>
      <c r="B105" s="1" t="s">
        <v>1610</v>
      </c>
      <c r="C105" s="1"/>
      <c r="D105" s="1"/>
      <c r="E105" s="1"/>
      <c r="F105" s="1"/>
      <c r="G105" s="1"/>
      <c r="H105" s="1"/>
      <c r="I105" s="1"/>
      <c r="J105" s="1"/>
      <c r="K105" s="1"/>
      <c r="L105" s="1"/>
    </row>
    <row r="106" spans="1:12">
      <c r="A106" s="14"/>
      <c r="B106" s="14"/>
      <c r="C106" s="14"/>
      <c r="D106" s="14"/>
      <c r="E106" s="14"/>
      <c r="F106" s="14"/>
      <c r="G106" s="1"/>
      <c r="H106" s="1"/>
      <c r="I106" s="1"/>
      <c r="J106" s="1"/>
      <c r="K106" s="1"/>
      <c r="L106" s="1"/>
    </row>
    <row r="107" spans="1:12">
      <c r="A107" s="3"/>
      <c r="B107" s="3"/>
      <c r="C107" s="3"/>
      <c r="D107" s="3"/>
      <c r="E107" s="3"/>
      <c r="F107" s="3"/>
      <c r="G107" s="3"/>
      <c r="H107" s="3"/>
      <c r="I107" s="3"/>
      <c r="J107" s="3"/>
      <c r="K107" s="3"/>
      <c r="L107" s="3"/>
    </row>
    <row r="108" spans="1:12">
      <c r="A108" s="3" t="s">
        <v>20</v>
      </c>
      <c r="B108" s="3"/>
      <c r="C108" s="3"/>
      <c r="D108" s="3"/>
      <c r="E108" s="3"/>
      <c r="F108" s="3"/>
      <c r="G108" s="3"/>
      <c r="H108" s="3"/>
      <c r="I108" s="3"/>
      <c r="J108" s="3"/>
      <c r="K108" s="3"/>
      <c r="L108" s="3"/>
    </row>
    <row r="109" spans="1:12">
      <c r="A109" s="3"/>
      <c r="B109" s="3"/>
      <c r="C109" s="3"/>
      <c r="D109" s="3"/>
      <c r="E109" s="3"/>
      <c r="F109" s="3"/>
      <c r="G109" s="3"/>
      <c r="H109" s="3"/>
      <c r="I109" s="3"/>
      <c r="J109" s="3"/>
      <c r="K109" s="3"/>
      <c r="L109" s="3"/>
    </row>
    <row r="110" spans="1:12">
      <c r="A110" s="546" t="s">
        <v>1611</v>
      </c>
      <c r="B110" s="3"/>
      <c r="C110" s="3"/>
      <c r="D110" s="3"/>
      <c r="E110" s="3"/>
      <c r="F110" s="3"/>
      <c r="G110" s="3"/>
      <c r="H110" s="3"/>
      <c r="I110" s="3"/>
      <c r="J110" s="3"/>
      <c r="K110" s="3"/>
      <c r="L110" s="3"/>
    </row>
    <row r="111" spans="1:12">
      <c r="A111" s="417" t="s">
        <v>1612</v>
      </c>
    </row>
    <row r="112" spans="1:12">
      <c r="A112" s="417" t="s">
        <v>1613</v>
      </c>
    </row>
  </sheetData>
  <mergeCells count="2">
    <mergeCell ref="B36:K37"/>
    <mergeCell ref="D44:E44"/>
  </mergeCells>
  <hyperlinks>
    <hyperlink ref="O1" location="TOC!A1" display="Table of Contents" xr:uid="{974274A3-DFBC-4A02-B45F-F573361F2F29}"/>
  </hyperlinks>
  <pageMargins left="0.7" right="0.7" top="0.75" bottom="0.75" header="0.3" footer="0.3"/>
  <pageSetup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8D5FC-6015-4B2A-A84E-BB3A0A5897EB}">
  <dimension ref="A1:R129"/>
  <sheetViews>
    <sheetView zoomScaleNormal="100" workbookViewId="0"/>
  </sheetViews>
  <sheetFormatPr defaultColWidth="8.88671875" defaultRowHeight="15.6"/>
  <cols>
    <col min="1" max="1" width="8.88671875" style="2" customWidth="1"/>
    <col min="2" max="2" width="10.6640625" style="2" customWidth="1"/>
    <col min="3" max="9" width="14.6640625" style="2" customWidth="1"/>
    <col min="10" max="16384" width="8.88671875" style="2"/>
  </cols>
  <sheetData>
    <row r="1" spans="1:15" ht="17.399999999999999">
      <c r="A1" s="13" t="s">
        <v>1944</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260" t="s">
        <v>1614</v>
      </c>
      <c r="B3" s="46"/>
      <c r="C3" s="46"/>
      <c r="D3" s="46"/>
      <c r="E3" s="46"/>
      <c r="F3" s="46"/>
      <c r="G3" s="46"/>
      <c r="H3" s="46"/>
      <c r="I3" s="1"/>
      <c r="J3" s="1"/>
      <c r="K3" s="1"/>
      <c r="L3" s="14"/>
    </row>
    <row r="4" spans="1:15">
      <c r="A4" s="205"/>
      <c r="B4" s="46"/>
      <c r="C4" s="46"/>
      <c r="D4" s="46"/>
      <c r="E4" s="46"/>
      <c r="F4" s="46"/>
      <c r="G4" s="46"/>
      <c r="H4" s="46"/>
      <c r="I4" s="1"/>
      <c r="J4" s="1"/>
      <c r="K4" s="1"/>
      <c r="L4" s="1"/>
    </row>
    <row r="5" spans="1:15">
      <c r="A5" s="1"/>
      <c r="B5" s="573"/>
      <c r="C5" s="928" t="s">
        <v>1615</v>
      </c>
      <c r="D5" s="929"/>
      <c r="E5" s="929"/>
      <c r="F5" s="929"/>
      <c r="G5" s="929"/>
      <c r="H5" s="929"/>
      <c r="I5" s="930"/>
      <c r="J5" s="1"/>
      <c r="K5" s="1"/>
      <c r="L5" s="1"/>
    </row>
    <row r="6" spans="1:15">
      <c r="A6" s="1"/>
      <c r="B6" s="931" t="s">
        <v>786</v>
      </c>
      <c r="C6" s="836" t="s">
        <v>1616</v>
      </c>
      <c r="D6" s="837"/>
      <c r="E6" s="837"/>
      <c r="F6" s="837"/>
      <c r="G6" s="837"/>
      <c r="H6" s="837"/>
      <c r="I6" s="854"/>
      <c r="J6" s="1"/>
      <c r="K6" s="1"/>
      <c r="L6" s="1"/>
    </row>
    <row r="7" spans="1:15">
      <c r="A7" s="1"/>
      <c r="B7" s="912"/>
      <c r="C7" s="194">
        <v>2015</v>
      </c>
      <c r="D7" s="166">
        <v>2016</v>
      </c>
      <c r="E7" s="166">
        <v>2017</v>
      </c>
      <c r="F7" s="166">
        <v>2018</v>
      </c>
      <c r="G7" s="166">
        <v>2019</v>
      </c>
      <c r="H7" s="166">
        <v>2020</v>
      </c>
      <c r="I7" s="166">
        <v>2021</v>
      </c>
      <c r="J7" s="1"/>
      <c r="K7" s="1"/>
      <c r="L7" s="1"/>
    </row>
    <row r="8" spans="1:15">
      <c r="A8" s="1"/>
      <c r="B8" s="197">
        <v>2015</v>
      </c>
      <c r="C8" s="32">
        <v>330</v>
      </c>
      <c r="D8" s="92">
        <v>1380</v>
      </c>
      <c r="E8" s="92">
        <v>1315</v>
      </c>
      <c r="F8" s="32">
        <v>577</v>
      </c>
      <c r="G8" s="32">
        <v>118</v>
      </c>
      <c r="H8" s="32">
        <v>21</v>
      </c>
      <c r="I8" s="32">
        <v>5</v>
      </c>
      <c r="J8" s="1"/>
      <c r="K8" s="1"/>
      <c r="L8" s="1"/>
    </row>
    <row r="9" spans="1:15">
      <c r="A9" s="1"/>
      <c r="B9" s="32">
        <v>2016</v>
      </c>
      <c r="C9" s="32"/>
      <c r="D9" s="32">
        <v>351</v>
      </c>
      <c r="E9" s="92">
        <v>1855</v>
      </c>
      <c r="F9" s="92">
        <v>1479</v>
      </c>
      <c r="G9" s="32">
        <v>428</v>
      </c>
      <c r="H9" s="32">
        <v>91</v>
      </c>
      <c r="I9" s="32">
        <v>8</v>
      </c>
      <c r="J9" s="1"/>
      <c r="K9" s="1"/>
      <c r="L9" s="1"/>
    </row>
    <row r="10" spans="1:15">
      <c r="A10" s="1"/>
      <c r="B10" s="32">
        <v>2017</v>
      </c>
      <c r="C10" s="32"/>
      <c r="D10" s="32"/>
      <c r="E10" s="32">
        <v>436</v>
      </c>
      <c r="F10" s="92">
        <v>1489</v>
      </c>
      <c r="G10" s="92">
        <v>1252</v>
      </c>
      <c r="H10" s="32">
        <v>933</v>
      </c>
      <c r="I10" s="32">
        <v>168</v>
      </c>
      <c r="J10" s="1"/>
      <c r="K10" s="1"/>
      <c r="L10" s="1"/>
    </row>
    <row r="11" spans="1:15">
      <c r="A11" s="1"/>
      <c r="B11" s="32">
        <v>2018</v>
      </c>
      <c r="C11" s="32"/>
      <c r="D11" s="32"/>
      <c r="E11" s="32"/>
      <c r="F11" s="32">
        <v>423</v>
      </c>
      <c r="G11" s="92">
        <v>1592</v>
      </c>
      <c r="H11" s="92">
        <v>1182</v>
      </c>
      <c r="I11" s="32">
        <v>670</v>
      </c>
      <c r="J11" s="1"/>
      <c r="K11" s="1"/>
      <c r="L11" s="1"/>
    </row>
    <row r="12" spans="1:15">
      <c r="A12" s="1"/>
      <c r="B12" s="32">
        <v>2019</v>
      </c>
      <c r="C12" s="32"/>
      <c r="D12" s="32"/>
      <c r="E12" s="32"/>
      <c r="F12" s="32"/>
      <c r="G12" s="32">
        <v>449</v>
      </c>
      <c r="H12" s="92">
        <v>1675</v>
      </c>
      <c r="I12" s="92">
        <v>1540</v>
      </c>
      <c r="J12" s="1"/>
      <c r="K12" s="1"/>
      <c r="L12" s="1"/>
    </row>
    <row r="13" spans="1:15">
      <c r="A13" s="1"/>
      <c r="B13" s="32">
        <v>2020</v>
      </c>
      <c r="C13" s="32"/>
      <c r="D13" s="32"/>
      <c r="E13" s="32"/>
      <c r="F13" s="32"/>
      <c r="G13" s="32"/>
      <c r="H13" s="32">
        <v>354</v>
      </c>
      <c r="I13" s="92">
        <v>1709</v>
      </c>
      <c r="J13" s="1"/>
      <c r="K13" s="1"/>
      <c r="L13" s="1"/>
    </row>
    <row r="14" spans="1:15">
      <c r="A14" s="1"/>
      <c r="B14" s="32">
        <v>2021</v>
      </c>
      <c r="C14" s="32"/>
      <c r="D14" s="32"/>
      <c r="E14" s="32"/>
      <c r="F14" s="32"/>
      <c r="G14" s="32"/>
      <c r="H14" s="32"/>
      <c r="I14" s="32">
        <v>584</v>
      </c>
      <c r="J14" s="1"/>
      <c r="K14" s="1"/>
      <c r="L14" s="1"/>
    </row>
    <row r="15" spans="1:15">
      <c r="A15" s="1"/>
      <c r="B15" s="205"/>
      <c r="C15" s="524"/>
      <c r="D15" s="524"/>
      <c r="E15" s="524"/>
      <c r="F15" s="524"/>
      <c r="G15" s="524"/>
      <c r="H15" s="524"/>
      <c r="I15" s="524"/>
      <c r="J15" s="1"/>
      <c r="K15" s="1"/>
      <c r="L15" s="1"/>
    </row>
    <row r="16" spans="1:15">
      <c r="A16" s="1"/>
      <c r="B16" s="829" t="s">
        <v>1617</v>
      </c>
      <c r="C16" s="841" t="s">
        <v>1618</v>
      </c>
      <c r="D16" s="841"/>
      <c r="E16" s="841"/>
      <c r="F16" s="841"/>
      <c r="G16" s="841"/>
      <c r="H16" s="841"/>
      <c r="I16" s="841"/>
      <c r="J16" s="1"/>
      <c r="K16" s="1"/>
      <c r="L16" s="1"/>
    </row>
    <row r="17" spans="1:18">
      <c r="A17" s="1"/>
      <c r="B17" s="829"/>
      <c r="C17" s="27" t="s">
        <v>1619</v>
      </c>
      <c r="D17" s="27" t="s">
        <v>1620</v>
      </c>
      <c r="E17" s="27" t="s">
        <v>1621</v>
      </c>
      <c r="F17" s="27" t="s">
        <v>1622</v>
      </c>
      <c r="G17" s="27" t="s">
        <v>140</v>
      </c>
      <c r="H17" s="27" t="s">
        <v>1623</v>
      </c>
      <c r="I17" s="27" t="s">
        <v>1624</v>
      </c>
      <c r="J17" s="1"/>
      <c r="K17" s="1"/>
      <c r="L17" s="1"/>
    </row>
    <row r="18" spans="1:18">
      <c r="A18" s="1"/>
      <c r="B18" s="32">
        <v>2015</v>
      </c>
      <c r="C18" s="92">
        <v>1169</v>
      </c>
      <c r="D18" s="92">
        <v>1368</v>
      </c>
      <c r="E18" s="32">
        <v>362</v>
      </c>
      <c r="F18" s="32">
        <v>116</v>
      </c>
      <c r="G18" s="32">
        <v>21</v>
      </c>
      <c r="H18" s="32">
        <v>5</v>
      </c>
      <c r="I18" s="32">
        <v>0</v>
      </c>
      <c r="J18" s="1"/>
      <c r="K18" s="1"/>
      <c r="L18" s="1"/>
    </row>
    <row r="19" spans="1:18">
      <c r="A19" s="1"/>
      <c r="B19" s="32">
        <v>2016</v>
      </c>
      <c r="C19" s="32"/>
      <c r="D19" s="92">
        <v>1321</v>
      </c>
      <c r="E19" s="92">
        <v>1348</v>
      </c>
      <c r="F19" s="32">
        <v>222</v>
      </c>
      <c r="G19" s="32">
        <v>94</v>
      </c>
      <c r="H19" s="32">
        <v>23</v>
      </c>
      <c r="I19" s="32">
        <v>16</v>
      </c>
      <c r="J19" s="1"/>
      <c r="K19" s="1"/>
      <c r="L19" s="1"/>
    </row>
    <row r="20" spans="1:18">
      <c r="A20" s="1"/>
      <c r="B20" s="32">
        <v>2017</v>
      </c>
      <c r="C20" s="32"/>
      <c r="D20" s="32"/>
      <c r="E20" s="92">
        <v>1456</v>
      </c>
      <c r="F20" s="92">
        <v>1378</v>
      </c>
      <c r="G20" s="32">
        <v>689</v>
      </c>
      <c r="H20" s="32">
        <v>177</v>
      </c>
      <c r="I20" s="32">
        <v>18</v>
      </c>
      <c r="J20" s="1"/>
      <c r="K20" s="1"/>
      <c r="L20" s="1"/>
    </row>
    <row r="21" spans="1:18">
      <c r="A21" s="1"/>
      <c r="B21" s="32">
        <v>2018</v>
      </c>
      <c r="C21" s="32"/>
      <c r="D21" s="32"/>
      <c r="E21" s="32"/>
      <c r="F21" s="92">
        <v>1404</v>
      </c>
      <c r="G21" s="92">
        <v>1349</v>
      </c>
      <c r="H21" s="32">
        <v>520</v>
      </c>
      <c r="I21" s="32">
        <v>203</v>
      </c>
      <c r="J21" s="1"/>
      <c r="K21" s="1"/>
      <c r="L21" s="1"/>
    </row>
    <row r="22" spans="1:18">
      <c r="A22" s="1"/>
      <c r="B22" s="32">
        <v>2019</v>
      </c>
      <c r="C22" s="32"/>
      <c r="D22" s="32"/>
      <c r="E22" s="32"/>
      <c r="F22" s="32"/>
      <c r="G22" s="92">
        <v>1247</v>
      </c>
      <c r="H22" s="92">
        <v>1701</v>
      </c>
      <c r="I22" s="32">
        <v>553</v>
      </c>
      <c r="J22" s="1"/>
      <c r="K22" s="1"/>
      <c r="L22" s="1"/>
    </row>
    <row r="23" spans="1:18">
      <c r="A23" s="1"/>
      <c r="B23" s="32">
        <v>2020</v>
      </c>
      <c r="C23" s="32"/>
      <c r="D23" s="32"/>
      <c r="E23" s="32"/>
      <c r="F23" s="32"/>
      <c r="G23" s="32"/>
      <c r="H23" s="92">
        <v>1543</v>
      </c>
      <c r="I23" s="92">
        <v>1711</v>
      </c>
      <c r="J23" s="1"/>
      <c r="K23" s="1"/>
      <c r="L23" s="1"/>
    </row>
    <row r="24" spans="1:18">
      <c r="A24" s="1"/>
      <c r="B24" s="32">
        <v>2021</v>
      </c>
      <c r="C24" s="32"/>
      <c r="D24" s="32"/>
      <c r="E24" s="32"/>
      <c r="F24" s="32"/>
      <c r="G24" s="32"/>
      <c r="H24" s="32"/>
      <c r="I24" s="92">
        <v>1350</v>
      </c>
      <c r="J24" s="1"/>
      <c r="K24" s="1"/>
      <c r="L24" s="1"/>
    </row>
    <row r="25" spans="1:18">
      <c r="A25" s="1"/>
      <c r="B25" s="1"/>
      <c r="C25" s="1"/>
      <c r="D25" s="1"/>
      <c r="E25" s="1"/>
      <c r="F25" s="1"/>
      <c r="G25" s="1"/>
      <c r="H25" s="1"/>
      <c r="I25" s="1"/>
      <c r="J25" s="1"/>
      <c r="K25" s="1"/>
      <c r="L25" s="1"/>
    </row>
    <row r="26" spans="1:18">
      <c r="A26" s="3"/>
      <c r="B26" s="3"/>
      <c r="C26" s="3"/>
      <c r="D26" s="3"/>
      <c r="E26" s="3"/>
      <c r="F26" s="3"/>
      <c r="G26" s="3"/>
      <c r="H26" s="3"/>
      <c r="I26" s="3"/>
      <c r="J26" s="3"/>
      <c r="K26" s="3"/>
      <c r="L26" s="3"/>
    </row>
    <row r="27" spans="1:18">
      <c r="A27" s="17" t="s">
        <v>91</v>
      </c>
      <c r="B27" s="1" t="s">
        <v>1625</v>
      </c>
      <c r="C27" s="1"/>
      <c r="D27" s="1"/>
      <c r="E27" s="1"/>
      <c r="F27" s="1"/>
      <c r="G27" s="1"/>
      <c r="H27" s="1"/>
      <c r="I27" s="1"/>
      <c r="J27" s="1"/>
      <c r="K27" s="1"/>
      <c r="L27" s="1"/>
      <c r="M27" s="9"/>
      <c r="N27" s="9"/>
      <c r="O27" s="9"/>
      <c r="P27" s="9"/>
      <c r="Q27" s="9"/>
      <c r="R27" s="9"/>
    </row>
    <row r="28" spans="1:18">
      <c r="A28" s="14"/>
      <c r="B28" s="14"/>
      <c r="C28" s="14"/>
      <c r="D28" s="14"/>
      <c r="E28" s="14"/>
      <c r="F28" s="14"/>
      <c r="G28" s="1"/>
      <c r="H28" s="1"/>
      <c r="I28" s="1"/>
      <c r="J28" s="1"/>
      <c r="K28" s="1"/>
      <c r="L28" s="1"/>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c r="A32" s="3"/>
      <c r="B32" s="919" t="s">
        <v>786</v>
      </c>
      <c r="C32" s="926" t="s">
        <v>709</v>
      </c>
      <c r="D32" s="926"/>
      <c r="E32" s="926"/>
      <c r="F32" s="926"/>
      <c r="G32" s="926"/>
      <c r="H32" s="926"/>
      <c r="I32" s="926"/>
      <c r="J32" s="3"/>
      <c r="K32" s="3"/>
      <c r="L32" s="3"/>
      <c r="M32" s="3"/>
      <c r="N32" s="9"/>
    </row>
    <row r="33" spans="1:14">
      <c r="A33" s="3"/>
      <c r="B33" s="919"/>
      <c r="C33" s="526">
        <v>2015</v>
      </c>
      <c r="D33" s="526">
        <f>C33+1</f>
        <v>2016</v>
      </c>
      <c r="E33" s="526">
        <f t="shared" ref="E33:I33" si="0">D33+1</f>
        <v>2017</v>
      </c>
      <c r="F33" s="526">
        <f t="shared" si="0"/>
        <v>2018</v>
      </c>
      <c r="G33" s="526">
        <f t="shared" si="0"/>
        <v>2019</v>
      </c>
      <c r="H33" s="526">
        <f t="shared" si="0"/>
        <v>2020</v>
      </c>
      <c r="I33" s="526">
        <f t="shared" si="0"/>
        <v>2021</v>
      </c>
      <c r="J33" s="3"/>
      <c r="K33" s="3"/>
      <c r="L33" s="3"/>
      <c r="M33" s="3"/>
      <c r="N33" s="9"/>
    </row>
    <row r="34" spans="1:14">
      <c r="A34" s="3"/>
      <c r="B34" s="526">
        <v>2015</v>
      </c>
      <c r="C34" s="574">
        <f>SUM($C8:C8)</f>
        <v>330</v>
      </c>
      <c r="D34" s="574">
        <f>SUM($C8:D8)</f>
        <v>1710</v>
      </c>
      <c r="E34" s="574">
        <f>SUM($C8:E8)</f>
        <v>3025</v>
      </c>
      <c r="F34" s="574">
        <f>SUM($C8:F8)</f>
        <v>3602</v>
      </c>
      <c r="G34" s="574">
        <f>SUM($C8:G8)</f>
        <v>3720</v>
      </c>
      <c r="H34" s="574">
        <f>SUM($C8:H8)</f>
        <v>3741</v>
      </c>
      <c r="I34" s="574">
        <f>SUM($C8:I8)</f>
        <v>3746</v>
      </c>
      <c r="J34" s="3"/>
      <c r="K34" s="3"/>
      <c r="L34" s="3"/>
      <c r="M34" s="3"/>
      <c r="N34" s="9"/>
    </row>
    <row r="35" spans="1:14">
      <c r="A35" s="3"/>
      <c r="B35" s="526">
        <v>2016</v>
      </c>
      <c r="C35" s="574">
        <f>SUM($C9:C9)</f>
        <v>0</v>
      </c>
      <c r="D35" s="574">
        <f>SUM($C9:D9)</f>
        <v>351</v>
      </c>
      <c r="E35" s="574">
        <f>SUM($C9:E9)</f>
        <v>2206</v>
      </c>
      <c r="F35" s="574">
        <f>SUM($C9:F9)</f>
        <v>3685</v>
      </c>
      <c r="G35" s="574">
        <f>SUM($C9:G9)</f>
        <v>4113</v>
      </c>
      <c r="H35" s="574">
        <f>SUM($C9:H9)</f>
        <v>4204</v>
      </c>
      <c r="I35" s="574">
        <f>SUM($C9:I9)</f>
        <v>4212</v>
      </c>
      <c r="J35" s="3"/>
      <c r="K35" s="3"/>
      <c r="L35" s="3"/>
      <c r="M35" s="3"/>
      <c r="N35" s="9"/>
    </row>
    <row r="36" spans="1:14">
      <c r="A36" s="3"/>
      <c r="B36" s="526">
        <v>2017</v>
      </c>
      <c r="C36" s="574">
        <f>SUM($C10:C10)</f>
        <v>0</v>
      </c>
      <c r="D36" s="574">
        <f>SUM($C10:D10)</f>
        <v>0</v>
      </c>
      <c r="E36" s="574">
        <f>SUM($C10:E10)</f>
        <v>436</v>
      </c>
      <c r="F36" s="574">
        <f>SUM($C10:F10)</f>
        <v>1925</v>
      </c>
      <c r="G36" s="574">
        <f>SUM($C10:G10)</f>
        <v>3177</v>
      </c>
      <c r="H36" s="574">
        <f>SUM($C10:H10)</f>
        <v>4110</v>
      </c>
      <c r="I36" s="574">
        <f>SUM($C10:I10)</f>
        <v>4278</v>
      </c>
      <c r="J36" s="3"/>
      <c r="K36" s="3"/>
      <c r="L36" s="3"/>
      <c r="M36" s="3"/>
      <c r="N36" s="9"/>
    </row>
    <row r="37" spans="1:14">
      <c r="A37" s="3"/>
      <c r="B37" s="526">
        <v>2018</v>
      </c>
      <c r="C37" s="574">
        <f>SUM($C11:C11)</f>
        <v>0</v>
      </c>
      <c r="D37" s="574">
        <f>SUM($C11:D11)</f>
        <v>0</v>
      </c>
      <c r="E37" s="574">
        <f>SUM($C11:E11)</f>
        <v>0</v>
      </c>
      <c r="F37" s="574">
        <f>SUM($C11:F11)</f>
        <v>423</v>
      </c>
      <c r="G37" s="574">
        <f>SUM($C11:G11)</f>
        <v>2015</v>
      </c>
      <c r="H37" s="574">
        <f>SUM($C11:H11)</f>
        <v>3197</v>
      </c>
      <c r="I37" s="574">
        <f>SUM($C11:I11)</f>
        <v>3867</v>
      </c>
      <c r="J37" s="3"/>
      <c r="K37" s="3"/>
      <c r="L37" s="3"/>
      <c r="M37" s="3"/>
      <c r="N37" s="9"/>
    </row>
    <row r="38" spans="1:14">
      <c r="A38" s="3"/>
      <c r="B38" s="526">
        <v>2019</v>
      </c>
      <c r="C38" s="574">
        <f>SUM($C12:C12)</f>
        <v>0</v>
      </c>
      <c r="D38" s="574">
        <f>SUM($C12:D12)</f>
        <v>0</v>
      </c>
      <c r="E38" s="574">
        <f>SUM($C12:E12)</f>
        <v>0</v>
      </c>
      <c r="F38" s="574">
        <f>SUM($C12:F12)</f>
        <v>0</v>
      </c>
      <c r="G38" s="574">
        <f>SUM($C12:G12)</f>
        <v>449</v>
      </c>
      <c r="H38" s="574">
        <f>SUM($C12:H12)</f>
        <v>2124</v>
      </c>
      <c r="I38" s="574">
        <f>SUM($C12:I12)</f>
        <v>3664</v>
      </c>
      <c r="J38" s="3"/>
      <c r="K38" s="3"/>
      <c r="L38" s="3"/>
      <c r="M38" s="3"/>
      <c r="N38" s="9"/>
    </row>
    <row r="39" spans="1:14">
      <c r="A39" s="3"/>
      <c r="B39" s="526">
        <v>2020</v>
      </c>
      <c r="C39" s="574">
        <f>SUM($C13:C13)</f>
        <v>0</v>
      </c>
      <c r="D39" s="574">
        <f>SUM($C13:D13)</f>
        <v>0</v>
      </c>
      <c r="E39" s="574">
        <f>SUM($C13:E13)</f>
        <v>0</v>
      </c>
      <c r="F39" s="574">
        <f>SUM($C13:F13)</f>
        <v>0</v>
      </c>
      <c r="G39" s="574">
        <f>SUM($C13:G13)</f>
        <v>0</v>
      </c>
      <c r="H39" s="574">
        <f>SUM($C13:H13)</f>
        <v>354</v>
      </c>
      <c r="I39" s="574">
        <f>SUM($C13:I13)</f>
        <v>2063</v>
      </c>
      <c r="J39" s="3"/>
      <c r="K39" s="3"/>
      <c r="L39" s="3"/>
      <c r="M39" s="3"/>
      <c r="N39" s="9"/>
    </row>
    <row r="40" spans="1:14">
      <c r="A40" s="3"/>
      <c r="B40" s="526">
        <v>2021</v>
      </c>
      <c r="C40" s="574">
        <f>SUM($C14:C14)</f>
        <v>0</v>
      </c>
      <c r="D40" s="574">
        <f>SUM($C14:D14)</f>
        <v>0</v>
      </c>
      <c r="E40" s="574">
        <f>SUM($C14:E14)</f>
        <v>0</v>
      </c>
      <c r="F40" s="574">
        <f>SUM($C14:F14)</f>
        <v>0</v>
      </c>
      <c r="G40" s="574">
        <f>SUM($C14:G14)</f>
        <v>0</v>
      </c>
      <c r="H40" s="574">
        <f>SUM($C14:H14)</f>
        <v>0</v>
      </c>
      <c r="I40" s="574">
        <f>SUM($C14:I14)</f>
        <v>584</v>
      </c>
      <c r="J40" s="3"/>
      <c r="K40" s="3"/>
      <c r="L40" s="3"/>
      <c r="M40" s="3"/>
      <c r="N40" s="9"/>
    </row>
    <row r="41" spans="1:14">
      <c r="A41" s="3"/>
      <c r="B41" s="18"/>
      <c r="C41" s="18"/>
      <c r="D41" s="18"/>
      <c r="E41" s="18"/>
      <c r="F41" s="18"/>
      <c r="G41" s="18"/>
      <c r="H41" s="18"/>
      <c r="I41" s="18"/>
      <c r="J41" s="3"/>
      <c r="K41" s="3"/>
      <c r="L41" s="3"/>
      <c r="M41" s="3"/>
      <c r="N41" s="9"/>
    </row>
    <row r="42" spans="1:14">
      <c r="A42" s="3"/>
      <c r="B42" s="18"/>
      <c r="C42" s="18"/>
      <c r="D42" s="18"/>
      <c r="E42" s="18"/>
      <c r="F42" s="18"/>
      <c r="G42" s="18"/>
      <c r="H42" s="18"/>
      <c r="I42" s="18"/>
      <c r="J42" s="3"/>
      <c r="K42" s="3"/>
      <c r="L42" s="3"/>
      <c r="M42" s="3"/>
      <c r="N42" s="9"/>
    </row>
    <row r="43" spans="1:14">
      <c r="A43" s="3"/>
      <c r="B43" s="919" t="s">
        <v>786</v>
      </c>
      <c r="C43" s="926" t="s">
        <v>1626</v>
      </c>
      <c r="D43" s="926"/>
      <c r="E43" s="926"/>
      <c r="F43" s="926"/>
      <c r="G43" s="926"/>
      <c r="H43" s="926"/>
      <c r="I43" s="926"/>
      <c r="J43" s="3"/>
      <c r="K43" s="3"/>
      <c r="L43" s="3"/>
      <c r="M43" s="3"/>
      <c r="N43" s="9"/>
    </row>
    <row r="44" spans="1:14">
      <c r="A44" s="3"/>
      <c r="B44" s="919"/>
      <c r="C44" s="526">
        <f>C33</f>
        <v>2015</v>
      </c>
      <c r="D44" s="526">
        <f t="shared" ref="D44:I44" si="1">D33</f>
        <v>2016</v>
      </c>
      <c r="E44" s="526">
        <f t="shared" si="1"/>
        <v>2017</v>
      </c>
      <c r="F44" s="526">
        <f t="shared" si="1"/>
        <v>2018</v>
      </c>
      <c r="G44" s="526">
        <f t="shared" si="1"/>
        <v>2019</v>
      </c>
      <c r="H44" s="526">
        <f t="shared" si="1"/>
        <v>2020</v>
      </c>
      <c r="I44" s="526">
        <f t="shared" si="1"/>
        <v>2021</v>
      </c>
      <c r="J44" s="3"/>
      <c r="K44" s="3"/>
      <c r="L44" s="3"/>
      <c r="M44" s="3"/>
      <c r="N44" s="9"/>
    </row>
    <row r="45" spans="1:14">
      <c r="A45" s="3"/>
      <c r="B45" s="526">
        <v>2015</v>
      </c>
      <c r="C45" s="574">
        <f t="shared" ref="C45:I46" si="2">C34+C18</f>
        <v>1499</v>
      </c>
      <c r="D45" s="574">
        <f t="shared" si="2"/>
        <v>3078</v>
      </c>
      <c r="E45" s="574">
        <f t="shared" si="2"/>
        <v>3387</v>
      </c>
      <c r="F45" s="574">
        <f t="shared" si="2"/>
        <v>3718</v>
      </c>
      <c r="G45" s="574">
        <f t="shared" si="2"/>
        <v>3741</v>
      </c>
      <c r="H45" s="574">
        <f t="shared" si="2"/>
        <v>3746</v>
      </c>
      <c r="I45" s="574">
        <f t="shared" si="2"/>
        <v>3746</v>
      </c>
      <c r="J45" s="3"/>
      <c r="K45" s="3"/>
      <c r="L45" s="3"/>
      <c r="M45" s="3"/>
      <c r="N45" s="9"/>
    </row>
    <row r="46" spans="1:14">
      <c r="A46" s="3"/>
      <c r="B46" s="526">
        <v>2016</v>
      </c>
      <c r="C46" s="574">
        <f t="shared" ref="C46:C51" si="3">C35+C20</f>
        <v>0</v>
      </c>
      <c r="D46" s="574">
        <f t="shared" si="2"/>
        <v>1672</v>
      </c>
      <c r="E46" s="574">
        <f t="shared" si="2"/>
        <v>3554</v>
      </c>
      <c r="F46" s="574">
        <f t="shared" si="2"/>
        <v>3907</v>
      </c>
      <c r="G46" s="574">
        <f t="shared" si="2"/>
        <v>4207</v>
      </c>
      <c r="H46" s="574">
        <f t="shared" si="2"/>
        <v>4227</v>
      </c>
      <c r="I46" s="574">
        <f t="shared" si="2"/>
        <v>4228</v>
      </c>
      <c r="J46" s="3"/>
      <c r="K46" s="3"/>
      <c r="L46" s="3"/>
      <c r="M46" s="3"/>
      <c r="N46" s="9"/>
    </row>
    <row r="47" spans="1:14">
      <c r="A47" s="3"/>
      <c r="B47" s="526">
        <v>2017</v>
      </c>
      <c r="C47" s="574">
        <f t="shared" si="3"/>
        <v>0</v>
      </c>
      <c r="D47" s="574">
        <f>D36+D21</f>
        <v>0</v>
      </c>
      <c r="E47" s="574">
        <f>E36+E20</f>
        <v>1892</v>
      </c>
      <c r="F47" s="574">
        <f>F36+F20</f>
        <v>3303</v>
      </c>
      <c r="G47" s="574">
        <f>G36+G20</f>
        <v>3866</v>
      </c>
      <c r="H47" s="574">
        <f>H36+H20</f>
        <v>4287</v>
      </c>
      <c r="I47" s="574">
        <f>I36+I20</f>
        <v>4296</v>
      </c>
      <c r="J47" s="3"/>
      <c r="K47" s="3"/>
      <c r="L47" s="3"/>
      <c r="M47" s="3"/>
      <c r="N47" s="9"/>
    </row>
    <row r="48" spans="1:14">
      <c r="A48" s="3"/>
      <c r="B48" s="526">
        <v>2018</v>
      </c>
      <c r="C48" s="574">
        <f t="shared" si="3"/>
        <v>0</v>
      </c>
      <c r="D48" s="574">
        <f>D37+D22</f>
        <v>0</v>
      </c>
      <c r="E48" s="574">
        <f>E37+E22</f>
        <v>0</v>
      </c>
      <c r="F48" s="574">
        <f>F37+F21</f>
        <v>1827</v>
      </c>
      <c r="G48" s="574">
        <f>G37+G21</f>
        <v>3364</v>
      </c>
      <c r="H48" s="574">
        <f>H37+H21</f>
        <v>3717</v>
      </c>
      <c r="I48" s="574">
        <f>I37+I21</f>
        <v>4070</v>
      </c>
      <c r="J48" s="3"/>
      <c r="K48" s="3"/>
      <c r="L48" s="3"/>
      <c r="M48" s="3"/>
      <c r="N48" s="9"/>
    </row>
    <row r="49" spans="1:14">
      <c r="A49" s="3"/>
      <c r="B49" s="526">
        <v>2019</v>
      </c>
      <c r="C49" s="574">
        <f t="shared" si="3"/>
        <v>0</v>
      </c>
      <c r="D49" s="574">
        <f>D38+D23</f>
        <v>0</v>
      </c>
      <c r="E49" s="574">
        <f>E38+E23</f>
        <v>0</v>
      </c>
      <c r="F49" s="574">
        <f>F38+F23</f>
        <v>0</v>
      </c>
      <c r="G49" s="574">
        <f>G38+G22</f>
        <v>1696</v>
      </c>
      <c r="H49" s="574">
        <f>H38+H22</f>
        <v>3825</v>
      </c>
      <c r="I49" s="574">
        <f>I38+I22</f>
        <v>4217</v>
      </c>
      <c r="J49" s="3"/>
      <c r="K49" s="3"/>
      <c r="L49" s="3"/>
      <c r="M49" s="3"/>
      <c r="N49" s="9"/>
    </row>
    <row r="50" spans="1:14">
      <c r="A50" s="3"/>
      <c r="B50" s="526">
        <v>2020</v>
      </c>
      <c r="C50" s="574">
        <f t="shared" si="3"/>
        <v>0</v>
      </c>
      <c r="D50" s="574">
        <f>D39+D24</f>
        <v>0</v>
      </c>
      <c r="E50" s="574">
        <f>E39+E24</f>
        <v>0</v>
      </c>
      <c r="F50" s="574">
        <f>F39+F24</f>
        <v>0</v>
      </c>
      <c r="G50" s="574">
        <f>G39+G24</f>
        <v>0</v>
      </c>
      <c r="H50" s="574">
        <f>H39+H23</f>
        <v>1897</v>
      </c>
      <c r="I50" s="574">
        <f>I39+I23</f>
        <v>3774</v>
      </c>
      <c r="J50" s="3"/>
      <c r="K50" s="3"/>
      <c r="L50" s="3"/>
      <c r="M50" s="3"/>
      <c r="N50" s="9"/>
    </row>
    <row r="51" spans="1:14">
      <c r="A51" s="3"/>
      <c r="B51" s="526">
        <v>2021</v>
      </c>
      <c r="C51" s="574">
        <f t="shared" si="3"/>
        <v>0</v>
      </c>
      <c r="D51" s="574">
        <f>D40+D25</f>
        <v>0</v>
      </c>
      <c r="E51" s="574">
        <f>E40+E25</f>
        <v>0</v>
      </c>
      <c r="F51" s="574">
        <f>F40+F25</f>
        <v>0</v>
      </c>
      <c r="G51" s="574">
        <f>G40+G25</f>
        <v>0</v>
      </c>
      <c r="H51" s="574">
        <f>H40+H25</f>
        <v>0</v>
      </c>
      <c r="I51" s="574">
        <f>I40+I24</f>
        <v>1934</v>
      </c>
      <c r="J51" s="3"/>
      <c r="K51" s="3"/>
      <c r="L51" s="3"/>
      <c r="M51" s="3"/>
      <c r="N51" s="9"/>
    </row>
    <row r="52" spans="1:14">
      <c r="A52" s="3"/>
      <c r="B52" s="18"/>
      <c r="C52" s="18"/>
      <c r="D52" s="18"/>
      <c r="E52" s="18"/>
      <c r="F52" s="18"/>
      <c r="G52" s="18"/>
      <c r="H52" s="18"/>
      <c r="I52" s="18"/>
      <c r="J52" s="3"/>
      <c r="K52" s="3"/>
      <c r="L52" s="3"/>
      <c r="M52" s="3"/>
      <c r="N52" s="9"/>
    </row>
    <row r="53" spans="1:14">
      <c r="A53" s="3"/>
      <c r="B53" s="2" t="s">
        <v>1627</v>
      </c>
      <c r="C53" s="18"/>
      <c r="D53" s="18"/>
      <c r="E53" s="18"/>
      <c r="F53" s="18"/>
      <c r="G53" s="18"/>
      <c r="H53" s="18"/>
      <c r="I53" s="18"/>
      <c r="J53" s="3"/>
      <c r="K53" s="3"/>
      <c r="L53" s="3"/>
      <c r="M53" s="3"/>
      <c r="N53" s="9"/>
    </row>
    <row r="54" spans="1:14">
      <c r="A54" s="3"/>
      <c r="B54" s="919" t="s">
        <v>786</v>
      </c>
      <c r="C54" s="926" t="s">
        <v>88</v>
      </c>
      <c r="D54" s="926"/>
      <c r="E54" s="926"/>
      <c r="F54" s="926"/>
      <c r="G54" s="926"/>
      <c r="H54" s="926"/>
      <c r="I54" s="926"/>
      <c r="J54" s="3"/>
      <c r="K54" s="3"/>
      <c r="L54" s="3"/>
      <c r="M54" s="3"/>
      <c r="N54" s="9"/>
    </row>
    <row r="55" spans="1:14">
      <c r="A55" s="3"/>
      <c r="B55" s="919"/>
      <c r="C55" s="526">
        <v>12</v>
      </c>
      <c r="D55" s="526">
        <f>C55+12</f>
        <v>24</v>
      </c>
      <c r="E55" s="526">
        <f t="shared" ref="E55:I55" si="4">D55+12</f>
        <v>36</v>
      </c>
      <c r="F55" s="526">
        <f t="shared" si="4"/>
        <v>48</v>
      </c>
      <c r="G55" s="526">
        <f t="shared" si="4"/>
        <v>60</v>
      </c>
      <c r="H55" s="526">
        <f t="shared" si="4"/>
        <v>72</v>
      </c>
      <c r="I55" s="526">
        <f t="shared" si="4"/>
        <v>84</v>
      </c>
      <c r="J55" s="3"/>
      <c r="K55" s="3"/>
      <c r="L55" s="3"/>
      <c r="M55" s="3"/>
      <c r="N55" s="9"/>
    </row>
    <row r="56" spans="1:14">
      <c r="A56" s="3"/>
      <c r="B56" s="526">
        <v>2015</v>
      </c>
      <c r="C56" s="574">
        <f>C45</f>
        <v>1499</v>
      </c>
      <c r="D56" s="574">
        <f t="shared" ref="D56:I56" si="5">D45</f>
        <v>3078</v>
      </c>
      <c r="E56" s="574">
        <f t="shared" si="5"/>
        <v>3387</v>
      </c>
      <c r="F56" s="574">
        <f t="shared" si="5"/>
        <v>3718</v>
      </c>
      <c r="G56" s="574">
        <f t="shared" si="5"/>
        <v>3741</v>
      </c>
      <c r="H56" s="574">
        <f t="shared" si="5"/>
        <v>3746</v>
      </c>
      <c r="I56" s="574">
        <f t="shared" si="5"/>
        <v>3746</v>
      </c>
      <c r="J56" s="3"/>
      <c r="K56" s="3"/>
      <c r="L56" s="3"/>
      <c r="M56" s="3"/>
      <c r="N56" s="9"/>
    </row>
    <row r="57" spans="1:14">
      <c r="A57" s="3"/>
      <c r="B57" s="526">
        <v>2016</v>
      </c>
      <c r="C57" s="574">
        <f>D46</f>
        <v>1672</v>
      </c>
      <c r="D57" s="574">
        <f t="shared" ref="D57:H57" si="6">E46</f>
        <v>3554</v>
      </c>
      <c r="E57" s="574">
        <f t="shared" si="6"/>
        <v>3907</v>
      </c>
      <c r="F57" s="574">
        <f t="shared" si="6"/>
        <v>4207</v>
      </c>
      <c r="G57" s="574">
        <f t="shared" si="6"/>
        <v>4227</v>
      </c>
      <c r="H57" s="574">
        <f t="shared" si="6"/>
        <v>4228</v>
      </c>
      <c r="I57" s="574"/>
      <c r="J57" s="3"/>
      <c r="K57" s="3"/>
      <c r="L57" s="3"/>
      <c r="M57" s="3"/>
      <c r="N57" s="9"/>
    </row>
    <row r="58" spans="1:14">
      <c r="A58" s="3"/>
      <c r="B58" s="526">
        <v>2017</v>
      </c>
      <c r="C58" s="574">
        <f>E47</f>
        <v>1892</v>
      </c>
      <c r="D58" s="574">
        <f t="shared" ref="D58:G58" si="7">F47</f>
        <v>3303</v>
      </c>
      <c r="E58" s="574">
        <f t="shared" si="7"/>
        <v>3866</v>
      </c>
      <c r="F58" s="574">
        <f t="shared" si="7"/>
        <v>4287</v>
      </c>
      <c r="G58" s="574">
        <f t="shared" si="7"/>
        <v>4296</v>
      </c>
      <c r="H58" s="574"/>
      <c r="I58" s="574"/>
      <c r="J58" s="3"/>
      <c r="K58" s="3"/>
      <c r="L58" s="3"/>
      <c r="M58" s="3"/>
      <c r="N58" s="9"/>
    </row>
    <row r="59" spans="1:14">
      <c r="A59" s="3"/>
      <c r="B59" s="526">
        <v>2018</v>
      </c>
      <c r="C59" s="574">
        <f>F48</f>
        <v>1827</v>
      </c>
      <c r="D59" s="574">
        <f t="shared" ref="D59:F59" si="8">G48</f>
        <v>3364</v>
      </c>
      <c r="E59" s="574">
        <f t="shared" si="8"/>
        <v>3717</v>
      </c>
      <c r="F59" s="574">
        <f t="shared" si="8"/>
        <v>4070</v>
      </c>
      <c r="G59" s="574"/>
      <c r="H59" s="574"/>
      <c r="I59" s="574"/>
      <c r="J59" s="3"/>
      <c r="K59" s="3"/>
      <c r="L59" s="3"/>
      <c r="M59" s="3"/>
      <c r="N59" s="9"/>
    </row>
    <row r="60" spans="1:14">
      <c r="A60" s="3"/>
      <c r="B60" s="526">
        <v>2019</v>
      </c>
      <c r="C60" s="574">
        <f>G49</f>
        <v>1696</v>
      </c>
      <c r="D60" s="574">
        <f t="shared" ref="D60:E60" si="9">H49</f>
        <v>3825</v>
      </c>
      <c r="E60" s="574">
        <f t="shared" si="9"/>
        <v>4217</v>
      </c>
      <c r="F60" s="574"/>
      <c r="G60" s="574"/>
      <c r="H60" s="574"/>
      <c r="I60" s="574"/>
      <c r="J60" s="3"/>
      <c r="K60" s="3"/>
      <c r="L60" s="3"/>
      <c r="M60" s="3"/>
      <c r="N60" s="9"/>
    </row>
    <row r="61" spans="1:14">
      <c r="A61" s="3"/>
      <c r="B61" s="526">
        <v>2020</v>
      </c>
      <c r="C61" s="574">
        <f>H50</f>
        <v>1897</v>
      </c>
      <c r="D61" s="574">
        <f t="shared" ref="D61" si="10">I50</f>
        <v>3774</v>
      </c>
      <c r="E61" s="574"/>
      <c r="F61" s="574"/>
      <c r="G61" s="574"/>
      <c r="H61" s="574"/>
      <c r="I61" s="574"/>
      <c r="J61" s="3"/>
      <c r="K61" s="3"/>
      <c r="L61" s="3"/>
      <c r="M61" s="3"/>
      <c r="N61" s="9"/>
    </row>
    <row r="62" spans="1:14">
      <c r="A62" s="3"/>
      <c r="B62" s="526">
        <v>2021</v>
      </c>
      <c r="C62" s="574">
        <f>I51</f>
        <v>1934</v>
      </c>
      <c r="D62" s="574"/>
      <c r="E62" s="574"/>
      <c r="F62" s="574"/>
      <c r="G62" s="574"/>
      <c r="H62" s="574"/>
      <c r="I62" s="574"/>
      <c r="J62" s="3"/>
      <c r="K62" s="3"/>
      <c r="L62" s="3"/>
      <c r="M62" s="3"/>
      <c r="N62" s="9"/>
    </row>
    <row r="64" spans="1:14">
      <c r="A64" s="17" t="s">
        <v>133</v>
      </c>
      <c r="B64" s="1" t="s">
        <v>1628</v>
      </c>
      <c r="C64" s="1"/>
      <c r="D64" s="1"/>
      <c r="E64" s="1"/>
      <c r="F64" s="1"/>
      <c r="G64" s="1"/>
      <c r="H64" s="1"/>
      <c r="I64" s="1"/>
      <c r="J64" s="1"/>
      <c r="K64" s="1"/>
      <c r="L64" s="1"/>
    </row>
    <row r="65" spans="1:13">
      <c r="A65" s="14"/>
      <c r="B65" s="14"/>
      <c r="C65" s="14"/>
      <c r="D65" s="14"/>
      <c r="E65" s="14"/>
      <c r="F65" s="14"/>
      <c r="G65" s="1"/>
      <c r="H65" s="1"/>
      <c r="I65" s="1"/>
      <c r="J65" s="1"/>
      <c r="K65" s="1"/>
      <c r="L65" s="1"/>
    </row>
    <row r="66" spans="1:13">
      <c r="A66" s="3"/>
      <c r="B66" s="3"/>
      <c r="C66" s="3"/>
      <c r="D66" s="3"/>
      <c r="E66" s="3"/>
      <c r="F66" s="3"/>
      <c r="G66" s="3"/>
      <c r="H66" s="3"/>
      <c r="I66" s="3"/>
      <c r="J66" s="3"/>
      <c r="K66" s="3"/>
      <c r="L66" s="3"/>
    </row>
    <row r="67" spans="1:13">
      <c r="A67" s="3" t="s">
        <v>20</v>
      </c>
      <c r="B67" s="3"/>
      <c r="C67" s="3"/>
      <c r="D67" s="3"/>
      <c r="E67" s="3"/>
      <c r="F67" s="3"/>
      <c r="G67" s="3"/>
      <c r="H67" s="3"/>
      <c r="I67" s="3"/>
      <c r="J67" s="3"/>
      <c r="K67" s="3"/>
      <c r="L67" s="3"/>
    </row>
    <row r="68" spans="1:13">
      <c r="A68" s="3"/>
      <c r="B68" s="3"/>
      <c r="C68" s="3"/>
      <c r="D68" s="3"/>
      <c r="E68" s="3"/>
      <c r="F68" s="3"/>
      <c r="G68" s="3"/>
      <c r="H68" s="3"/>
      <c r="I68" s="3"/>
      <c r="J68" s="3"/>
      <c r="K68" s="3"/>
      <c r="L68" s="3"/>
    </row>
    <row r="69" spans="1:13">
      <c r="C69" s="2" t="s">
        <v>1629</v>
      </c>
      <c r="M69" s="3"/>
    </row>
    <row r="70" spans="1:13">
      <c r="D70" s="34" t="s">
        <v>1630</v>
      </c>
      <c r="E70" s="458">
        <f>SUM(H8:H14)</f>
        <v>4256</v>
      </c>
      <c r="F70" s="575" t="s">
        <v>1631</v>
      </c>
      <c r="G70" s="458">
        <f>SUM(H18:H24)-SUM(G18:G24)</f>
        <v>569</v>
      </c>
      <c r="H70" s="34" t="s">
        <v>1630</v>
      </c>
      <c r="I70" s="458">
        <f>E70+G70</f>
        <v>4825</v>
      </c>
      <c r="M70" s="3"/>
    </row>
    <row r="72" spans="1:13">
      <c r="A72" s="14"/>
      <c r="B72" s="14"/>
      <c r="C72" s="14"/>
      <c r="D72" s="14"/>
      <c r="E72" s="14"/>
      <c r="F72" s="14"/>
      <c r="G72" s="1"/>
      <c r="H72" s="1"/>
      <c r="I72" s="1"/>
      <c r="J72" s="1"/>
      <c r="K72" s="1"/>
      <c r="L72" s="1"/>
    </row>
    <row r="73" spans="1:13">
      <c r="A73" s="260" t="s">
        <v>1632</v>
      </c>
      <c r="B73" s="46"/>
      <c r="C73" s="46"/>
      <c r="D73" s="46"/>
      <c r="E73" s="46"/>
      <c r="F73" s="46"/>
      <c r="G73" s="46"/>
      <c r="H73" s="1"/>
      <c r="I73" s="1"/>
      <c r="J73" s="1"/>
      <c r="K73" s="1"/>
      <c r="L73" s="1"/>
    </row>
    <row r="74" spans="1:13">
      <c r="A74" s="260"/>
      <c r="B74" s="46"/>
      <c r="C74" s="46"/>
      <c r="D74" s="46"/>
      <c r="E74" s="46"/>
      <c r="F74" s="46"/>
      <c r="G74" s="46"/>
      <c r="H74" s="1"/>
      <c r="I74" s="1"/>
      <c r="J74" s="1"/>
      <c r="K74" s="1"/>
      <c r="L74" s="1"/>
    </row>
    <row r="75" spans="1:13" ht="46.8">
      <c r="A75" s="1"/>
      <c r="B75" s="4" t="s">
        <v>1633</v>
      </c>
      <c r="C75" s="4" t="s">
        <v>97</v>
      </c>
      <c r="D75" s="828" t="s">
        <v>1634</v>
      </c>
      <c r="E75" s="828"/>
      <c r="F75" s="4" t="s">
        <v>1110</v>
      </c>
      <c r="G75" s="4" t="s">
        <v>1635</v>
      </c>
      <c r="H75" s="4" t="s">
        <v>1636</v>
      </c>
      <c r="I75" s="4" t="s">
        <v>1112</v>
      </c>
      <c r="J75" s="1"/>
      <c r="K75" s="1"/>
      <c r="L75" s="1"/>
    </row>
    <row r="76" spans="1:13">
      <c r="A76" s="1"/>
      <c r="B76" s="32">
        <v>1</v>
      </c>
      <c r="C76" s="576">
        <v>43682</v>
      </c>
      <c r="D76" s="825" t="s">
        <v>1637</v>
      </c>
      <c r="E76" s="825"/>
      <c r="F76" s="576">
        <v>42861</v>
      </c>
      <c r="G76" s="576">
        <v>43283</v>
      </c>
      <c r="H76" s="32"/>
      <c r="I76" s="32">
        <v>-15</v>
      </c>
      <c r="J76" s="1"/>
      <c r="K76" s="1"/>
      <c r="L76" s="1"/>
    </row>
    <row r="77" spans="1:13">
      <c r="A77" s="1"/>
      <c r="B77" s="32">
        <v>2</v>
      </c>
      <c r="C77" s="576">
        <v>43818</v>
      </c>
      <c r="D77" s="825" t="s">
        <v>1638</v>
      </c>
      <c r="E77" s="825"/>
      <c r="F77" s="576">
        <v>42430</v>
      </c>
      <c r="G77" s="576">
        <v>42974</v>
      </c>
      <c r="H77" s="32">
        <v>-45</v>
      </c>
      <c r="I77" s="32">
        <v>45</v>
      </c>
      <c r="J77" s="1"/>
      <c r="K77" s="1"/>
      <c r="L77" s="1"/>
    </row>
    <row r="78" spans="1:13">
      <c r="A78" s="1"/>
      <c r="B78" s="32">
        <v>3</v>
      </c>
      <c r="C78" s="576">
        <v>43827</v>
      </c>
      <c r="D78" s="825" t="s">
        <v>1639</v>
      </c>
      <c r="E78" s="825"/>
      <c r="F78" s="576">
        <v>43390</v>
      </c>
      <c r="G78" s="576">
        <v>43822</v>
      </c>
      <c r="H78" s="32"/>
      <c r="I78" s="32">
        <v>10</v>
      </c>
      <c r="J78" s="1"/>
      <c r="K78" s="1"/>
      <c r="L78" s="1"/>
    </row>
    <row r="79" spans="1:13">
      <c r="A79" s="1"/>
      <c r="B79" s="32">
        <v>4</v>
      </c>
      <c r="C79" s="576">
        <v>43858</v>
      </c>
      <c r="D79" s="825" t="s">
        <v>1640</v>
      </c>
      <c r="E79" s="825"/>
      <c r="F79" s="576">
        <v>42217</v>
      </c>
      <c r="G79" s="576">
        <v>42702</v>
      </c>
      <c r="H79" s="32">
        <v>-20</v>
      </c>
      <c r="I79" s="32">
        <v>15</v>
      </c>
      <c r="J79" s="1"/>
      <c r="K79" s="1"/>
      <c r="L79" s="1"/>
    </row>
    <row r="80" spans="1:13">
      <c r="A80" s="1"/>
      <c r="B80" s="32">
        <v>5</v>
      </c>
      <c r="C80" s="576">
        <v>44231</v>
      </c>
      <c r="D80" s="825" t="s">
        <v>1641</v>
      </c>
      <c r="E80" s="825"/>
      <c r="F80" s="576">
        <v>44086</v>
      </c>
      <c r="G80" s="576">
        <v>44230</v>
      </c>
      <c r="H80" s="32">
        <v>30</v>
      </c>
      <c r="I80" s="32"/>
      <c r="J80" s="1"/>
      <c r="K80" s="1"/>
      <c r="L80" s="1"/>
    </row>
    <row r="81" spans="1:12">
      <c r="A81" s="1"/>
      <c r="B81" s="32">
        <v>6</v>
      </c>
      <c r="C81" s="576">
        <v>44327</v>
      </c>
      <c r="D81" s="825" t="s">
        <v>1642</v>
      </c>
      <c r="E81" s="825"/>
      <c r="F81" s="576">
        <v>42900</v>
      </c>
      <c r="G81" s="576">
        <v>43940</v>
      </c>
      <c r="H81" s="32"/>
      <c r="I81" s="32">
        <v>5</v>
      </c>
      <c r="J81" s="1"/>
      <c r="K81" s="1"/>
      <c r="L81" s="1"/>
    </row>
    <row r="82" spans="1:12">
      <c r="A82" s="14"/>
      <c r="B82" s="14"/>
      <c r="C82" s="14"/>
      <c r="D82" s="14"/>
      <c r="E82" s="14"/>
      <c r="F82" s="14"/>
      <c r="G82" s="1"/>
      <c r="H82" s="1"/>
      <c r="I82" s="1"/>
      <c r="J82" s="1"/>
      <c r="K82" s="1"/>
      <c r="L82" s="1"/>
    </row>
    <row r="84" spans="1:12">
      <c r="A84" s="17" t="s">
        <v>18</v>
      </c>
      <c r="B84" s="1" t="s">
        <v>1643</v>
      </c>
      <c r="C84" s="1"/>
      <c r="D84" s="1"/>
      <c r="E84" s="1"/>
      <c r="F84" s="1"/>
      <c r="G84" s="1"/>
      <c r="H84" s="1"/>
      <c r="I84" s="1"/>
      <c r="J84" s="1"/>
      <c r="K84" s="1"/>
      <c r="L84" s="1"/>
    </row>
    <row r="85" spans="1:12">
      <c r="A85" s="14"/>
      <c r="B85" s="14"/>
      <c r="C85" s="14"/>
      <c r="D85" s="14"/>
      <c r="E85" s="14"/>
      <c r="F85" s="14"/>
      <c r="G85" s="1"/>
      <c r="H85" s="1"/>
      <c r="I85" s="1"/>
      <c r="J85" s="1"/>
      <c r="K85" s="1"/>
      <c r="L85" s="1"/>
    </row>
    <row r="86" spans="1:12">
      <c r="A86" s="3"/>
      <c r="B86" s="3"/>
      <c r="C86" s="3"/>
      <c r="D86" s="3"/>
      <c r="E86" s="3"/>
      <c r="F86" s="3"/>
      <c r="G86" s="3"/>
      <c r="H86" s="3"/>
      <c r="I86" s="3"/>
      <c r="J86" s="3"/>
      <c r="K86" s="3"/>
      <c r="L86" s="3"/>
    </row>
    <row r="87" spans="1:12">
      <c r="A87" s="3" t="s">
        <v>20</v>
      </c>
      <c r="B87" s="3"/>
      <c r="C87" s="3"/>
      <c r="D87" s="3"/>
      <c r="E87" s="3"/>
      <c r="F87" s="3"/>
      <c r="G87" s="3"/>
      <c r="H87" s="3"/>
      <c r="I87" s="3"/>
      <c r="J87" s="3"/>
      <c r="K87" s="3"/>
      <c r="L87" s="3"/>
    </row>
    <row r="88" spans="1:12">
      <c r="A88" s="3"/>
      <c r="B88" s="3"/>
      <c r="C88" s="3"/>
      <c r="D88" s="3"/>
      <c r="E88" s="3"/>
      <c r="F88" s="3"/>
      <c r="G88" s="3"/>
      <c r="H88" s="3"/>
      <c r="I88" s="3"/>
      <c r="J88" s="3"/>
      <c r="K88" s="3"/>
      <c r="L88" s="3"/>
    </row>
    <row r="89" spans="1:12">
      <c r="A89" s="3"/>
      <c r="B89" s="3" t="s">
        <v>1644</v>
      </c>
      <c r="C89" s="3"/>
      <c r="D89" s="3"/>
      <c r="E89" s="3"/>
      <c r="F89" s="3"/>
      <c r="G89" s="3"/>
      <c r="H89" s="3"/>
      <c r="I89" s="3"/>
      <c r="K89" s="3"/>
      <c r="L89" s="3"/>
    </row>
    <row r="90" spans="1:12">
      <c r="A90" s="3"/>
      <c r="B90" s="919" t="s">
        <v>786</v>
      </c>
      <c r="C90" s="926" t="s">
        <v>88</v>
      </c>
      <c r="D90" s="926"/>
      <c r="E90" s="926"/>
      <c r="F90" s="926"/>
      <c r="G90" s="926"/>
      <c r="H90" s="926"/>
      <c r="I90" s="926"/>
      <c r="K90" s="3"/>
      <c r="L90" s="3"/>
    </row>
    <row r="91" spans="1:12">
      <c r="A91" s="3"/>
      <c r="B91" s="919"/>
      <c r="C91" s="526">
        <v>12</v>
      </c>
      <c r="D91" s="526">
        <f>C91+12</f>
        <v>24</v>
      </c>
      <c r="E91" s="526">
        <f t="shared" ref="E91:I91" si="11">D91+12</f>
        <v>36</v>
      </c>
      <c r="F91" s="526">
        <f t="shared" si="11"/>
        <v>48</v>
      </c>
      <c r="G91" s="526">
        <f t="shared" si="11"/>
        <v>60</v>
      </c>
      <c r="H91" s="526">
        <f t="shared" si="11"/>
        <v>72</v>
      </c>
      <c r="I91" s="526">
        <f t="shared" si="11"/>
        <v>84</v>
      </c>
      <c r="K91" s="3"/>
      <c r="L91" s="3"/>
    </row>
    <row r="92" spans="1:12">
      <c r="A92" s="3"/>
      <c r="B92" s="526">
        <v>2015</v>
      </c>
      <c r="C92" s="574"/>
      <c r="D92" s="574"/>
      <c r="E92" s="574"/>
      <c r="F92" s="574"/>
      <c r="G92" s="574"/>
      <c r="H92" s="574"/>
      <c r="I92" s="574"/>
      <c r="K92" s="3"/>
      <c r="L92" s="3"/>
    </row>
    <row r="93" spans="1:12">
      <c r="A93" s="3"/>
      <c r="B93" s="526">
        <v>2016</v>
      </c>
      <c r="C93" s="574"/>
      <c r="D93" s="574"/>
      <c r="E93" s="574"/>
      <c r="F93" s="574"/>
      <c r="G93" s="574">
        <v>-5</v>
      </c>
      <c r="H93" s="574">
        <v>-5</v>
      </c>
      <c r="I93" s="574"/>
      <c r="J93" s="98" t="s">
        <v>1645</v>
      </c>
      <c r="K93" s="3"/>
      <c r="L93" s="3"/>
    </row>
    <row r="94" spans="1:12">
      <c r="A94" s="3"/>
      <c r="B94" s="526">
        <v>2017</v>
      </c>
      <c r="C94" s="574"/>
      <c r="D94" s="574"/>
      <c r="E94" s="574"/>
      <c r="F94" s="574"/>
      <c r="G94" s="574"/>
      <c r="H94" s="574"/>
      <c r="I94" s="574"/>
      <c r="J94" s="98" t="s">
        <v>1646</v>
      </c>
      <c r="K94" s="3"/>
      <c r="L94" s="3"/>
    </row>
    <row r="95" spans="1:12">
      <c r="A95" s="3"/>
      <c r="B95" s="526">
        <v>2018</v>
      </c>
      <c r="C95" s="574"/>
      <c r="D95" s="574">
        <v>-15</v>
      </c>
      <c r="E95" s="574">
        <f>D95</f>
        <v>-15</v>
      </c>
      <c r="F95" s="574">
        <f>E95</f>
        <v>-15</v>
      </c>
      <c r="G95" s="574"/>
      <c r="H95" s="574"/>
      <c r="I95" s="574"/>
      <c r="J95" s="98" t="s">
        <v>1647</v>
      </c>
      <c r="K95" s="3"/>
      <c r="L95" s="3"/>
    </row>
    <row r="96" spans="1:12">
      <c r="A96" s="3"/>
      <c r="B96" s="526">
        <v>2019</v>
      </c>
      <c r="C96" s="574">
        <v>10</v>
      </c>
      <c r="D96" s="574">
        <f>C96</f>
        <v>10</v>
      </c>
      <c r="E96" s="574">
        <f>D96</f>
        <v>10</v>
      </c>
      <c r="F96" s="574"/>
      <c r="G96" s="574"/>
      <c r="H96" s="574"/>
      <c r="I96" s="574"/>
      <c r="J96" s="98" t="s">
        <v>1648</v>
      </c>
      <c r="K96" s="3"/>
      <c r="L96" s="3"/>
    </row>
    <row r="97" spans="1:12">
      <c r="A97" s="3"/>
      <c r="B97" s="526">
        <v>2020</v>
      </c>
      <c r="C97" s="574"/>
      <c r="D97" s="574">
        <v>5</v>
      </c>
      <c r="E97" s="574"/>
      <c r="F97" s="574"/>
      <c r="G97" s="574"/>
      <c r="H97" s="574"/>
      <c r="I97" s="574"/>
      <c r="J97" s="98" t="s">
        <v>1649</v>
      </c>
      <c r="K97" s="3"/>
      <c r="L97" s="3"/>
    </row>
    <row r="98" spans="1:12">
      <c r="A98" s="3"/>
      <c r="B98" s="526">
        <v>2021</v>
      </c>
      <c r="C98" s="574">
        <v>30</v>
      </c>
      <c r="D98" s="574"/>
      <c r="E98" s="574"/>
      <c r="F98" s="574"/>
      <c r="G98" s="574"/>
      <c r="H98" s="574"/>
      <c r="I98" s="574"/>
      <c r="J98" s="98" t="s">
        <v>1650</v>
      </c>
      <c r="K98" s="3"/>
      <c r="L98" s="3"/>
    </row>
    <row r="99" spans="1:12">
      <c r="A99" s="3"/>
      <c r="B99" s="3"/>
      <c r="C99" s="3"/>
      <c r="D99" s="3"/>
      <c r="E99" s="3"/>
      <c r="F99" s="3"/>
      <c r="G99" s="3"/>
      <c r="H99" s="3"/>
      <c r="I99" s="3"/>
      <c r="J99" s="98"/>
      <c r="K99" s="3"/>
      <c r="L99" s="3"/>
    </row>
    <row r="100" spans="1:12">
      <c r="A100" s="3"/>
      <c r="B100" s="2" t="s">
        <v>1651</v>
      </c>
      <c r="J100" s="98"/>
      <c r="K100" s="3"/>
      <c r="L100" s="3"/>
    </row>
    <row r="101" spans="1:12">
      <c r="A101" s="3"/>
      <c r="B101" s="919" t="s">
        <v>786</v>
      </c>
      <c r="C101" s="926" t="s">
        <v>88</v>
      </c>
      <c r="D101" s="926"/>
      <c r="E101" s="926"/>
      <c r="F101" s="926"/>
      <c r="G101" s="926"/>
      <c r="H101" s="926"/>
      <c r="I101" s="926"/>
      <c r="J101" s="98"/>
      <c r="K101" s="3"/>
      <c r="L101" s="3"/>
    </row>
    <row r="102" spans="1:12">
      <c r="A102" s="3"/>
      <c r="B102" s="919"/>
      <c r="C102" s="526">
        <v>12</v>
      </c>
      <c r="D102" s="526">
        <f>C102+12</f>
        <v>24</v>
      </c>
      <c r="E102" s="526">
        <f t="shared" ref="E102:I102" si="12">D102+12</f>
        <v>36</v>
      </c>
      <c r="F102" s="526">
        <f t="shared" si="12"/>
        <v>48</v>
      </c>
      <c r="G102" s="526">
        <f t="shared" si="12"/>
        <v>60</v>
      </c>
      <c r="H102" s="526">
        <f t="shared" si="12"/>
        <v>72</v>
      </c>
      <c r="I102" s="526">
        <f t="shared" si="12"/>
        <v>84</v>
      </c>
      <c r="J102" s="98"/>
      <c r="K102" s="3"/>
      <c r="L102" s="3"/>
    </row>
    <row r="103" spans="1:12">
      <c r="A103" s="3"/>
      <c r="B103" s="526">
        <v>2015</v>
      </c>
      <c r="C103" s="574">
        <f t="shared" ref="C103:I104" si="13">C56+C92</f>
        <v>1499</v>
      </c>
      <c r="D103" s="574">
        <f t="shared" si="13"/>
        <v>3078</v>
      </c>
      <c r="E103" s="574">
        <f t="shared" si="13"/>
        <v>3387</v>
      </c>
      <c r="F103" s="574">
        <f t="shared" si="13"/>
        <v>3718</v>
      </c>
      <c r="G103" s="574">
        <f t="shared" si="13"/>
        <v>3741</v>
      </c>
      <c r="H103" s="574">
        <f t="shared" si="13"/>
        <v>3746</v>
      </c>
      <c r="I103" s="574">
        <f t="shared" si="13"/>
        <v>3746</v>
      </c>
      <c r="J103" s="98"/>
      <c r="K103" s="3"/>
      <c r="L103" s="3"/>
    </row>
    <row r="104" spans="1:12">
      <c r="A104" s="3"/>
      <c r="B104" s="526">
        <v>2016</v>
      </c>
      <c r="C104" s="574">
        <f t="shared" si="13"/>
        <v>1672</v>
      </c>
      <c r="D104" s="574">
        <f t="shared" si="13"/>
        <v>3554</v>
      </c>
      <c r="E104" s="574">
        <f t="shared" si="13"/>
        <v>3907</v>
      </c>
      <c r="F104" s="574">
        <f t="shared" si="13"/>
        <v>4207</v>
      </c>
      <c r="G104" s="577">
        <f t="shared" si="13"/>
        <v>4222</v>
      </c>
      <c r="H104" s="577">
        <f t="shared" si="13"/>
        <v>4223</v>
      </c>
      <c r="I104" s="574"/>
      <c r="J104" s="98" t="s">
        <v>1645</v>
      </c>
      <c r="K104" s="3"/>
      <c r="L104" s="3"/>
    </row>
    <row r="105" spans="1:12">
      <c r="A105" s="3"/>
      <c r="B105" s="526">
        <v>2017</v>
      </c>
      <c r="C105" s="574">
        <f>C58+C94</f>
        <v>1892</v>
      </c>
      <c r="D105" s="574">
        <f>D58+D94</f>
        <v>3303</v>
      </c>
      <c r="E105" s="574">
        <f>E58+E94</f>
        <v>3866</v>
      </c>
      <c r="F105" s="574">
        <f>F58+F94</f>
        <v>4287</v>
      </c>
      <c r="G105" s="574">
        <f>G58+G94</f>
        <v>4296</v>
      </c>
      <c r="H105" s="574"/>
      <c r="I105" s="574"/>
      <c r="J105" s="98" t="s">
        <v>1646</v>
      </c>
      <c r="K105" s="3"/>
      <c r="L105" s="3"/>
    </row>
    <row r="106" spans="1:12">
      <c r="A106" s="3"/>
      <c r="B106" s="526">
        <v>2018</v>
      </c>
      <c r="C106" s="574">
        <f>C59+C95</f>
        <v>1827</v>
      </c>
      <c r="D106" s="577">
        <f>D59+D95</f>
        <v>3349</v>
      </c>
      <c r="E106" s="577">
        <f>E59+E95</f>
        <v>3702</v>
      </c>
      <c r="F106" s="577">
        <f>F59+F95</f>
        <v>4055</v>
      </c>
      <c r="G106" s="574"/>
      <c r="H106" s="574"/>
      <c r="I106" s="574"/>
      <c r="J106" s="98" t="s">
        <v>1647</v>
      </c>
      <c r="K106" s="3"/>
      <c r="L106" s="3"/>
    </row>
    <row r="107" spans="1:12">
      <c r="A107" s="3"/>
      <c r="B107" s="526">
        <v>2019</v>
      </c>
      <c r="C107" s="577">
        <f>C60+C96</f>
        <v>1706</v>
      </c>
      <c r="D107" s="577">
        <f>D60+D96</f>
        <v>3835</v>
      </c>
      <c r="E107" s="577">
        <f>E60+E96</f>
        <v>4227</v>
      </c>
      <c r="F107" s="574"/>
      <c r="G107" s="574"/>
      <c r="H107" s="574"/>
      <c r="I107" s="574"/>
      <c r="J107" s="98" t="s">
        <v>1648</v>
      </c>
      <c r="K107" s="3"/>
      <c r="L107" s="3"/>
    </row>
    <row r="108" spans="1:12">
      <c r="A108" s="3"/>
      <c r="B108" s="526">
        <v>2020</v>
      </c>
      <c r="C108" s="574">
        <f>C61+C97</f>
        <v>1897</v>
      </c>
      <c r="D108" s="577">
        <f>D61+D97</f>
        <v>3779</v>
      </c>
      <c r="E108" s="574"/>
      <c r="F108" s="574"/>
      <c r="G108" s="574"/>
      <c r="H108" s="574"/>
      <c r="I108" s="574"/>
      <c r="J108" s="98" t="s">
        <v>1649</v>
      </c>
      <c r="K108" s="3"/>
      <c r="L108" s="3"/>
    </row>
    <row r="109" spans="1:12">
      <c r="A109" s="3"/>
      <c r="B109" s="526">
        <v>2021</v>
      </c>
      <c r="C109" s="577">
        <f>C62+C98</f>
        <v>1964</v>
      </c>
      <c r="D109" s="574"/>
      <c r="E109" s="574"/>
      <c r="F109" s="574"/>
      <c r="G109" s="574"/>
      <c r="H109" s="574"/>
      <c r="I109" s="574"/>
      <c r="J109" s="98" t="s">
        <v>1650</v>
      </c>
      <c r="K109" s="3"/>
      <c r="L109" s="3"/>
    </row>
    <row r="111" spans="1:12">
      <c r="A111" s="14"/>
      <c r="B111" s="14"/>
      <c r="C111" s="14"/>
      <c r="D111" s="14"/>
      <c r="E111" s="14"/>
      <c r="F111" s="14"/>
      <c r="G111" s="1"/>
      <c r="H111" s="1"/>
      <c r="I111" s="1"/>
      <c r="J111" s="1"/>
      <c r="K111" s="1"/>
      <c r="L111" s="1"/>
    </row>
    <row r="112" spans="1:12">
      <c r="A112" s="260" t="s">
        <v>1652</v>
      </c>
      <c r="B112" s="46"/>
      <c r="C112" s="1"/>
      <c r="D112" s="1"/>
      <c r="E112" s="1"/>
      <c r="F112" s="14"/>
      <c r="G112" s="1"/>
      <c r="H112" s="1"/>
      <c r="I112" s="1"/>
      <c r="J112" s="1"/>
      <c r="K112" s="1"/>
      <c r="L112" s="1"/>
    </row>
    <row r="113" spans="1:13">
      <c r="A113" s="1"/>
      <c r="B113" s="1"/>
      <c r="C113" s="1"/>
      <c r="D113" s="1"/>
      <c r="E113" s="1"/>
      <c r="F113" s="14"/>
      <c r="G113" s="1"/>
      <c r="H113" s="1"/>
      <c r="I113" s="1"/>
      <c r="J113" s="1"/>
      <c r="K113" s="1"/>
      <c r="L113" s="1"/>
    </row>
    <row r="114" spans="1:13" ht="15.6" customHeight="1">
      <c r="A114" s="1"/>
      <c r="B114" s="829" t="s">
        <v>1653</v>
      </c>
      <c r="C114" s="829"/>
      <c r="D114" s="829"/>
      <c r="E114" s="1"/>
      <c r="F114" s="14"/>
      <c r="G114" s="1"/>
      <c r="H114" s="1"/>
      <c r="I114" s="1"/>
      <c r="J114" s="1"/>
      <c r="K114" s="1"/>
      <c r="L114" s="1"/>
    </row>
    <row r="115" spans="1:13">
      <c r="A115" s="1"/>
      <c r="B115" s="927">
        <v>44196</v>
      </c>
      <c r="C115" s="927"/>
      <c r="D115" s="7">
        <v>3900</v>
      </c>
      <c r="E115" s="1"/>
      <c r="F115" s="14"/>
      <c r="G115" s="1"/>
      <c r="H115" s="1"/>
      <c r="I115" s="1"/>
      <c r="J115" s="1"/>
      <c r="K115" s="1"/>
      <c r="L115" s="1"/>
    </row>
    <row r="116" spans="1:13">
      <c r="A116" s="1"/>
      <c r="B116" s="927">
        <v>44561</v>
      </c>
      <c r="C116" s="927"/>
      <c r="D116" s="7">
        <v>4100</v>
      </c>
      <c r="E116" s="1"/>
      <c r="F116" s="14"/>
      <c r="G116" s="1"/>
      <c r="H116" s="1"/>
      <c r="I116" s="1"/>
      <c r="J116" s="1"/>
      <c r="K116" s="1"/>
      <c r="L116" s="1"/>
    </row>
    <row r="117" spans="1:13">
      <c r="A117" s="14"/>
      <c r="B117" s="14"/>
      <c r="C117" s="14"/>
      <c r="D117" s="14"/>
      <c r="E117" s="14"/>
      <c r="F117" s="14"/>
      <c r="G117" s="1"/>
      <c r="H117" s="1"/>
      <c r="I117" s="1"/>
      <c r="J117" s="1"/>
      <c r="K117" s="1"/>
      <c r="L117" s="1"/>
    </row>
    <row r="119" spans="1:13">
      <c r="A119" s="17" t="s">
        <v>25</v>
      </c>
      <c r="B119" s="1" t="s">
        <v>1654</v>
      </c>
      <c r="C119" s="1"/>
      <c r="D119" s="1"/>
      <c r="E119" s="1"/>
      <c r="F119" s="1"/>
      <c r="G119" s="1"/>
      <c r="H119" s="1"/>
      <c r="I119" s="1"/>
      <c r="J119" s="1"/>
      <c r="K119" s="1"/>
      <c r="L119" s="1"/>
    </row>
    <row r="120" spans="1:13">
      <c r="A120" s="14"/>
      <c r="B120" s="14"/>
      <c r="C120" s="14"/>
      <c r="D120" s="14"/>
      <c r="E120" s="14"/>
      <c r="F120" s="14"/>
      <c r="G120" s="1"/>
      <c r="H120" s="1"/>
      <c r="I120" s="1"/>
      <c r="J120" s="1"/>
      <c r="K120" s="1"/>
      <c r="L120" s="1"/>
    </row>
    <row r="121" spans="1:13">
      <c r="A121" s="3"/>
      <c r="B121" s="3"/>
      <c r="C121" s="3"/>
      <c r="D121" s="3"/>
      <c r="E121" s="3"/>
      <c r="F121" s="3"/>
      <c r="G121" s="3"/>
      <c r="H121" s="3"/>
      <c r="I121" s="3"/>
      <c r="J121" s="3"/>
      <c r="K121" s="3"/>
      <c r="L121" s="3"/>
    </row>
    <row r="122" spans="1:13">
      <c r="A122" s="3" t="s">
        <v>20</v>
      </c>
      <c r="B122" s="3"/>
      <c r="C122" s="3"/>
      <c r="D122" s="3"/>
      <c r="E122" s="3"/>
      <c r="F122" s="3"/>
      <c r="G122" s="3"/>
      <c r="H122" s="3"/>
      <c r="I122" s="3"/>
      <c r="J122" s="3"/>
      <c r="K122" s="3"/>
      <c r="L122" s="3"/>
    </row>
    <row r="123" spans="1:13">
      <c r="A123" s="3"/>
      <c r="B123" s="3"/>
      <c r="C123" s="3"/>
      <c r="D123" s="3"/>
      <c r="E123" s="3"/>
      <c r="F123" s="3"/>
      <c r="G123" s="3"/>
      <c r="H123" s="3"/>
      <c r="I123" s="3"/>
      <c r="J123" s="3"/>
      <c r="K123" s="3"/>
      <c r="L123" s="3"/>
    </row>
    <row r="124" spans="1:13">
      <c r="A124" s="3"/>
      <c r="B124" s="2" t="s">
        <v>1655</v>
      </c>
      <c r="G124" s="3"/>
      <c r="H124" s="3"/>
      <c r="I124" s="3"/>
      <c r="J124" s="3"/>
      <c r="K124" s="3"/>
      <c r="L124" s="3"/>
    </row>
    <row r="125" spans="1:13">
      <c r="A125" s="3"/>
      <c r="B125" s="578"/>
      <c r="C125" s="578" t="s">
        <v>1630</v>
      </c>
      <c r="D125" s="458">
        <f>(C109+D108+E107+F106+G105+H104+I103)-(C108+D107+E106+F105+G104+H103)</f>
        <v>4601</v>
      </c>
      <c r="E125" s="575" t="s">
        <v>1631</v>
      </c>
      <c r="F125" s="458">
        <f>D116-D115</f>
        <v>200</v>
      </c>
      <c r="G125" s="575" t="s">
        <v>1630</v>
      </c>
      <c r="H125" s="458">
        <f>D125+F125</f>
        <v>4801</v>
      </c>
      <c r="I125" s="3"/>
      <c r="J125" s="3"/>
      <c r="K125" s="3"/>
      <c r="L125" s="3"/>
    </row>
    <row r="126" spans="1:13">
      <c r="D126" s="458"/>
    </row>
    <row r="128" spans="1:13">
      <c r="M128" s="3"/>
    </row>
    <row r="129" spans="13:13">
      <c r="M129" s="3"/>
    </row>
  </sheetData>
  <mergeCells count="25">
    <mergeCell ref="B32:B33"/>
    <mergeCell ref="C32:I32"/>
    <mergeCell ref="C5:I5"/>
    <mergeCell ref="B6:B7"/>
    <mergeCell ref="C6:I6"/>
    <mergeCell ref="B16:B17"/>
    <mergeCell ref="C16:I16"/>
    <mergeCell ref="B90:B91"/>
    <mergeCell ref="C90:I90"/>
    <mergeCell ref="B43:B44"/>
    <mergeCell ref="C43:I43"/>
    <mergeCell ref="B54:B55"/>
    <mergeCell ref="C54:I54"/>
    <mergeCell ref="D75:E75"/>
    <mergeCell ref="D76:E76"/>
    <mergeCell ref="D77:E77"/>
    <mergeCell ref="D78:E78"/>
    <mergeCell ref="D79:E79"/>
    <mergeCell ref="D80:E80"/>
    <mergeCell ref="D81:E81"/>
    <mergeCell ref="B101:B102"/>
    <mergeCell ref="C101:I101"/>
    <mergeCell ref="B114:D114"/>
    <mergeCell ref="B115:C115"/>
    <mergeCell ref="B116:C116"/>
  </mergeCells>
  <hyperlinks>
    <hyperlink ref="O1" location="TOC!A1" display="Table of Contents" xr:uid="{18CF3D7F-F852-4EBD-AA12-CAAC8EB106E9}"/>
  </hyperlinks>
  <pageMargins left="0.7" right="0.7" top="0.75" bottom="0.75" header="0.3" footer="0.3"/>
  <pageSetup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BBE85-A5B3-43F2-BF19-33F7D604D5B8}">
  <dimension ref="A1:AB71"/>
  <sheetViews>
    <sheetView zoomScaleNormal="100" workbookViewId="0"/>
  </sheetViews>
  <sheetFormatPr defaultColWidth="8.88671875" defaultRowHeight="15.6"/>
  <cols>
    <col min="1" max="1" width="8.88671875" style="2" customWidth="1"/>
    <col min="2" max="3" width="11.77734375" style="2" customWidth="1"/>
    <col min="4" max="4" width="19.5546875" style="2" customWidth="1"/>
    <col min="5" max="5" width="12.33203125" style="2" customWidth="1"/>
    <col min="6" max="6" width="11.6640625" style="2" customWidth="1"/>
    <col min="7" max="7" width="8.88671875" style="2"/>
    <col min="8" max="8" width="8.88671875" style="2" customWidth="1"/>
    <col min="9" max="11" width="8.88671875" style="2"/>
    <col min="12" max="12" width="8.88671875" style="2" customWidth="1"/>
    <col min="13" max="28" width="4" style="2" customWidth="1"/>
    <col min="29" max="16384" width="8.88671875" style="2"/>
  </cols>
  <sheetData>
    <row r="1" spans="1:18" ht="17.399999999999999">
      <c r="A1" s="13" t="s">
        <v>1945</v>
      </c>
      <c r="B1" s="1"/>
      <c r="C1" s="1"/>
      <c r="D1" s="1" t="s">
        <v>216</v>
      </c>
      <c r="E1" s="1"/>
      <c r="F1" s="1"/>
      <c r="G1" s="1"/>
      <c r="H1" s="1"/>
      <c r="I1" s="1"/>
      <c r="J1" s="1"/>
      <c r="K1" s="1"/>
      <c r="L1" s="14"/>
      <c r="O1" s="21" t="s">
        <v>2927</v>
      </c>
      <c r="P1" s="21"/>
    </row>
    <row r="2" spans="1:18">
      <c r="A2" s="1"/>
      <c r="B2" s="1"/>
      <c r="C2" s="1"/>
      <c r="D2" s="1"/>
      <c r="E2" s="1"/>
      <c r="F2" s="1"/>
      <c r="G2" s="1"/>
      <c r="H2" s="1"/>
      <c r="I2" s="1"/>
      <c r="J2" s="1"/>
      <c r="K2" s="1"/>
      <c r="L2" s="14"/>
    </row>
    <row r="3" spans="1:18">
      <c r="A3" s="1" t="s">
        <v>1656</v>
      </c>
      <c r="B3" s="1"/>
      <c r="C3" s="1"/>
      <c r="D3" s="1"/>
      <c r="E3" s="1"/>
      <c r="F3" s="1"/>
      <c r="G3" s="1"/>
      <c r="H3" s="1"/>
      <c r="I3" s="1"/>
      <c r="J3" s="1"/>
      <c r="K3" s="1"/>
      <c r="L3" s="14"/>
    </row>
    <row r="4" spans="1:18">
      <c r="A4" s="43"/>
      <c r="B4" s="204" t="s">
        <v>1657</v>
      </c>
      <c r="C4" s="362"/>
      <c r="D4" s="362"/>
      <c r="E4" s="1"/>
      <c r="F4" s="1"/>
      <c r="G4" s="1"/>
      <c r="H4" s="1"/>
      <c r="I4" s="1"/>
      <c r="J4" s="1"/>
      <c r="K4" s="1"/>
      <c r="L4" s="1"/>
    </row>
    <row r="5" spans="1:18">
      <c r="A5" s="43"/>
      <c r="B5" s="1"/>
      <c r="C5" s="92">
        <v>7500</v>
      </c>
      <c r="D5" s="204" t="s">
        <v>1658</v>
      </c>
      <c r="E5" s="1"/>
      <c r="F5" s="1"/>
      <c r="G5" s="1"/>
      <c r="H5" s="92">
        <v>400</v>
      </c>
      <c r="I5" s="14"/>
      <c r="J5" s="1"/>
      <c r="K5" s="1"/>
      <c r="L5" s="1"/>
    </row>
    <row r="6" spans="1:18">
      <c r="A6" s="43"/>
      <c r="B6" s="1"/>
      <c r="C6" s="92">
        <v>12000</v>
      </c>
      <c r="D6" s="204" t="s">
        <v>1659</v>
      </c>
      <c r="E6" s="1"/>
      <c r="F6" s="1"/>
      <c r="G6" s="1"/>
      <c r="H6" s="92">
        <v>750</v>
      </c>
      <c r="I6" s="14"/>
      <c r="J6" s="1"/>
      <c r="K6" s="1"/>
      <c r="L6" s="1"/>
    </row>
    <row r="7" spans="1:18">
      <c r="A7" s="43"/>
      <c r="B7" s="204" t="s">
        <v>1660</v>
      </c>
      <c r="C7" s="362"/>
      <c r="D7" s="362"/>
      <c r="E7" s="1"/>
      <c r="F7" s="1"/>
      <c r="G7" s="1"/>
      <c r="H7" s="1"/>
      <c r="I7" s="1"/>
      <c r="J7" s="1"/>
      <c r="K7" s="1"/>
      <c r="L7" s="1"/>
    </row>
    <row r="8" spans="1:18">
      <c r="A8" s="43"/>
      <c r="B8" s="204" t="s">
        <v>1661</v>
      </c>
      <c r="C8" s="362"/>
      <c r="D8" s="362"/>
      <c r="E8" s="462">
        <v>0.05</v>
      </c>
      <c r="F8" s="204" t="s">
        <v>1662</v>
      </c>
      <c r="G8" s="1"/>
      <c r="H8" s="1"/>
      <c r="I8" s="1"/>
      <c r="J8" s="1"/>
      <c r="K8" s="1"/>
      <c r="L8" s="1"/>
    </row>
    <row r="9" spans="1:18">
      <c r="A9" s="1"/>
      <c r="B9" s="204" t="s">
        <v>1663</v>
      </c>
      <c r="C9" s="362"/>
      <c r="D9" s="362"/>
      <c r="E9" s="377">
        <v>0.1</v>
      </c>
      <c r="F9" s="204" t="s">
        <v>1664</v>
      </c>
      <c r="G9" s="1"/>
      <c r="H9" s="1"/>
      <c r="I9" s="1"/>
      <c r="J9" s="1"/>
      <c r="K9" s="1"/>
      <c r="L9" s="1"/>
    </row>
    <row r="10" spans="1:18">
      <c r="A10" s="1"/>
      <c r="B10" s="204"/>
      <c r="C10" s="362" t="s">
        <v>1665</v>
      </c>
      <c r="D10" s="362"/>
      <c r="E10" s="646"/>
      <c r="F10" s="204"/>
      <c r="G10" s="1"/>
      <c r="H10" s="1"/>
      <c r="I10" s="1"/>
      <c r="J10" s="1"/>
      <c r="K10" s="1"/>
      <c r="L10" s="1"/>
    </row>
    <row r="11" spans="1:18">
      <c r="A11" s="1"/>
      <c r="B11" s="204" t="s">
        <v>1661</v>
      </c>
      <c r="C11" s="362"/>
      <c r="D11" s="362"/>
      <c r="E11" s="377">
        <v>0.08</v>
      </c>
      <c r="F11" s="204" t="s">
        <v>1666</v>
      </c>
      <c r="G11" s="1"/>
      <c r="H11" s="1"/>
      <c r="I11" s="1"/>
      <c r="J11" s="1"/>
      <c r="K11" s="1"/>
      <c r="L11" s="1"/>
    </row>
    <row r="12" spans="1:18">
      <c r="A12" s="43"/>
      <c r="B12" s="204" t="s">
        <v>1667</v>
      </c>
      <c r="C12" s="362"/>
      <c r="D12" s="362"/>
      <c r="E12" s="1"/>
      <c r="F12" s="1"/>
      <c r="G12" s="1"/>
      <c r="H12" s="1"/>
      <c r="I12" s="1"/>
      <c r="J12" s="1"/>
      <c r="K12" s="1"/>
      <c r="L12" s="1"/>
    </row>
    <row r="13" spans="1:18">
      <c r="A13" s="1"/>
      <c r="B13" s="204" t="s">
        <v>1668</v>
      </c>
      <c r="C13" s="362"/>
      <c r="D13" s="362"/>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1" t="s">
        <v>1669</v>
      </c>
      <c r="C16" s="1"/>
      <c r="D16" s="1"/>
      <c r="E16" s="1"/>
      <c r="F16" s="1"/>
      <c r="G16" s="1"/>
      <c r="H16" s="1"/>
      <c r="I16" s="1"/>
      <c r="J16" s="1"/>
      <c r="K16" s="1"/>
      <c r="L16" s="1"/>
      <c r="M16" s="9"/>
      <c r="N16" s="9"/>
      <c r="O16" s="9"/>
      <c r="P16" s="9"/>
      <c r="Q16" s="9"/>
      <c r="R16" s="9"/>
    </row>
    <row r="17" spans="1:28">
      <c r="A17" s="3"/>
      <c r="B17" s="3"/>
      <c r="C17" s="3"/>
      <c r="D17" s="3"/>
      <c r="E17" s="3"/>
      <c r="F17" s="3"/>
      <c r="G17" s="3"/>
      <c r="H17" s="3"/>
      <c r="I17" s="3"/>
      <c r="J17" s="3"/>
      <c r="K17" s="3"/>
      <c r="L17" s="3"/>
      <c r="M17" s="3"/>
    </row>
    <row r="18" spans="1:28">
      <c r="A18" s="3" t="s">
        <v>20</v>
      </c>
      <c r="B18" s="3"/>
      <c r="C18" s="3"/>
      <c r="D18" s="3"/>
      <c r="E18" s="3"/>
      <c r="F18" s="3"/>
      <c r="G18" s="3"/>
      <c r="H18" s="3"/>
      <c r="I18" s="3"/>
      <c r="J18" s="3"/>
      <c r="K18" s="3"/>
      <c r="L18" s="3"/>
      <c r="M18" s="3"/>
      <c r="N18" s="9"/>
    </row>
    <row r="19" spans="1:28">
      <c r="A19" s="3"/>
      <c r="B19" s="3"/>
      <c r="C19" s="3"/>
      <c r="D19" s="3"/>
      <c r="E19" s="3"/>
      <c r="F19" s="3"/>
      <c r="G19" s="3"/>
      <c r="H19" s="3"/>
      <c r="I19" s="3"/>
      <c r="J19" s="3"/>
      <c r="K19" s="3"/>
      <c r="L19" s="3"/>
      <c r="M19" s="3"/>
      <c r="N19" s="9"/>
    </row>
    <row r="20" spans="1:28">
      <c r="A20" s="3"/>
      <c r="B20" s="3" t="s">
        <v>1670</v>
      </c>
      <c r="C20" s="3"/>
      <c r="D20" s="3"/>
      <c r="E20" s="3"/>
      <c r="F20" s="3"/>
      <c r="G20" s="3"/>
      <c r="H20" s="3"/>
      <c r="I20" s="3"/>
      <c r="J20" s="3"/>
      <c r="K20" s="3"/>
      <c r="L20" s="3"/>
      <c r="M20" s="3"/>
      <c r="N20" s="9"/>
    </row>
    <row r="21" spans="1:28">
      <c r="B21" s="2" t="s">
        <v>1671</v>
      </c>
      <c r="M21" s="9"/>
      <c r="N21" s="9"/>
    </row>
    <row r="23" spans="1:28">
      <c r="A23" s="17" t="s">
        <v>133</v>
      </c>
      <c r="B23" s="1" t="s">
        <v>1672</v>
      </c>
      <c r="C23" s="1"/>
      <c r="D23" s="1"/>
      <c r="E23" s="1"/>
      <c r="F23" s="1"/>
      <c r="G23" s="1"/>
      <c r="H23" s="1"/>
      <c r="I23" s="1"/>
      <c r="J23" s="1"/>
      <c r="K23" s="1"/>
      <c r="L23" s="1"/>
    </row>
    <row r="24" spans="1:28">
      <c r="A24" s="3"/>
      <c r="B24" s="3"/>
      <c r="C24" s="3"/>
      <c r="D24" s="3"/>
      <c r="E24" s="3"/>
      <c r="F24" s="3"/>
      <c r="G24" s="3"/>
      <c r="H24" s="3"/>
      <c r="I24" s="3"/>
      <c r="J24" s="3"/>
      <c r="K24" s="3"/>
      <c r="L24" s="3"/>
    </row>
    <row r="25" spans="1:28" ht="16.2">
      <c r="A25" s="3" t="s">
        <v>20</v>
      </c>
      <c r="B25" s="3"/>
      <c r="C25" s="3"/>
      <c r="D25" s="3"/>
      <c r="E25" s="3"/>
      <c r="F25" s="3"/>
      <c r="G25" s="3"/>
      <c r="H25" s="3"/>
      <c r="I25" s="3"/>
      <c r="J25" s="3"/>
      <c r="K25" s="3"/>
      <c r="L25" s="114" t="s">
        <v>189</v>
      </c>
    </row>
    <row r="26" spans="1:28">
      <c r="A26" s="3"/>
      <c r="B26" s="3"/>
      <c r="C26" s="3"/>
      <c r="D26" s="3"/>
      <c r="E26" s="3"/>
      <c r="F26" s="3"/>
      <c r="G26" s="3"/>
      <c r="H26" s="3"/>
      <c r="I26" s="3"/>
      <c r="J26" s="3"/>
      <c r="K26" s="3"/>
      <c r="L26" s="3"/>
      <c r="M26" s="923">
        <v>2019</v>
      </c>
      <c r="N26" s="923"/>
      <c r="O26" s="923"/>
      <c r="P26" s="923"/>
      <c r="Q26" s="923">
        <f>M26+1</f>
        <v>2020</v>
      </c>
      <c r="R26" s="923"/>
      <c r="S26" s="923"/>
      <c r="T26" s="923"/>
      <c r="U26" s="923">
        <f>Q26+1</f>
        <v>2021</v>
      </c>
      <c r="V26" s="923"/>
      <c r="W26" s="923"/>
      <c r="X26" s="923"/>
      <c r="Y26" s="923">
        <f>U26+1</f>
        <v>2022</v>
      </c>
      <c r="Z26" s="923"/>
      <c r="AA26" s="923"/>
      <c r="AB26" s="923"/>
    </row>
    <row r="27" spans="1:28" ht="22.2" customHeight="1">
      <c r="A27" s="3"/>
      <c r="B27" s="2" t="s">
        <v>1673</v>
      </c>
      <c r="F27" s="3"/>
      <c r="G27" s="3"/>
      <c r="H27" s="3"/>
      <c r="I27" s="3"/>
      <c r="J27" s="3"/>
      <c r="K27" s="3"/>
      <c r="L27" s="3"/>
      <c r="M27" s="535"/>
      <c r="N27" s="536"/>
      <c r="O27" s="536"/>
      <c r="P27" s="537"/>
      <c r="Q27" s="535"/>
      <c r="R27" s="535" t="s">
        <v>192</v>
      </c>
      <c r="S27" s="536"/>
      <c r="T27" s="537"/>
      <c r="U27" s="535"/>
      <c r="V27" s="536"/>
      <c r="W27" s="536"/>
      <c r="X27" s="537"/>
      <c r="Y27" s="535"/>
      <c r="Z27" s="536"/>
      <c r="AA27" s="536"/>
      <c r="AB27" s="537"/>
    </row>
    <row r="28" spans="1:28" ht="22.2" customHeight="1">
      <c r="A28" s="3"/>
      <c r="B28" s="60" t="s">
        <v>1674</v>
      </c>
      <c r="C28" s="18"/>
      <c r="D28" s="18"/>
      <c r="E28" s="11">
        <f>C5*H5</f>
        <v>3000000</v>
      </c>
      <c r="F28" s="3"/>
      <c r="G28" s="3"/>
      <c r="H28" s="3"/>
      <c r="I28" s="3"/>
      <c r="J28" s="3"/>
      <c r="K28" s="3"/>
      <c r="L28" s="3"/>
      <c r="M28" s="538"/>
      <c r="N28" s="9"/>
      <c r="O28" s="9"/>
      <c r="P28" s="539"/>
      <c r="Q28" s="538" t="s">
        <v>190</v>
      </c>
      <c r="R28" s="538"/>
      <c r="S28" s="9"/>
      <c r="T28" s="539"/>
      <c r="U28" s="538"/>
      <c r="V28" s="9"/>
      <c r="W28" s="9"/>
      <c r="X28" s="539"/>
      <c r="Y28" s="538"/>
      <c r="Z28" s="9"/>
      <c r="AA28" s="9"/>
      <c r="AB28" s="539"/>
    </row>
    <row r="29" spans="1:28" ht="22.2" customHeight="1">
      <c r="A29" s="3"/>
      <c r="B29" s="60" t="s">
        <v>1675</v>
      </c>
      <c r="C29" s="18"/>
      <c r="D29" s="18"/>
      <c r="E29" s="11">
        <f>E28*2</f>
        <v>6000000</v>
      </c>
      <c r="F29" s="3"/>
      <c r="G29" s="3"/>
      <c r="H29" s="3"/>
      <c r="I29" s="3"/>
      <c r="J29" s="3"/>
      <c r="K29" s="3"/>
      <c r="L29" s="3"/>
      <c r="M29" s="538"/>
      <c r="N29" s="9"/>
      <c r="O29" s="9"/>
      <c r="P29" s="539"/>
      <c r="Q29" s="538"/>
      <c r="R29" s="538"/>
      <c r="S29" s="9" t="s">
        <v>250</v>
      </c>
      <c r="T29" s="539"/>
      <c r="U29" s="538"/>
      <c r="V29" s="9"/>
      <c r="W29" s="9"/>
      <c r="X29" s="539"/>
      <c r="Y29" s="538"/>
      <c r="Z29" s="9"/>
      <c r="AA29" s="9"/>
      <c r="AB29" s="539"/>
    </row>
    <row r="30" spans="1:28" ht="22.2" customHeight="1">
      <c r="A30" s="3"/>
      <c r="B30" s="3"/>
      <c r="C30" s="3"/>
      <c r="D30" s="3"/>
      <c r="E30" s="3"/>
      <c r="F30" s="3"/>
      <c r="G30" s="3"/>
      <c r="H30" s="3"/>
      <c r="I30" s="3"/>
      <c r="J30" s="3"/>
      <c r="K30" s="3"/>
      <c r="L30" s="3"/>
      <c r="M30" s="540"/>
      <c r="N30" s="541"/>
      <c r="O30" s="541"/>
      <c r="P30" s="542"/>
      <c r="Q30" s="540" t="s">
        <v>1676</v>
      </c>
      <c r="R30" s="540"/>
      <c r="S30" s="541"/>
      <c r="T30" s="542"/>
      <c r="U30" s="540"/>
      <c r="V30" s="541"/>
      <c r="W30" s="541"/>
      <c r="X30" s="542"/>
      <c r="Y30" s="540"/>
      <c r="Z30" s="541"/>
      <c r="AA30" s="541"/>
      <c r="AB30" s="542"/>
    </row>
    <row r="31" spans="1:28">
      <c r="A31" s="3"/>
      <c r="B31" s="3"/>
      <c r="C31" s="3"/>
      <c r="D31" s="3"/>
      <c r="E31" s="3"/>
      <c r="F31" s="3"/>
      <c r="G31" s="3"/>
      <c r="H31" s="3"/>
      <c r="I31" s="3"/>
      <c r="J31" s="3"/>
      <c r="K31" s="3"/>
      <c r="L31" s="3"/>
      <c r="P31" s="579" t="s">
        <v>1677</v>
      </c>
      <c r="R31" s="60" t="s">
        <v>1305</v>
      </c>
      <c r="V31" s="60" t="s">
        <v>1678</v>
      </c>
    </row>
    <row r="32" spans="1:28" ht="46.8">
      <c r="A32" s="3"/>
      <c r="B32" s="107" t="s">
        <v>1679</v>
      </c>
      <c r="C32" s="93" t="s">
        <v>1298</v>
      </c>
      <c r="D32" s="93" t="s">
        <v>1680</v>
      </c>
      <c r="E32" s="3"/>
      <c r="F32" s="3"/>
      <c r="G32" s="3"/>
      <c r="H32" s="3"/>
      <c r="I32" s="3"/>
      <c r="J32" s="3"/>
      <c r="K32" s="3"/>
      <c r="L32" s="3"/>
    </row>
    <row r="33" spans="1:28">
      <c r="A33" s="3"/>
      <c r="B33" s="443" t="s">
        <v>190</v>
      </c>
      <c r="C33" s="126">
        <v>1</v>
      </c>
      <c r="D33" s="580">
        <f>3/12-D34</f>
        <v>0.1875</v>
      </c>
      <c r="E33" s="3"/>
      <c r="F33" s="3"/>
      <c r="G33" s="3"/>
      <c r="H33" s="3"/>
      <c r="I33" s="3"/>
      <c r="J33" s="3"/>
      <c r="K33" s="3"/>
      <c r="L33" s="3"/>
    </row>
    <row r="34" spans="1:28">
      <c r="A34" s="3"/>
      <c r="B34" s="581" t="s">
        <v>191</v>
      </c>
      <c r="C34" s="126">
        <f>1+E8</f>
        <v>1.05</v>
      </c>
      <c r="D34" s="580">
        <f>0.5*3/12*0.5</f>
        <v>6.25E-2</v>
      </c>
      <c r="E34" s="3"/>
      <c r="F34" s="3"/>
      <c r="G34" s="3"/>
      <c r="H34" s="3"/>
      <c r="I34" s="3"/>
      <c r="J34" s="3"/>
      <c r="K34" s="3"/>
      <c r="L34" s="3"/>
    </row>
    <row r="35" spans="1:28">
      <c r="A35" s="3"/>
      <c r="B35" s="581" t="s">
        <v>192</v>
      </c>
      <c r="C35" s="126">
        <f>1-E9</f>
        <v>0.9</v>
      </c>
      <c r="D35" s="580">
        <f>D34</f>
        <v>6.25E-2</v>
      </c>
      <c r="E35" s="3"/>
      <c r="F35" s="3"/>
      <c r="G35" s="3"/>
      <c r="H35" s="3"/>
      <c r="I35" s="3"/>
      <c r="J35" s="3"/>
      <c r="K35" s="3"/>
      <c r="L35" s="3"/>
    </row>
    <row r="36" spans="1:28">
      <c r="A36" s="3"/>
      <c r="B36" s="581" t="s">
        <v>250</v>
      </c>
      <c r="C36" s="126">
        <f>C34*C35</f>
        <v>0.94500000000000006</v>
      </c>
      <c r="D36" s="580">
        <f>1-SUM(D33:D35)</f>
        <v>0.6875</v>
      </c>
      <c r="E36" s="3"/>
      <c r="F36" s="3"/>
      <c r="G36" s="3"/>
      <c r="H36" s="3"/>
      <c r="I36" s="3"/>
      <c r="J36" s="3"/>
      <c r="K36" s="3"/>
      <c r="L36" s="3"/>
    </row>
    <row r="37" spans="1:28">
      <c r="B37" s="582" t="s">
        <v>251</v>
      </c>
      <c r="C37" s="129">
        <f>C36*(1+E11)</f>
        <v>1.0206000000000002</v>
      </c>
      <c r="D37" s="583"/>
      <c r="M37" s="3"/>
    </row>
    <row r="38" spans="1:28">
      <c r="B38" s="449" t="s">
        <v>1681</v>
      </c>
      <c r="C38" s="3"/>
      <c r="D38" s="105">
        <f>SUMPRODUCT(C33:C37,D33:D37)</f>
        <v>0.95906250000000015</v>
      </c>
      <c r="M38" s="3"/>
    </row>
    <row r="39" spans="1:28">
      <c r="B39" s="449" t="s">
        <v>1302</v>
      </c>
      <c r="C39" s="3"/>
      <c r="D39" s="105">
        <f>C37/D38</f>
        <v>1.0641642228739003</v>
      </c>
      <c r="M39" s="3"/>
    </row>
    <row r="40" spans="1:28">
      <c r="B40" s="449" t="s">
        <v>1682</v>
      </c>
      <c r="C40" s="3"/>
      <c r="D40" s="106">
        <f>D39*E29</f>
        <v>6384985.3372434024</v>
      </c>
      <c r="M40" s="3"/>
    </row>
    <row r="41" spans="1:28">
      <c r="M41" s="3"/>
    </row>
    <row r="42" spans="1:28">
      <c r="A42" s="3"/>
      <c r="B42" s="3"/>
      <c r="C42" s="3"/>
      <c r="D42" s="3"/>
      <c r="E42" s="3"/>
      <c r="F42" s="3"/>
      <c r="G42" s="3"/>
      <c r="H42" s="3"/>
      <c r="I42" s="3"/>
      <c r="J42" s="3"/>
      <c r="K42" s="3"/>
      <c r="L42" s="3"/>
      <c r="M42" s="918">
        <v>2019</v>
      </c>
      <c r="N42" s="918"/>
      <c r="O42" s="918"/>
      <c r="P42" s="918"/>
      <c r="Q42" s="918">
        <f>M42+1</f>
        <v>2020</v>
      </c>
      <c r="R42" s="918"/>
      <c r="S42" s="918"/>
      <c r="T42" s="918"/>
      <c r="U42" s="918">
        <f>Q42+1</f>
        <v>2021</v>
      </c>
      <c r="V42" s="918"/>
      <c r="W42" s="918"/>
      <c r="X42" s="918"/>
      <c r="Y42" s="918">
        <f>U42+1</f>
        <v>2022</v>
      </c>
      <c r="Z42" s="918"/>
      <c r="AA42" s="918"/>
      <c r="AB42" s="918"/>
    </row>
    <row r="43" spans="1:28" ht="22.2" customHeight="1">
      <c r="A43" s="3"/>
      <c r="B43" s="3" t="s">
        <v>1683</v>
      </c>
      <c r="C43" s="3"/>
      <c r="D43" s="3"/>
      <c r="E43" s="3"/>
      <c r="F43" s="3"/>
      <c r="G43" s="3"/>
      <c r="H43" s="3"/>
      <c r="I43" s="3"/>
      <c r="J43" s="3"/>
      <c r="K43" s="3"/>
      <c r="L43" s="3"/>
      <c r="M43" s="535"/>
      <c r="N43" s="536"/>
      <c r="O43" s="536"/>
      <c r="P43" s="537"/>
      <c r="Q43" s="535"/>
      <c r="R43" s="535" t="s">
        <v>192</v>
      </c>
      <c r="S43" s="536"/>
      <c r="T43" s="537"/>
      <c r="U43" s="535"/>
      <c r="V43" s="536"/>
      <c r="W43" s="536"/>
      <c r="X43" s="537"/>
      <c r="Y43" s="535"/>
      <c r="Z43" s="536"/>
      <c r="AA43" s="536"/>
      <c r="AB43" s="537"/>
    </row>
    <row r="44" spans="1:28" ht="22.2" customHeight="1">
      <c r="A44" s="3"/>
      <c r="B44" s="100" t="s">
        <v>1674</v>
      </c>
      <c r="C44" s="62"/>
      <c r="D44" s="62"/>
      <c r="E44" s="12">
        <f>C6*H6</f>
        <v>9000000</v>
      </c>
      <c r="F44" s="3"/>
      <c r="G44" s="3"/>
      <c r="H44" s="3"/>
      <c r="I44" s="3"/>
      <c r="J44" s="3"/>
      <c r="K44" s="3"/>
      <c r="L44" s="3"/>
      <c r="M44" s="538"/>
      <c r="N44" s="9"/>
      <c r="O44" s="9"/>
      <c r="P44" s="539"/>
      <c r="Q44" s="538" t="s">
        <v>190</v>
      </c>
      <c r="R44" s="538"/>
      <c r="S44" s="9"/>
      <c r="T44" s="539"/>
      <c r="U44" s="538"/>
      <c r="V44" s="9"/>
      <c r="W44" s="9"/>
      <c r="X44" s="539"/>
      <c r="Y44" s="538"/>
      <c r="Z44" s="9"/>
      <c r="AA44" s="9"/>
      <c r="AB44" s="539"/>
    </row>
    <row r="45" spans="1:28" ht="22.2" customHeight="1">
      <c r="A45" s="3"/>
      <c r="B45" s="60"/>
      <c r="C45" s="18"/>
      <c r="D45" s="18"/>
      <c r="E45" s="11"/>
      <c r="F45" s="3"/>
      <c r="G45" s="3"/>
      <c r="H45" s="3"/>
      <c r="I45" s="3"/>
      <c r="J45" s="3"/>
      <c r="K45" s="3"/>
      <c r="L45" s="3"/>
      <c r="M45" s="538"/>
      <c r="N45" s="9"/>
      <c r="O45" s="9"/>
      <c r="P45" s="539"/>
      <c r="Q45" s="538"/>
      <c r="R45" s="538"/>
      <c r="S45" s="9" t="s">
        <v>250</v>
      </c>
      <c r="T45" s="539"/>
      <c r="U45" s="538"/>
      <c r="V45" s="9"/>
      <c r="W45" s="9"/>
      <c r="X45" s="539"/>
      <c r="Y45" s="538"/>
      <c r="Z45" s="9"/>
      <c r="AA45" s="9"/>
      <c r="AB45" s="539"/>
    </row>
    <row r="46" spans="1:28" ht="22.2" customHeight="1">
      <c r="A46" s="3"/>
      <c r="B46" s="3"/>
      <c r="C46" s="3"/>
      <c r="D46" s="3"/>
      <c r="E46" s="3"/>
      <c r="F46" s="3"/>
      <c r="G46" s="3"/>
      <c r="H46" s="3"/>
      <c r="I46" s="3"/>
      <c r="J46" s="3"/>
      <c r="K46" s="3"/>
      <c r="L46" s="3"/>
      <c r="M46" s="540"/>
      <c r="N46" s="541"/>
      <c r="O46" s="541"/>
      <c r="P46" s="542"/>
      <c r="Q46" s="540" t="s">
        <v>1676</v>
      </c>
      <c r="R46" s="540"/>
      <c r="S46" s="541"/>
      <c r="T46" s="542"/>
      <c r="U46" s="540"/>
      <c r="V46" s="541"/>
      <c r="W46" s="541"/>
      <c r="X46" s="542"/>
      <c r="Y46" s="540"/>
      <c r="Z46" s="541"/>
      <c r="AA46" s="541"/>
      <c r="AB46" s="542"/>
    </row>
    <row r="47" spans="1:28">
      <c r="A47" s="3"/>
      <c r="B47" s="3"/>
      <c r="C47" s="3"/>
      <c r="D47" s="3"/>
      <c r="E47" s="3"/>
      <c r="F47" s="3"/>
      <c r="G47" s="3"/>
      <c r="H47" s="3"/>
      <c r="I47" s="3"/>
      <c r="J47" s="3"/>
      <c r="K47" s="3"/>
      <c r="L47" s="3"/>
      <c r="P47" s="579" t="s">
        <v>1677</v>
      </c>
      <c r="R47" s="60" t="s">
        <v>1305</v>
      </c>
      <c r="V47" s="60" t="s">
        <v>1678</v>
      </c>
    </row>
    <row r="48" spans="1:28" ht="46.8">
      <c r="B48" s="107" t="s">
        <v>1679</v>
      </c>
      <c r="C48" s="93" t="s">
        <v>1298</v>
      </c>
      <c r="D48" s="93" t="s">
        <v>1680</v>
      </c>
      <c r="E48" s="3"/>
      <c r="F48" s="3"/>
      <c r="G48" s="3"/>
      <c r="H48" s="3"/>
      <c r="M48" s="3"/>
    </row>
    <row r="49" spans="1:13">
      <c r="B49" s="443" t="s">
        <v>190</v>
      </c>
      <c r="C49" s="126">
        <f>C33</f>
        <v>1</v>
      </c>
      <c r="D49" s="580">
        <f>3/12-D50</f>
        <v>0.21875</v>
      </c>
      <c r="E49" s="3"/>
      <c r="F49" s="3"/>
      <c r="G49" s="3"/>
      <c r="H49" s="3"/>
      <c r="M49" s="3"/>
    </row>
    <row r="50" spans="1:13">
      <c r="B50" s="581" t="s">
        <v>191</v>
      </c>
      <c r="C50" s="126">
        <f t="shared" ref="C50:C53" si="0">C34</f>
        <v>1.05</v>
      </c>
      <c r="D50" s="580">
        <f>0.5*0.25*0.25</f>
        <v>3.125E-2</v>
      </c>
      <c r="E50" s="3"/>
      <c r="F50" s="3"/>
      <c r="G50" s="3"/>
      <c r="H50" s="3"/>
      <c r="M50" s="3"/>
    </row>
    <row r="51" spans="1:13">
      <c r="B51" s="581" t="s">
        <v>192</v>
      </c>
      <c r="C51" s="126">
        <f t="shared" si="0"/>
        <v>0.9</v>
      </c>
      <c r="D51" s="580">
        <f>0.5*0.75*0.75</f>
        <v>0.28125</v>
      </c>
      <c r="E51" s="3"/>
      <c r="F51" s="3"/>
      <c r="G51" s="3"/>
      <c r="H51" s="3"/>
      <c r="M51" s="3"/>
    </row>
    <row r="52" spans="1:13">
      <c r="B52" s="581" t="s">
        <v>250</v>
      </c>
      <c r="C52" s="126">
        <f t="shared" si="0"/>
        <v>0.94500000000000006</v>
      </c>
      <c r="D52" s="580">
        <f>1-SUM(D49:D51)</f>
        <v>0.46875</v>
      </c>
      <c r="E52" s="3"/>
      <c r="F52" s="3"/>
      <c r="G52" s="3"/>
      <c r="H52" s="3"/>
      <c r="M52" s="3"/>
    </row>
    <row r="53" spans="1:13">
      <c r="B53" s="582" t="s">
        <v>251</v>
      </c>
      <c r="C53" s="129">
        <f t="shared" si="0"/>
        <v>1.0206000000000002</v>
      </c>
      <c r="D53" s="583"/>
      <c r="E53" s="3"/>
      <c r="F53" s="3"/>
      <c r="G53" s="3"/>
      <c r="H53" s="3"/>
      <c r="M53" s="3"/>
    </row>
    <row r="54" spans="1:13">
      <c r="B54" s="449" t="s">
        <v>1681</v>
      </c>
      <c r="C54" s="3"/>
      <c r="D54" s="105">
        <f>SUMPRODUCT(C49:C53,D49:D53)</f>
        <v>0.94765624999999998</v>
      </c>
      <c r="F54" s="3"/>
      <c r="G54" s="3"/>
      <c r="H54" s="3"/>
    </row>
    <row r="55" spans="1:13">
      <c r="B55" s="449" t="s">
        <v>1302</v>
      </c>
      <c r="C55" s="3"/>
      <c r="D55" s="105">
        <f>C53/D54</f>
        <v>1.0769727947238255</v>
      </c>
      <c r="F55" s="3"/>
      <c r="G55" s="3"/>
      <c r="H55" s="3"/>
    </row>
    <row r="56" spans="1:13">
      <c r="B56" s="449" t="s">
        <v>1682</v>
      </c>
      <c r="C56" s="3"/>
      <c r="D56" s="106">
        <f>D55*E44</f>
        <v>9692755.1525144298</v>
      </c>
      <c r="F56" s="3"/>
      <c r="G56" s="3"/>
      <c r="H56" s="3"/>
    </row>
    <row r="57" spans="1:13">
      <c r="A57" s="3"/>
      <c r="B57" s="3"/>
      <c r="C57" s="3"/>
      <c r="D57" s="3"/>
      <c r="E57" s="3"/>
      <c r="F57" s="3"/>
      <c r="G57" s="3"/>
      <c r="H57" s="3"/>
    </row>
    <row r="58" spans="1:13">
      <c r="A58" s="3"/>
      <c r="B58" s="3" t="s">
        <v>1684</v>
      </c>
      <c r="C58" s="3"/>
      <c r="D58" s="62"/>
      <c r="E58" s="62"/>
      <c r="F58" s="106">
        <f>D56+D40</f>
        <v>16077740.489757832</v>
      </c>
      <c r="G58" s="3"/>
    </row>
    <row r="61" spans="1:13">
      <c r="A61" s="17" t="s">
        <v>18</v>
      </c>
      <c r="B61" s="831" t="s">
        <v>1685</v>
      </c>
      <c r="C61" s="831"/>
      <c r="D61" s="831"/>
      <c r="E61" s="831"/>
      <c r="F61" s="831"/>
      <c r="G61" s="831"/>
      <c r="H61" s="831"/>
      <c r="I61" s="831"/>
      <c r="J61" s="831"/>
      <c r="K61" s="831"/>
      <c r="L61" s="831"/>
    </row>
    <row r="62" spans="1:13">
      <c r="A62" s="14"/>
      <c r="B62" s="831"/>
      <c r="C62" s="831"/>
      <c r="D62" s="831"/>
      <c r="E62" s="831"/>
      <c r="F62" s="831"/>
      <c r="G62" s="831"/>
      <c r="H62" s="831"/>
      <c r="I62" s="831"/>
      <c r="J62" s="831"/>
      <c r="K62" s="831"/>
      <c r="L62" s="831"/>
    </row>
    <row r="63" spans="1:13">
      <c r="A63" s="3"/>
      <c r="B63" s="3"/>
      <c r="C63" s="3"/>
      <c r="D63" s="3"/>
      <c r="E63" s="3"/>
      <c r="F63" s="3"/>
      <c r="G63" s="3"/>
      <c r="H63" s="3"/>
      <c r="I63" s="3"/>
      <c r="J63" s="3"/>
      <c r="K63" s="3"/>
      <c r="L63" s="3"/>
    </row>
    <row r="64" spans="1:13">
      <c r="A64" s="3" t="s">
        <v>20</v>
      </c>
      <c r="B64" s="3"/>
      <c r="C64" s="3"/>
      <c r="D64" s="3"/>
      <c r="E64" s="3"/>
      <c r="F64" s="3"/>
      <c r="G64" s="3"/>
      <c r="H64" s="3"/>
      <c r="I64" s="3"/>
      <c r="J64" s="3"/>
      <c r="K64" s="3"/>
      <c r="L64" s="3"/>
    </row>
    <row r="65" spans="1:14">
      <c r="A65" s="3"/>
      <c r="B65" s="3" t="s">
        <v>775</v>
      </c>
      <c r="C65" s="3"/>
      <c r="D65" s="3"/>
      <c r="E65" s="3"/>
      <c r="F65" s="3"/>
      <c r="G65" s="3"/>
      <c r="H65" s="3"/>
      <c r="I65" s="3"/>
      <c r="J65" s="3"/>
      <c r="K65" s="3"/>
      <c r="L65" s="3"/>
    </row>
    <row r="66" spans="1:14">
      <c r="A66" s="3"/>
      <c r="B66" s="100" t="s">
        <v>1686</v>
      </c>
      <c r="C66" s="3"/>
      <c r="D66" s="3"/>
      <c r="E66" s="3"/>
      <c r="F66" s="3"/>
      <c r="G66" s="3"/>
      <c r="H66" s="3"/>
      <c r="I66" s="3"/>
      <c r="J66" s="3"/>
      <c r="K66" s="3"/>
      <c r="L66" s="3"/>
    </row>
    <row r="67" spans="1:14">
      <c r="B67" s="60" t="s">
        <v>1687</v>
      </c>
    </row>
    <row r="68" spans="1:14">
      <c r="B68" s="60" t="s">
        <v>1688</v>
      </c>
    </row>
    <row r="69" spans="1:14">
      <c r="B69" s="60" t="s">
        <v>1689</v>
      </c>
      <c r="M69" s="3"/>
      <c r="N69" s="3"/>
    </row>
    <row r="70" spans="1:14">
      <c r="B70" s="60" t="s">
        <v>1690</v>
      </c>
      <c r="M70" s="3"/>
      <c r="N70" s="3"/>
    </row>
    <row r="71" spans="1:14">
      <c r="B71" s="60" t="s">
        <v>1691</v>
      </c>
      <c r="M71" s="3"/>
      <c r="N71" s="3"/>
    </row>
  </sheetData>
  <mergeCells count="9">
    <mergeCell ref="B61:L62"/>
    <mergeCell ref="M26:P26"/>
    <mergeCell ref="Q26:T26"/>
    <mergeCell ref="U26:X26"/>
    <mergeCell ref="Y26:AB26"/>
    <mergeCell ref="M42:P42"/>
    <mergeCell ref="Q42:T42"/>
    <mergeCell ref="U42:X42"/>
    <mergeCell ref="Y42:AB42"/>
  </mergeCells>
  <hyperlinks>
    <hyperlink ref="O1" location="TOC!A1" display="Table of Contents" xr:uid="{5E9BF206-B102-4292-BAAD-ADA65F35878C}"/>
  </hyperlinks>
  <pageMargins left="0.7" right="0.7" top="0.75" bottom="0.75" header="0.3" footer="0.3"/>
  <pageSetup orientation="portrait" verticalDpi="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2BA8-E068-4B78-9C7E-9523B1848CF3}">
  <dimension ref="A1:R115"/>
  <sheetViews>
    <sheetView zoomScaleNormal="100" workbookViewId="0"/>
  </sheetViews>
  <sheetFormatPr defaultColWidth="8.88671875" defaultRowHeight="15.6"/>
  <cols>
    <col min="1" max="1" width="8.88671875" style="2" customWidth="1"/>
    <col min="2" max="8" width="14.6640625" style="2" customWidth="1"/>
    <col min="9" max="16384" width="8.88671875" style="2"/>
  </cols>
  <sheetData>
    <row r="1" spans="1:15" ht="17.399999999999999">
      <c r="A1" s="13" t="s">
        <v>1946</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1692</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8" spans="1:15">
      <c r="A8" s="15" t="s">
        <v>11</v>
      </c>
      <c r="B8" s="14"/>
      <c r="C8" s="14"/>
      <c r="D8" s="14"/>
      <c r="E8" s="14"/>
      <c r="F8" s="14"/>
      <c r="G8" s="14"/>
      <c r="H8" s="14"/>
      <c r="I8" s="14"/>
      <c r="J8" s="14"/>
      <c r="K8" s="14"/>
      <c r="L8" s="14"/>
    </row>
    <row r="9" spans="1:15">
      <c r="A9" s="3"/>
      <c r="B9" s="3"/>
      <c r="C9" s="3"/>
      <c r="D9" s="3"/>
      <c r="E9" s="3"/>
      <c r="F9" s="3"/>
      <c r="G9" s="3"/>
      <c r="H9" s="3"/>
      <c r="I9" s="3"/>
      <c r="J9" s="3"/>
      <c r="K9" s="3"/>
      <c r="L9" s="3"/>
    </row>
    <row r="10" spans="1:15">
      <c r="A10" s="56"/>
      <c r="B10" s="56"/>
      <c r="C10" s="56"/>
      <c r="D10" s="56"/>
      <c r="E10" s="56"/>
      <c r="F10" s="56"/>
      <c r="G10" s="56"/>
      <c r="H10" s="56"/>
      <c r="I10" s="56"/>
      <c r="J10" s="56"/>
      <c r="K10" s="56"/>
      <c r="L10" s="56"/>
    </row>
    <row r="11" spans="1:15">
      <c r="A11" s="1" t="s">
        <v>1693</v>
      </c>
      <c r="B11" s="56"/>
      <c r="C11" s="56"/>
      <c r="D11" s="56"/>
      <c r="E11" s="56"/>
      <c r="F11" s="56"/>
      <c r="G11" s="56"/>
      <c r="H11" s="56"/>
      <c r="I11" s="56"/>
      <c r="J11" s="56"/>
      <c r="K11" s="56"/>
      <c r="L11" s="56"/>
    </row>
    <row r="12" spans="1:15">
      <c r="A12" s="56"/>
      <c r="B12" s="56"/>
      <c r="C12" s="56"/>
      <c r="D12" s="56"/>
      <c r="E12" s="56"/>
      <c r="F12" s="56"/>
      <c r="G12" s="56"/>
      <c r="H12" s="56"/>
      <c r="I12" s="56"/>
      <c r="J12" s="56"/>
      <c r="K12" s="56"/>
      <c r="L12" s="56"/>
    </row>
    <row r="13" spans="1:15">
      <c r="A13" s="56"/>
      <c r="B13" s="164" t="s">
        <v>53</v>
      </c>
      <c r="C13" s="841" t="s">
        <v>59</v>
      </c>
      <c r="D13" s="841"/>
      <c r="E13" s="841"/>
      <c r="F13" s="841"/>
      <c r="G13" s="841"/>
      <c r="H13" s="841"/>
      <c r="I13" s="56"/>
      <c r="J13" s="56"/>
      <c r="K13" s="56"/>
      <c r="L13" s="56"/>
    </row>
    <row r="14" spans="1:15">
      <c r="A14" s="56"/>
      <c r="B14" s="165" t="s">
        <v>55</v>
      </c>
      <c r="C14" s="27">
        <v>12</v>
      </c>
      <c r="D14" s="27">
        <v>24</v>
      </c>
      <c r="E14" s="27">
        <v>36</v>
      </c>
      <c r="F14" s="27">
        <v>48</v>
      </c>
      <c r="G14" s="27">
        <v>60</v>
      </c>
      <c r="H14" s="27">
        <v>72</v>
      </c>
      <c r="I14" s="56"/>
      <c r="J14" s="56"/>
      <c r="K14" s="56"/>
      <c r="L14" s="56"/>
    </row>
    <row r="15" spans="1:15">
      <c r="A15" s="56"/>
      <c r="B15" s="32">
        <v>2017</v>
      </c>
      <c r="C15" s="92">
        <v>2147785</v>
      </c>
      <c r="D15" s="92">
        <v>3025674</v>
      </c>
      <c r="E15" s="92">
        <v>3620901</v>
      </c>
      <c r="F15" s="92">
        <v>4136684</v>
      </c>
      <c r="G15" s="92">
        <v>4362359</v>
      </c>
      <c r="H15" s="92">
        <v>4382594</v>
      </c>
      <c r="I15" s="56"/>
      <c r="J15" s="56"/>
      <c r="K15" s="56"/>
      <c r="L15" s="56"/>
    </row>
    <row r="16" spans="1:15">
      <c r="A16" s="56"/>
      <c r="B16" s="32">
        <v>2018</v>
      </c>
      <c r="C16" s="92">
        <v>2219814</v>
      </c>
      <c r="D16" s="92">
        <v>3071925</v>
      </c>
      <c r="E16" s="92">
        <v>3876926</v>
      </c>
      <c r="F16" s="92">
        <v>4331668</v>
      </c>
      <c r="G16" s="92">
        <v>4596920</v>
      </c>
      <c r="H16" s="340"/>
      <c r="I16" s="56"/>
      <c r="J16" s="56"/>
      <c r="K16" s="56"/>
      <c r="L16" s="56"/>
    </row>
    <row r="17" spans="1:12">
      <c r="A17" s="56"/>
      <c r="B17" s="32">
        <v>2019</v>
      </c>
      <c r="C17" s="92">
        <v>2342602</v>
      </c>
      <c r="D17" s="92">
        <v>4154013</v>
      </c>
      <c r="E17" s="92">
        <v>4922135</v>
      </c>
      <c r="F17" s="92">
        <v>5074225</v>
      </c>
      <c r="G17" s="340"/>
      <c r="H17" s="340"/>
      <c r="I17" s="56"/>
      <c r="J17" s="56"/>
      <c r="K17" s="56"/>
      <c r="L17" s="56"/>
    </row>
    <row r="18" spans="1:12">
      <c r="A18" s="56"/>
      <c r="B18" s="32">
        <v>2020</v>
      </c>
      <c r="C18" s="92">
        <v>2591328</v>
      </c>
      <c r="D18" s="92">
        <v>3398123</v>
      </c>
      <c r="E18" s="92">
        <v>4339405</v>
      </c>
      <c r="F18" s="340"/>
      <c r="G18" s="340"/>
      <c r="H18" s="340"/>
      <c r="I18" s="56"/>
      <c r="J18" s="56"/>
      <c r="K18" s="56"/>
      <c r="L18" s="56"/>
    </row>
    <row r="19" spans="1:12">
      <c r="A19" s="56"/>
      <c r="B19" s="32">
        <v>2021</v>
      </c>
      <c r="C19" s="92">
        <v>2582962</v>
      </c>
      <c r="D19" s="92">
        <v>3768518</v>
      </c>
      <c r="E19" s="340"/>
      <c r="F19" s="340"/>
      <c r="G19" s="340"/>
      <c r="H19" s="340"/>
      <c r="I19" s="56"/>
      <c r="J19" s="56"/>
      <c r="K19" s="56"/>
      <c r="L19" s="56"/>
    </row>
    <row r="20" spans="1:12">
      <c r="A20" s="56"/>
      <c r="B20" s="32">
        <v>2022</v>
      </c>
      <c r="C20" s="92">
        <v>2735738</v>
      </c>
      <c r="D20" s="340"/>
      <c r="E20" s="340"/>
      <c r="F20" s="340"/>
      <c r="G20" s="340"/>
      <c r="H20" s="340"/>
      <c r="I20" s="56"/>
      <c r="J20" s="56"/>
      <c r="K20" s="56"/>
      <c r="L20" s="56"/>
    </row>
    <row r="21" spans="1:12">
      <c r="A21" s="56"/>
      <c r="B21" s="56"/>
      <c r="C21" s="56"/>
      <c r="D21" s="56"/>
      <c r="E21" s="56"/>
      <c r="F21" s="56"/>
      <c r="G21" s="56"/>
      <c r="H21" s="56"/>
      <c r="I21" s="56"/>
      <c r="J21" s="56"/>
      <c r="K21" s="56"/>
      <c r="L21" s="56"/>
    </row>
    <row r="22" spans="1:12">
      <c r="A22" s="56"/>
      <c r="B22" s="164" t="s">
        <v>53</v>
      </c>
      <c r="C22" s="841" t="s">
        <v>324</v>
      </c>
      <c r="D22" s="841"/>
      <c r="E22" s="841"/>
      <c r="F22" s="841"/>
      <c r="G22" s="841"/>
      <c r="H22" s="841"/>
      <c r="I22" s="56"/>
      <c r="J22" s="56"/>
      <c r="K22" s="56"/>
      <c r="L22" s="56"/>
    </row>
    <row r="23" spans="1:12">
      <c r="A23" s="56"/>
      <c r="B23" s="165" t="s">
        <v>55</v>
      </c>
      <c r="C23" s="27">
        <v>12</v>
      </c>
      <c r="D23" s="27">
        <v>24</v>
      </c>
      <c r="E23" s="27">
        <v>36</v>
      </c>
      <c r="F23" s="27">
        <v>48</v>
      </c>
      <c r="G23" s="27">
        <v>60</v>
      </c>
      <c r="H23" s="27">
        <v>72</v>
      </c>
      <c r="I23" s="56"/>
      <c r="J23" s="56"/>
      <c r="K23" s="56"/>
      <c r="L23" s="56"/>
    </row>
    <row r="24" spans="1:12">
      <c r="A24" s="56"/>
      <c r="B24" s="32">
        <v>2017</v>
      </c>
      <c r="C24" s="92">
        <v>1249954</v>
      </c>
      <c r="D24" s="92">
        <v>2244328</v>
      </c>
      <c r="E24" s="92">
        <v>3004204</v>
      </c>
      <c r="F24" s="92">
        <v>3728241</v>
      </c>
      <c r="G24" s="92">
        <v>4161007</v>
      </c>
      <c r="H24" s="92">
        <v>4367084</v>
      </c>
      <c r="I24" s="56"/>
      <c r="J24" s="56"/>
      <c r="K24" s="56"/>
      <c r="L24" s="56"/>
    </row>
    <row r="25" spans="1:12">
      <c r="A25" s="56"/>
      <c r="B25" s="32">
        <v>2018</v>
      </c>
      <c r="C25" s="92">
        <v>1271502</v>
      </c>
      <c r="D25" s="92">
        <v>2218377</v>
      </c>
      <c r="E25" s="92">
        <v>3235509</v>
      </c>
      <c r="F25" s="92">
        <v>3896228</v>
      </c>
      <c r="G25" s="92">
        <v>4382244</v>
      </c>
      <c r="H25" s="340"/>
      <c r="I25" s="56"/>
      <c r="J25" s="56"/>
      <c r="K25" s="56"/>
      <c r="L25" s="56"/>
    </row>
    <row r="26" spans="1:12">
      <c r="A26" s="56"/>
      <c r="B26" s="32">
        <v>2019</v>
      </c>
      <c r="C26" s="92">
        <v>1346283</v>
      </c>
      <c r="D26" s="92">
        <v>2368791</v>
      </c>
      <c r="E26" s="92">
        <v>3339691</v>
      </c>
      <c r="F26" s="92">
        <v>4154460</v>
      </c>
      <c r="G26" s="340"/>
      <c r="H26" s="340"/>
      <c r="I26" s="56"/>
      <c r="J26" s="56"/>
      <c r="K26" s="56"/>
      <c r="L26" s="56"/>
    </row>
    <row r="27" spans="1:12">
      <c r="A27" s="56"/>
      <c r="B27" s="32">
        <v>2020</v>
      </c>
      <c r="C27" s="92">
        <v>1525699</v>
      </c>
      <c r="D27" s="92">
        <v>2505764</v>
      </c>
      <c r="E27" s="92">
        <v>3625546</v>
      </c>
      <c r="F27" s="340"/>
      <c r="G27" s="340"/>
      <c r="H27" s="340"/>
      <c r="I27" s="56"/>
      <c r="J27" s="56"/>
      <c r="K27" s="56"/>
      <c r="L27" s="56"/>
    </row>
    <row r="28" spans="1:12">
      <c r="A28" s="56"/>
      <c r="B28" s="32">
        <v>2021</v>
      </c>
      <c r="C28" s="92">
        <v>1435742</v>
      </c>
      <c r="D28" s="92">
        <v>2756999</v>
      </c>
      <c r="E28" s="340"/>
      <c r="F28" s="340"/>
      <c r="G28" s="340"/>
      <c r="H28" s="340"/>
      <c r="I28" s="56"/>
      <c r="J28" s="56"/>
      <c r="K28" s="56"/>
      <c r="L28" s="56"/>
    </row>
    <row r="29" spans="1:12">
      <c r="A29" s="56"/>
      <c r="B29" s="32">
        <v>2022</v>
      </c>
      <c r="C29" s="92">
        <v>1589295</v>
      </c>
      <c r="D29" s="340"/>
      <c r="E29" s="340"/>
      <c r="F29" s="340"/>
      <c r="G29" s="340"/>
      <c r="H29" s="340"/>
      <c r="I29" s="56"/>
      <c r="J29" s="56"/>
      <c r="K29" s="56"/>
      <c r="L29" s="56"/>
    </row>
    <row r="30" spans="1:12">
      <c r="A30" s="56"/>
      <c r="B30" s="56"/>
      <c r="C30" s="56"/>
      <c r="D30" s="56"/>
      <c r="E30" s="56"/>
      <c r="F30" s="56"/>
      <c r="G30" s="56"/>
      <c r="H30" s="56"/>
      <c r="I30" s="56"/>
      <c r="J30" s="56"/>
      <c r="K30" s="56"/>
      <c r="L30" s="56"/>
    </row>
    <row r="31" spans="1:12">
      <c r="A31" s="56"/>
      <c r="B31" s="164" t="s">
        <v>53</v>
      </c>
      <c r="C31" s="841" t="s">
        <v>550</v>
      </c>
      <c r="D31" s="841"/>
      <c r="E31" s="841"/>
      <c r="F31" s="841"/>
      <c r="G31" s="841"/>
      <c r="H31" s="841"/>
      <c r="I31" s="56"/>
      <c r="J31" s="56"/>
      <c r="K31" s="56"/>
      <c r="L31" s="56"/>
    </row>
    <row r="32" spans="1:12">
      <c r="A32" s="56"/>
      <c r="B32" s="165" t="s">
        <v>55</v>
      </c>
      <c r="C32" s="27">
        <v>12</v>
      </c>
      <c r="D32" s="27">
        <v>24</v>
      </c>
      <c r="E32" s="27">
        <v>36</v>
      </c>
      <c r="F32" s="27">
        <v>48</v>
      </c>
      <c r="G32" s="27">
        <v>60</v>
      </c>
      <c r="H32" s="27">
        <v>72</v>
      </c>
      <c r="I32" s="56"/>
      <c r="J32" s="56"/>
      <c r="K32" s="56"/>
      <c r="L32" s="56"/>
    </row>
    <row r="33" spans="1:12">
      <c r="A33" s="56"/>
      <c r="B33" s="32">
        <v>2017</v>
      </c>
      <c r="C33" s="92">
        <v>729</v>
      </c>
      <c r="D33" s="92">
        <v>895</v>
      </c>
      <c r="E33" s="92">
        <v>998</v>
      </c>
      <c r="F33" s="92">
        <v>1082</v>
      </c>
      <c r="G33" s="92">
        <v>1119</v>
      </c>
      <c r="H33" s="92">
        <v>1122</v>
      </c>
      <c r="I33" s="56"/>
      <c r="J33" s="56"/>
      <c r="K33" s="56"/>
      <c r="L33" s="56"/>
    </row>
    <row r="34" spans="1:12">
      <c r="A34" s="56"/>
      <c r="B34" s="32">
        <v>2018</v>
      </c>
      <c r="C34" s="92">
        <v>727</v>
      </c>
      <c r="D34" s="92">
        <v>900</v>
      </c>
      <c r="E34" s="92">
        <v>1019</v>
      </c>
      <c r="F34" s="92">
        <v>1089</v>
      </c>
      <c r="G34" s="92">
        <v>1130</v>
      </c>
      <c r="H34" s="340"/>
      <c r="I34" s="56"/>
      <c r="J34" s="56"/>
      <c r="K34" s="56"/>
      <c r="L34" s="56"/>
    </row>
    <row r="35" spans="1:12">
      <c r="A35" s="56"/>
      <c r="B35" s="32">
        <v>2019</v>
      </c>
      <c r="C35" s="92">
        <v>743</v>
      </c>
      <c r="D35" s="92">
        <v>911</v>
      </c>
      <c r="E35" s="92">
        <v>1022</v>
      </c>
      <c r="F35" s="92">
        <v>1102</v>
      </c>
      <c r="G35" s="340"/>
      <c r="H35" s="340"/>
      <c r="I35" s="56"/>
      <c r="J35" s="56"/>
      <c r="K35" s="56"/>
      <c r="L35" s="56"/>
    </row>
    <row r="36" spans="1:12">
      <c r="A36" s="56"/>
      <c r="B36" s="32">
        <v>2020</v>
      </c>
      <c r="C36" s="92">
        <v>765</v>
      </c>
      <c r="D36" s="92">
        <v>902</v>
      </c>
      <c r="E36" s="92">
        <v>1042</v>
      </c>
      <c r="F36" s="340"/>
      <c r="G36" s="340"/>
      <c r="H36" s="340"/>
      <c r="I36" s="56"/>
      <c r="J36" s="56"/>
      <c r="K36" s="56"/>
      <c r="L36" s="56"/>
    </row>
    <row r="37" spans="1:12">
      <c r="A37" s="56"/>
      <c r="B37" s="32">
        <v>2021</v>
      </c>
      <c r="C37" s="92">
        <v>763</v>
      </c>
      <c r="D37" s="92">
        <v>939</v>
      </c>
      <c r="E37" s="340"/>
      <c r="F37" s="340"/>
      <c r="G37" s="340"/>
      <c r="H37" s="340"/>
      <c r="I37" s="56"/>
      <c r="J37" s="56"/>
      <c r="K37" s="56"/>
      <c r="L37" s="56"/>
    </row>
    <row r="38" spans="1:12">
      <c r="A38" s="56"/>
      <c r="B38" s="32">
        <v>2022</v>
      </c>
      <c r="C38" s="92">
        <v>767</v>
      </c>
      <c r="D38" s="340"/>
      <c r="E38" s="340"/>
      <c r="F38" s="340"/>
      <c r="G38" s="340"/>
      <c r="H38" s="340"/>
      <c r="I38" s="56"/>
      <c r="J38" s="56"/>
      <c r="K38" s="56"/>
      <c r="L38" s="56"/>
    </row>
    <row r="39" spans="1:12">
      <c r="A39" s="56"/>
      <c r="B39" s="56"/>
      <c r="C39" s="56"/>
      <c r="D39" s="56"/>
      <c r="E39" s="56"/>
      <c r="F39" s="56"/>
      <c r="G39" s="56"/>
      <c r="H39" s="56"/>
      <c r="I39" s="56"/>
      <c r="J39" s="56"/>
      <c r="K39" s="56"/>
      <c r="L39" s="56"/>
    </row>
    <row r="40" spans="1:12">
      <c r="A40" s="56"/>
      <c r="B40" s="164" t="s">
        <v>53</v>
      </c>
      <c r="C40" s="841" t="s">
        <v>551</v>
      </c>
      <c r="D40" s="841"/>
      <c r="E40" s="841"/>
      <c r="F40" s="841"/>
      <c r="G40" s="841"/>
      <c r="H40" s="841"/>
      <c r="I40" s="56"/>
      <c r="J40" s="56"/>
      <c r="K40" s="56"/>
      <c r="L40" s="56"/>
    </row>
    <row r="41" spans="1:12">
      <c r="A41" s="56"/>
      <c r="B41" s="165" t="s">
        <v>55</v>
      </c>
      <c r="C41" s="27">
        <v>12</v>
      </c>
      <c r="D41" s="27">
        <v>24</v>
      </c>
      <c r="E41" s="27">
        <v>36</v>
      </c>
      <c r="F41" s="27">
        <v>48</v>
      </c>
      <c r="G41" s="27">
        <v>60</v>
      </c>
      <c r="H41" s="27">
        <v>72</v>
      </c>
      <c r="I41" s="56"/>
      <c r="J41" s="56"/>
      <c r="K41" s="56"/>
      <c r="L41" s="56"/>
    </row>
    <row r="42" spans="1:12">
      <c r="A42" s="56"/>
      <c r="B42" s="32">
        <v>2017</v>
      </c>
      <c r="C42" s="92">
        <v>466</v>
      </c>
      <c r="D42" s="92">
        <v>697</v>
      </c>
      <c r="E42" s="92">
        <v>855</v>
      </c>
      <c r="F42" s="92">
        <v>991</v>
      </c>
      <c r="G42" s="92">
        <v>1075</v>
      </c>
      <c r="H42" s="92">
        <v>1118</v>
      </c>
      <c r="I42" s="56"/>
      <c r="J42" s="56"/>
      <c r="K42" s="56"/>
      <c r="L42" s="56"/>
    </row>
    <row r="43" spans="1:12">
      <c r="A43" s="56"/>
      <c r="B43" s="32">
        <v>2018</v>
      </c>
      <c r="C43" s="92">
        <v>469</v>
      </c>
      <c r="D43" s="92">
        <v>696</v>
      </c>
      <c r="E43" s="92">
        <v>877</v>
      </c>
      <c r="F43" s="92">
        <v>997</v>
      </c>
      <c r="G43" s="92">
        <v>1085</v>
      </c>
      <c r="H43" s="340"/>
      <c r="I43" s="56"/>
      <c r="J43" s="56"/>
      <c r="K43" s="56"/>
      <c r="L43" s="56"/>
    </row>
    <row r="44" spans="1:12">
      <c r="A44" s="56"/>
      <c r="B44" s="32">
        <v>2019</v>
      </c>
      <c r="C44" s="92">
        <v>474</v>
      </c>
      <c r="D44" s="92">
        <v>706</v>
      </c>
      <c r="E44" s="92">
        <v>874</v>
      </c>
      <c r="F44" s="92">
        <v>1007</v>
      </c>
      <c r="G44" s="340"/>
      <c r="H44" s="340"/>
      <c r="I44" s="56"/>
      <c r="J44" s="56"/>
      <c r="K44" s="56"/>
      <c r="L44" s="56"/>
    </row>
    <row r="45" spans="1:12">
      <c r="A45" s="56"/>
      <c r="B45" s="32">
        <v>2020</v>
      </c>
      <c r="C45" s="92">
        <v>489</v>
      </c>
      <c r="D45" s="92">
        <v>700</v>
      </c>
      <c r="E45" s="92">
        <v>896</v>
      </c>
      <c r="F45" s="340"/>
      <c r="G45" s="340"/>
      <c r="H45" s="340"/>
      <c r="I45" s="56"/>
      <c r="J45" s="56"/>
      <c r="K45" s="56"/>
      <c r="L45" s="56"/>
    </row>
    <row r="46" spans="1:12">
      <c r="A46" s="56"/>
      <c r="B46" s="32">
        <v>2021</v>
      </c>
      <c r="C46" s="92">
        <v>491</v>
      </c>
      <c r="D46" s="92">
        <v>727</v>
      </c>
      <c r="E46" s="340"/>
      <c r="F46" s="340"/>
      <c r="G46" s="340"/>
      <c r="H46" s="340"/>
      <c r="I46" s="56"/>
      <c r="J46" s="56"/>
      <c r="K46" s="56"/>
      <c r="L46" s="56"/>
    </row>
    <row r="47" spans="1:12">
      <c r="A47" s="56"/>
      <c r="B47" s="32">
        <v>2022</v>
      </c>
      <c r="C47" s="92">
        <v>494</v>
      </c>
      <c r="D47" s="340"/>
      <c r="E47" s="340"/>
      <c r="F47" s="340"/>
      <c r="G47" s="340"/>
      <c r="H47" s="340"/>
      <c r="I47" s="56"/>
      <c r="J47" s="56"/>
      <c r="K47" s="56"/>
      <c r="L47" s="56"/>
    </row>
    <row r="48" spans="1:12">
      <c r="A48" s="56"/>
      <c r="B48" s="56"/>
      <c r="C48" s="56"/>
      <c r="D48" s="56"/>
      <c r="E48" s="56"/>
      <c r="F48" s="56"/>
      <c r="G48" s="56"/>
      <c r="H48" s="56"/>
      <c r="I48" s="56"/>
      <c r="J48" s="56"/>
      <c r="K48" s="56"/>
      <c r="L48" s="56"/>
    </row>
    <row r="49" spans="1:18">
      <c r="A49" s="260" t="s">
        <v>1694</v>
      </c>
      <c r="B49" s="56"/>
      <c r="C49" s="56"/>
      <c r="D49" s="56"/>
      <c r="E49" s="56"/>
      <c r="F49" s="56"/>
      <c r="G49" s="56"/>
      <c r="H49" s="56"/>
      <c r="I49" s="56"/>
      <c r="J49" s="56"/>
      <c r="K49" s="56"/>
      <c r="L49" s="56"/>
    </row>
    <row r="50" spans="1:18">
      <c r="A50" s="56"/>
      <c r="B50" s="56"/>
      <c r="C50" s="56"/>
      <c r="D50" s="56"/>
      <c r="E50" s="56"/>
      <c r="F50" s="56"/>
      <c r="G50" s="56"/>
      <c r="H50" s="56"/>
      <c r="I50" s="56"/>
      <c r="J50" s="56"/>
      <c r="K50" s="56"/>
      <c r="L50" s="56"/>
    </row>
    <row r="51" spans="1:18">
      <c r="A51" s="56"/>
      <c r="B51" s="829"/>
      <c r="C51" s="829"/>
      <c r="D51" s="829" t="s">
        <v>1695</v>
      </c>
      <c r="E51" s="829"/>
      <c r="F51" s="829" t="s">
        <v>1696</v>
      </c>
      <c r="G51" s="829"/>
      <c r="H51" s="56"/>
      <c r="I51" s="56"/>
      <c r="J51" s="56"/>
      <c r="K51" s="56"/>
      <c r="L51" s="56"/>
    </row>
    <row r="52" spans="1:18">
      <c r="A52" s="56"/>
      <c r="B52" s="829" t="s">
        <v>96</v>
      </c>
      <c r="C52" s="829"/>
      <c r="D52" s="5" t="s">
        <v>1697</v>
      </c>
      <c r="E52" s="5" t="s">
        <v>1698</v>
      </c>
      <c r="F52" s="5" t="s">
        <v>1697</v>
      </c>
      <c r="G52" s="5" t="s">
        <v>1698</v>
      </c>
      <c r="H52" s="56"/>
      <c r="I52" s="56"/>
      <c r="J52" s="56"/>
      <c r="K52" s="56"/>
      <c r="L52" s="56"/>
    </row>
    <row r="53" spans="1:18">
      <c r="A53" s="56"/>
      <c r="B53" s="825" t="s">
        <v>1699</v>
      </c>
      <c r="C53" s="825"/>
      <c r="D53" s="453">
        <v>43730</v>
      </c>
      <c r="E53" s="6" t="s">
        <v>1098</v>
      </c>
      <c r="F53" s="453">
        <v>43730</v>
      </c>
      <c r="G53" s="6" t="s">
        <v>1098</v>
      </c>
      <c r="H53" s="56"/>
      <c r="I53" s="56"/>
      <c r="J53" s="56"/>
      <c r="K53" s="56"/>
      <c r="L53" s="56"/>
    </row>
    <row r="54" spans="1:18" ht="31.2" customHeight="1">
      <c r="A54" s="56"/>
      <c r="B54" s="825" t="s">
        <v>1700</v>
      </c>
      <c r="C54" s="825"/>
      <c r="D54" s="584">
        <v>44136</v>
      </c>
      <c r="E54" s="585">
        <v>900000</v>
      </c>
      <c r="F54" s="584">
        <v>43770</v>
      </c>
      <c r="G54" s="585">
        <v>90000</v>
      </c>
      <c r="H54" s="56"/>
      <c r="I54" s="56"/>
      <c r="J54" s="56"/>
      <c r="K54" s="56"/>
      <c r="L54" s="56"/>
    </row>
    <row r="55" spans="1:18">
      <c r="A55" s="56"/>
      <c r="B55" s="825" t="s">
        <v>1701</v>
      </c>
      <c r="C55" s="825"/>
      <c r="D55" s="453">
        <v>44166</v>
      </c>
      <c r="E55" s="7">
        <v>1500</v>
      </c>
      <c r="F55" s="453">
        <v>44166</v>
      </c>
      <c r="G55" s="7">
        <v>1500</v>
      </c>
      <c r="H55" s="56"/>
      <c r="I55" s="56"/>
      <c r="J55" s="56"/>
      <c r="K55" s="56"/>
      <c r="L55" s="56"/>
    </row>
    <row r="56" spans="1:18">
      <c r="A56" s="56"/>
      <c r="B56" s="825" t="s">
        <v>1701</v>
      </c>
      <c r="C56" s="825"/>
      <c r="D56" s="453">
        <v>44378</v>
      </c>
      <c r="E56" s="7">
        <v>1000</v>
      </c>
      <c r="F56" s="453">
        <v>44378</v>
      </c>
      <c r="G56" s="7">
        <v>1000</v>
      </c>
      <c r="H56" s="56"/>
      <c r="I56" s="56"/>
      <c r="J56" s="56"/>
      <c r="K56" s="56"/>
      <c r="L56" s="56"/>
    </row>
    <row r="57" spans="1:18">
      <c r="A57" s="56"/>
      <c r="B57" s="825" t="s">
        <v>1701</v>
      </c>
      <c r="C57" s="825"/>
      <c r="D57" s="453">
        <v>44621</v>
      </c>
      <c r="E57" s="7">
        <v>57500</v>
      </c>
      <c r="F57" s="453">
        <v>44621</v>
      </c>
      <c r="G57" s="7">
        <v>57500</v>
      </c>
      <c r="H57" s="56"/>
      <c r="I57" s="56"/>
      <c r="J57" s="56"/>
      <c r="K57" s="56"/>
      <c r="L57" s="56"/>
    </row>
    <row r="58" spans="1:18" ht="16.2">
      <c r="A58" s="56"/>
      <c r="B58" s="825" t="s">
        <v>1118</v>
      </c>
      <c r="C58" s="825"/>
      <c r="D58" s="453">
        <v>44621</v>
      </c>
      <c r="E58" s="586">
        <v>-500000</v>
      </c>
      <c r="F58" s="453">
        <v>44621</v>
      </c>
      <c r="G58" s="586">
        <v>-50000</v>
      </c>
      <c r="H58" s="56"/>
      <c r="I58" s="56"/>
      <c r="J58" s="56"/>
      <c r="K58" s="56"/>
      <c r="L58" s="56"/>
    </row>
    <row r="59" spans="1:18">
      <c r="A59" s="56"/>
      <c r="B59" s="56"/>
      <c r="C59" s="56"/>
      <c r="D59" s="56"/>
      <c r="E59" s="56"/>
      <c r="F59" s="56"/>
      <c r="G59" s="56"/>
      <c r="H59" s="56"/>
      <c r="I59" s="56"/>
      <c r="J59" s="56"/>
      <c r="K59" s="56"/>
      <c r="L59" s="56"/>
    </row>
    <row r="60" spans="1:18">
      <c r="A60" s="3"/>
      <c r="B60" s="3"/>
      <c r="C60" s="3"/>
      <c r="D60" s="3"/>
      <c r="E60" s="3"/>
      <c r="F60" s="3"/>
      <c r="G60" s="3"/>
      <c r="H60" s="3"/>
      <c r="I60" s="3"/>
      <c r="J60" s="3"/>
      <c r="K60" s="3"/>
      <c r="L60" s="3"/>
    </row>
    <row r="61" spans="1:18">
      <c r="A61" s="17" t="s">
        <v>18</v>
      </c>
      <c r="B61" s="1" t="s">
        <v>1702</v>
      </c>
      <c r="C61" s="1"/>
      <c r="D61" s="1"/>
      <c r="E61" s="1"/>
      <c r="F61" s="1"/>
      <c r="G61" s="1"/>
      <c r="H61" s="1"/>
      <c r="I61" s="1"/>
      <c r="J61" s="1"/>
      <c r="K61" s="1"/>
      <c r="L61" s="1"/>
      <c r="M61" s="9"/>
      <c r="N61" s="9"/>
      <c r="O61" s="9"/>
      <c r="P61" s="9"/>
      <c r="Q61" s="9"/>
      <c r="R61" s="9"/>
    </row>
    <row r="62" spans="1:18">
      <c r="A62" s="14"/>
      <c r="B62" s="14"/>
      <c r="C62" s="14"/>
      <c r="D62" s="14"/>
      <c r="E62" s="14"/>
      <c r="F62" s="14"/>
      <c r="G62" s="1"/>
      <c r="H62" s="1"/>
      <c r="I62" s="1"/>
      <c r="J62" s="1"/>
      <c r="K62" s="1"/>
      <c r="L62" s="1"/>
    </row>
    <row r="63" spans="1:18">
      <c r="A63" s="3"/>
      <c r="B63" s="3"/>
      <c r="C63" s="3"/>
      <c r="D63" s="3"/>
      <c r="E63" s="3"/>
      <c r="F63" s="3"/>
      <c r="G63" s="3"/>
      <c r="H63" s="3"/>
      <c r="I63" s="3"/>
      <c r="J63" s="3"/>
      <c r="K63" s="3"/>
      <c r="L63" s="3"/>
      <c r="M63" s="3"/>
    </row>
    <row r="64" spans="1:18">
      <c r="A64" s="3" t="s">
        <v>20</v>
      </c>
      <c r="B64" s="3"/>
      <c r="C64" s="3"/>
      <c r="D64" s="3"/>
      <c r="E64" s="3"/>
      <c r="F64" s="3"/>
      <c r="G64" s="3"/>
      <c r="H64" s="3"/>
      <c r="I64" s="3"/>
      <c r="J64" s="3"/>
      <c r="K64" s="3"/>
      <c r="L64" s="3"/>
      <c r="M64" s="3"/>
      <c r="N64" s="9"/>
    </row>
    <row r="65" spans="1:14">
      <c r="A65" s="3"/>
      <c r="B65" s="3"/>
      <c r="C65" s="3"/>
      <c r="D65" s="3"/>
      <c r="E65" s="3"/>
      <c r="F65" s="3"/>
      <c r="G65" s="3"/>
      <c r="H65" s="3"/>
      <c r="I65" s="3"/>
      <c r="J65" s="3"/>
      <c r="K65" s="3"/>
      <c r="L65" s="3"/>
      <c r="M65" s="3"/>
      <c r="N65" s="9"/>
    </row>
    <row r="66" spans="1:14">
      <c r="A66" s="2" t="s">
        <v>1703</v>
      </c>
      <c r="B66" s="3"/>
      <c r="C66" s="3"/>
      <c r="D66" s="3"/>
      <c r="E66" s="3"/>
      <c r="F66" s="3"/>
      <c r="G66" s="3"/>
      <c r="H66" s="3"/>
      <c r="I66" s="3"/>
      <c r="J66" s="3"/>
      <c r="K66" s="3"/>
      <c r="L66" s="3"/>
      <c r="M66" s="3"/>
      <c r="N66" s="9"/>
    </row>
    <row r="67" spans="1:14">
      <c r="A67" s="35" t="s">
        <v>58</v>
      </c>
      <c r="B67" s="35"/>
      <c r="C67" s="319"/>
      <c r="D67" s="35">
        <v>12</v>
      </c>
      <c r="E67" s="35">
        <v>24</v>
      </c>
      <c r="F67" s="35">
        <v>36</v>
      </c>
      <c r="G67" s="35">
        <v>48</v>
      </c>
      <c r="H67" s="3"/>
      <c r="I67" s="3"/>
      <c r="J67" s="3"/>
      <c r="K67" s="3"/>
      <c r="L67" s="3"/>
      <c r="M67" s="3"/>
      <c r="N67" s="9"/>
    </row>
    <row r="68" spans="1:14">
      <c r="A68" s="34">
        <v>2019</v>
      </c>
      <c r="B68" s="98" t="s">
        <v>1704</v>
      </c>
      <c r="D68" s="83">
        <v>0</v>
      </c>
      <c r="E68" s="83">
        <f>E55</f>
        <v>1500</v>
      </c>
      <c r="F68" s="83">
        <f>E68+E56</f>
        <v>2500</v>
      </c>
      <c r="G68" s="83">
        <f>F68+E57</f>
        <v>60000</v>
      </c>
      <c r="H68" s="3"/>
      <c r="I68" s="3"/>
      <c r="J68" s="3"/>
      <c r="K68" s="3"/>
      <c r="L68" s="3"/>
      <c r="M68" s="3"/>
      <c r="N68" s="9"/>
    </row>
    <row r="69" spans="1:14">
      <c r="A69" s="34">
        <v>2019</v>
      </c>
      <c r="B69" s="98" t="s">
        <v>1705</v>
      </c>
      <c r="D69" s="83">
        <v>0</v>
      </c>
      <c r="E69" s="83">
        <f>E54</f>
        <v>900000</v>
      </c>
      <c r="F69" s="83">
        <f>E69</f>
        <v>900000</v>
      </c>
      <c r="G69" s="83">
        <f>F69+E58</f>
        <v>400000</v>
      </c>
      <c r="H69" s="3"/>
      <c r="I69" s="3"/>
      <c r="J69" s="3"/>
      <c r="K69" s="3"/>
      <c r="L69" s="3"/>
      <c r="M69" s="3"/>
      <c r="N69" s="9"/>
    </row>
    <row r="70" spans="1:14">
      <c r="A70" s="34">
        <v>2019</v>
      </c>
      <c r="B70" s="98" t="s">
        <v>59</v>
      </c>
      <c r="D70" s="83">
        <f>SUM(D68:D69)</f>
        <v>0</v>
      </c>
      <c r="E70" s="83">
        <f>SUM(E68:E69)</f>
        <v>901500</v>
      </c>
      <c r="F70" s="83">
        <f>SUM(F68:F69)</f>
        <v>902500</v>
      </c>
      <c r="G70" s="83">
        <f>SUM(G68:G69)</f>
        <v>460000</v>
      </c>
      <c r="H70" s="3"/>
      <c r="I70" s="3"/>
      <c r="J70" s="3"/>
      <c r="K70" s="3"/>
      <c r="L70" s="3"/>
      <c r="M70" s="3"/>
      <c r="N70" s="9"/>
    </row>
    <row r="71" spans="1:14">
      <c r="A71" s="34">
        <v>2019</v>
      </c>
      <c r="B71" s="98" t="s">
        <v>550</v>
      </c>
      <c r="D71" s="83">
        <v>0</v>
      </c>
      <c r="E71" s="83">
        <v>1</v>
      </c>
      <c r="F71" s="83">
        <v>1</v>
      </c>
      <c r="G71" s="83">
        <v>1</v>
      </c>
      <c r="H71" s="3"/>
      <c r="I71" s="3"/>
      <c r="J71" s="3"/>
      <c r="K71" s="3"/>
      <c r="L71" s="3"/>
      <c r="M71" s="3"/>
      <c r="N71" s="9"/>
    </row>
    <row r="72" spans="1:14">
      <c r="H72" s="3"/>
      <c r="I72" s="3"/>
      <c r="J72" s="3"/>
      <c r="K72" s="3"/>
      <c r="L72" s="3"/>
      <c r="M72" s="3"/>
      <c r="N72" s="9"/>
    </row>
    <row r="73" spans="1:14">
      <c r="A73" s="2" t="s">
        <v>1706</v>
      </c>
      <c r="H73" s="3"/>
      <c r="I73" s="3"/>
      <c r="J73" s="3"/>
      <c r="K73" s="3"/>
      <c r="L73" s="3"/>
      <c r="M73" s="3"/>
      <c r="N73" s="9"/>
    </row>
    <row r="74" spans="1:14">
      <c r="A74" s="35" t="s">
        <v>58</v>
      </c>
      <c r="B74" s="35"/>
      <c r="C74" s="319"/>
      <c r="D74" s="35">
        <v>12</v>
      </c>
      <c r="E74" s="35">
        <v>24</v>
      </c>
      <c r="F74" s="35">
        <v>36</v>
      </c>
      <c r="G74" s="35">
        <v>48</v>
      </c>
      <c r="H74" s="3"/>
      <c r="I74" s="3"/>
      <c r="J74" s="3"/>
      <c r="K74" s="3"/>
      <c r="L74" s="3"/>
      <c r="M74" s="3"/>
      <c r="N74" s="9"/>
    </row>
    <row r="75" spans="1:14">
      <c r="A75" s="34">
        <v>2019</v>
      </c>
      <c r="B75" s="98" t="s">
        <v>1704</v>
      </c>
      <c r="D75" s="83">
        <v>0</v>
      </c>
      <c r="E75" s="83">
        <f>G55</f>
        <v>1500</v>
      </c>
      <c r="F75" s="83">
        <f>E75+G56</f>
        <v>2500</v>
      </c>
      <c r="G75" s="83">
        <f>F75+G57</f>
        <v>60000</v>
      </c>
      <c r="H75" s="3"/>
      <c r="I75" s="3"/>
      <c r="J75" s="3"/>
      <c r="K75" s="3"/>
      <c r="L75" s="3"/>
      <c r="M75" s="3"/>
      <c r="N75" s="9"/>
    </row>
    <row r="76" spans="1:14">
      <c r="A76" s="34">
        <v>2019</v>
      </c>
      <c r="B76" s="98" t="s">
        <v>1705</v>
      </c>
      <c r="D76" s="83">
        <f>G54</f>
        <v>90000</v>
      </c>
      <c r="E76" s="83">
        <f>D76</f>
        <v>90000</v>
      </c>
      <c r="F76" s="83">
        <f>E76</f>
        <v>90000</v>
      </c>
      <c r="G76" s="83">
        <f>F76+G58</f>
        <v>40000</v>
      </c>
      <c r="H76" s="3"/>
      <c r="I76" s="3"/>
      <c r="J76" s="3"/>
      <c r="K76" s="3"/>
      <c r="L76" s="3"/>
      <c r="M76" s="3"/>
      <c r="N76" s="9"/>
    </row>
    <row r="77" spans="1:14">
      <c r="A77" s="34">
        <v>2019</v>
      </c>
      <c r="B77" s="98" t="s">
        <v>59</v>
      </c>
      <c r="D77" s="83">
        <f>SUM(D75:D76)</f>
        <v>90000</v>
      </c>
      <c r="E77" s="83">
        <f>SUM(E75:E76)</f>
        <v>91500</v>
      </c>
      <c r="F77" s="83">
        <f>SUM(F75:F76)</f>
        <v>92500</v>
      </c>
      <c r="G77" s="83">
        <f>SUM(G75:G76)</f>
        <v>100000</v>
      </c>
      <c r="H77" s="3"/>
      <c r="I77" s="3"/>
      <c r="J77" s="3"/>
      <c r="K77" s="3"/>
      <c r="L77" s="3"/>
      <c r="M77" s="3"/>
      <c r="N77" s="9"/>
    </row>
    <row r="78" spans="1:14">
      <c r="A78" s="34">
        <v>2019</v>
      </c>
      <c r="B78" s="98" t="s">
        <v>550</v>
      </c>
      <c r="D78" s="83">
        <v>1</v>
      </c>
      <c r="E78" s="83">
        <v>1</v>
      </c>
      <c r="F78" s="83">
        <v>1</v>
      </c>
      <c r="G78" s="83">
        <v>1</v>
      </c>
      <c r="H78" s="3"/>
      <c r="I78" s="3"/>
      <c r="J78" s="3"/>
      <c r="K78" s="3"/>
      <c r="L78" s="3"/>
      <c r="M78" s="3"/>
      <c r="N78" s="9"/>
    </row>
    <row r="79" spans="1:14">
      <c r="H79" s="3"/>
      <c r="I79" s="3"/>
      <c r="J79" s="3"/>
      <c r="K79" s="3"/>
      <c r="L79" s="3"/>
      <c r="M79" s="3"/>
      <c r="N79" s="9"/>
    </row>
    <row r="80" spans="1:14">
      <c r="A80" s="587" t="s">
        <v>53</v>
      </c>
      <c r="B80" s="932" t="s">
        <v>1707</v>
      </c>
      <c r="C80" s="933"/>
      <c r="D80" s="933"/>
      <c r="E80" s="933"/>
      <c r="F80" s="933"/>
      <c r="G80" s="933"/>
      <c r="H80" s="3"/>
      <c r="I80" s="3"/>
      <c r="J80" s="3"/>
      <c r="K80" s="3"/>
      <c r="L80" s="3"/>
      <c r="M80" s="3"/>
      <c r="N80" s="9"/>
    </row>
    <row r="81" spans="1:14">
      <c r="A81" s="589" t="s">
        <v>55</v>
      </c>
      <c r="B81" s="588">
        <v>12</v>
      </c>
      <c r="C81" s="253">
        <v>24</v>
      </c>
      <c r="D81" s="253">
        <v>36</v>
      </c>
      <c r="E81" s="253">
        <v>48</v>
      </c>
      <c r="F81" s="253">
        <v>60</v>
      </c>
      <c r="G81" s="253">
        <v>72</v>
      </c>
      <c r="H81" s="3"/>
      <c r="I81" s="3"/>
      <c r="J81" s="3"/>
      <c r="K81" s="3"/>
      <c r="L81" s="3"/>
      <c r="M81" s="3"/>
      <c r="N81" s="9"/>
    </row>
    <row r="82" spans="1:14">
      <c r="A82" s="590">
        <v>2017</v>
      </c>
      <c r="B82" s="591">
        <f>C15</f>
        <v>2147785</v>
      </c>
      <c r="C82" s="591">
        <f t="shared" ref="C82:G82" si="0">D15</f>
        <v>3025674</v>
      </c>
      <c r="D82" s="591">
        <f t="shared" si="0"/>
        <v>3620901</v>
      </c>
      <c r="E82" s="591">
        <f t="shared" si="0"/>
        <v>4136684</v>
      </c>
      <c r="F82" s="591">
        <f t="shared" si="0"/>
        <v>4362359</v>
      </c>
      <c r="G82" s="591">
        <f t="shared" si="0"/>
        <v>4382594</v>
      </c>
      <c r="H82" s="3"/>
      <c r="I82" s="3"/>
      <c r="J82" s="3"/>
      <c r="K82" s="3"/>
      <c r="L82" s="3"/>
      <c r="M82" s="3"/>
      <c r="N82" s="9"/>
    </row>
    <row r="83" spans="1:14">
      <c r="A83" s="460">
        <v>2018</v>
      </c>
      <c r="B83" s="591">
        <f t="shared" ref="B83:F83" si="1">C16</f>
        <v>2219814</v>
      </c>
      <c r="C83" s="591">
        <f t="shared" si="1"/>
        <v>3071925</v>
      </c>
      <c r="D83" s="591">
        <f t="shared" si="1"/>
        <v>3876926</v>
      </c>
      <c r="E83" s="591">
        <f t="shared" si="1"/>
        <v>4331668</v>
      </c>
      <c r="F83" s="591">
        <f t="shared" si="1"/>
        <v>4596920</v>
      </c>
      <c r="G83" s="591"/>
      <c r="H83" s="3"/>
      <c r="I83" s="3"/>
      <c r="J83" s="3"/>
      <c r="K83" s="3"/>
      <c r="L83" s="3"/>
      <c r="M83" s="3"/>
      <c r="N83" s="9"/>
    </row>
    <row r="84" spans="1:14">
      <c r="A84" s="592">
        <v>2019</v>
      </c>
      <c r="B84" s="593">
        <f>C17-D70+D77</f>
        <v>2432602</v>
      </c>
      <c r="C84" s="593">
        <f t="shared" ref="C84:E84" si="2">D17-E70+E77</f>
        <v>3344013</v>
      </c>
      <c r="D84" s="593">
        <f t="shared" si="2"/>
        <v>4112135</v>
      </c>
      <c r="E84" s="593">
        <f t="shared" si="2"/>
        <v>4714225</v>
      </c>
      <c r="F84" s="591"/>
      <c r="G84" s="591"/>
      <c r="H84" s="3"/>
      <c r="I84" s="3"/>
      <c r="J84" s="3"/>
      <c r="K84" s="3"/>
      <c r="L84" s="3"/>
      <c r="M84" s="3"/>
      <c r="N84" s="9"/>
    </row>
    <row r="85" spans="1:14">
      <c r="A85" s="460">
        <v>2020</v>
      </c>
      <c r="B85" s="591">
        <f t="shared" ref="B85:D86" si="3">C18</f>
        <v>2591328</v>
      </c>
      <c r="C85" s="591">
        <f t="shared" si="3"/>
        <v>3398123</v>
      </c>
      <c r="D85" s="591">
        <f t="shared" si="3"/>
        <v>4339405</v>
      </c>
      <c r="E85" s="591"/>
      <c r="F85" s="591"/>
      <c r="G85" s="591"/>
      <c r="H85" s="3"/>
      <c r="I85" s="3"/>
      <c r="J85" s="3"/>
      <c r="K85" s="3"/>
      <c r="L85" s="3"/>
      <c r="M85" s="3"/>
      <c r="N85" s="9"/>
    </row>
    <row r="86" spans="1:14">
      <c r="A86" s="460">
        <v>2021</v>
      </c>
      <c r="B86" s="591">
        <f t="shared" si="3"/>
        <v>2582962</v>
      </c>
      <c r="C86" s="591">
        <f t="shared" si="3"/>
        <v>3768518</v>
      </c>
      <c r="D86" s="591"/>
      <c r="E86" s="591"/>
      <c r="F86" s="591"/>
      <c r="G86" s="591"/>
      <c r="H86" s="3"/>
      <c r="I86" s="3"/>
      <c r="J86" s="3"/>
      <c r="K86" s="3"/>
      <c r="L86" s="3"/>
      <c r="M86" s="3"/>
      <c r="N86" s="9"/>
    </row>
    <row r="87" spans="1:14">
      <c r="A87" s="460">
        <v>2022</v>
      </c>
      <c r="B87" s="591">
        <f>C20</f>
        <v>2735738</v>
      </c>
      <c r="C87" s="591"/>
      <c r="D87" s="591"/>
      <c r="E87" s="591"/>
      <c r="F87" s="591"/>
      <c r="G87" s="591"/>
      <c r="H87" s="3"/>
      <c r="I87" s="3"/>
      <c r="J87" s="3"/>
      <c r="K87" s="3"/>
      <c r="L87" s="3"/>
      <c r="M87" s="3"/>
      <c r="N87" s="9"/>
    </row>
    <row r="88" spans="1:14">
      <c r="A88" s="3"/>
      <c r="B88" s="3"/>
      <c r="C88" s="3"/>
      <c r="D88" s="3"/>
      <c r="E88" s="3"/>
      <c r="F88" s="3"/>
      <c r="G88" s="3"/>
      <c r="H88" s="3"/>
      <c r="I88" s="3"/>
      <c r="J88" s="3"/>
      <c r="K88" s="3"/>
      <c r="L88" s="3"/>
      <c r="M88" s="3"/>
      <c r="N88" s="9"/>
    </row>
    <row r="89" spans="1:14">
      <c r="A89" s="587" t="s">
        <v>53</v>
      </c>
      <c r="B89" s="932" t="s">
        <v>1708</v>
      </c>
      <c r="C89" s="933"/>
      <c r="D89" s="933"/>
      <c r="E89" s="933"/>
      <c r="F89" s="933"/>
      <c r="G89" s="933"/>
      <c r="H89" s="3"/>
      <c r="I89" s="3"/>
      <c r="J89" s="3"/>
      <c r="K89" s="3"/>
      <c r="L89" s="3"/>
      <c r="M89" s="3"/>
      <c r="N89" s="9"/>
    </row>
    <row r="90" spans="1:14">
      <c r="A90" s="589" t="s">
        <v>55</v>
      </c>
      <c r="B90" s="588">
        <v>12</v>
      </c>
      <c r="C90" s="253">
        <v>24</v>
      </c>
      <c r="D90" s="253">
        <v>36</v>
      </c>
      <c r="E90" s="253">
        <v>48</v>
      </c>
      <c r="F90" s="253">
        <v>60</v>
      </c>
      <c r="G90" s="253">
        <v>72</v>
      </c>
      <c r="H90" s="3"/>
      <c r="I90" s="3"/>
      <c r="J90" s="3"/>
      <c r="K90" s="3"/>
      <c r="L90" s="3"/>
      <c r="M90" s="3"/>
      <c r="N90" s="9"/>
    </row>
    <row r="91" spans="1:14">
      <c r="A91" s="590">
        <v>2017</v>
      </c>
      <c r="B91" s="591">
        <f>C33</f>
        <v>729</v>
      </c>
      <c r="C91" s="591">
        <f t="shared" ref="C91:G91" si="4">D33</f>
        <v>895</v>
      </c>
      <c r="D91" s="591">
        <f t="shared" si="4"/>
        <v>998</v>
      </c>
      <c r="E91" s="591">
        <f t="shared" si="4"/>
        <v>1082</v>
      </c>
      <c r="F91" s="591">
        <f t="shared" si="4"/>
        <v>1119</v>
      </c>
      <c r="G91" s="591">
        <f t="shared" si="4"/>
        <v>1122</v>
      </c>
      <c r="H91" s="3"/>
      <c r="I91" s="3"/>
      <c r="J91" s="3"/>
      <c r="K91" s="3"/>
      <c r="L91" s="3"/>
      <c r="M91" s="3"/>
      <c r="N91" s="9"/>
    </row>
    <row r="92" spans="1:14">
      <c r="A92" s="460">
        <v>2018</v>
      </c>
      <c r="B92" s="591">
        <f t="shared" ref="B92:F92" si="5">C34</f>
        <v>727</v>
      </c>
      <c r="C92" s="591">
        <f t="shared" si="5"/>
        <v>900</v>
      </c>
      <c r="D92" s="591">
        <f t="shared" si="5"/>
        <v>1019</v>
      </c>
      <c r="E92" s="591">
        <f t="shared" si="5"/>
        <v>1089</v>
      </c>
      <c r="F92" s="591">
        <f t="shared" si="5"/>
        <v>1130</v>
      </c>
      <c r="G92" s="591"/>
      <c r="H92" s="3"/>
      <c r="I92" s="3"/>
      <c r="J92" s="3"/>
      <c r="K92" s="3"/>
      <c r="L92" s="3"/>
      <c r="M92" s="3"/>
      <c r="N92" s="9"/>
    </row>
    <row r="93" spans="1:14">
      <c r="A93" s="592">
        <v>2019</v>
      </c>
      <c r="B93" s="593">
        <f>C35-D71+D78</f>
        <v>744</v>
      </c>
      <c r="C93" s="593">
        <f t="shared" ref="C93:E93" si="6">D35-E71+E78</f>
        <v>911</v>
      </c>
      <c r="D93" s="593">
        <f t="shared" si="6"/>
        <v>1022</v>
      </c>
      <c r="E93" s="593">
        <f t="shared" si="6"/>
        <v>1102</v>
      </c>
      <c r="F93" s="591"/>
      <c r="G93" s="591"/>
      <c r="H93" s="3"/>
      <c r="I93" s="3"/>
      <c r="J93" s="3"/>
      <c r="K93" s="3"/>
      <c r="L93" s="3"/>
      <c r="M93" s="3"/>
      <c r="N93" s="9"/>
    </row>
    <row r="94" spans="1:14">
      <c r="A94" s="460">
        <v>2020</v>
      </c>
      <c r="B94" s="591">
        <f t="shared" ref="B94:C96" si="7">C36</f>
        <v>765</v>
      </c>
      <c r="C94" s="591">
        <f t="shared" si="7"/>
        <v>902</v>
      </c>
      <c r="D94" s="591">
        <f>E36</f>
        <v>1042</v>
      </c>
      <c r="E94" s="591"/>
      <c r="F94" s="591"/>
      <c r="G94" s="591"/>
      <c r="H94" s="3"/>
      <c r="I94" s="3"/>
      <c r="J94" s="3"/>
      <c r="K94" s="3"/>
      <c r="L94" s="3"/>
      <c r="M94" s="3"/>
      <c r="N94" s="9"/>
    </row>
    <row r="95" spans="1:14">
      <c r="A95" s="460">
        <v>2021</v>
      </c>
      <c r="B95" s="591">
        <f t="shared" si="7"/>
        <v>763</v>
      </c>
      <c r="C95" s="591">
        <f t="shared" si="7"/>
        <v>939</v>
      </c>
      <c r="D95" s="591"/>
      <c r="E95" s="591"/>
      <c r="F95" s="591"/>
      <c r="G95" s="591"/>
      <c r="H95" s="3"/>
      <c r="I95" s="3"/>
      <c r="J95" s="3"/>
      <c r="K95" s="3"/>
      <c r="L95" s="3"/>
      <c r="M95" s="3"/>
      <c r="N95" s="9"/>
    </row>
    <row r="96" spans="1:14">
      <c r="A96" s="460">
        <v>2022</v>
      </c>
      <c r="B96" s="591">
        <f t="shared" si="7"/>
        <v>767</v>
      </c>
      <c r="C96" s="591"/>
      <c r="D96" s="591"/>
      <c r="E96" s="591"/>
      <c r="F96" s="591"/>
      <c r="G96" s="591"/>
      <c r="H96" s="3"/>
      <c r="I96" s="3"/>
      <c r="J96" s="3"/>
      <c r="K96" s="3"/>
      <c r="L96" s="3"/>
      <c r="M96" s="3"/>
      <c r="N96" s="9"/>
    </row>
    <row r="97" spans="1:14">
      <c r="A97" s="511"/>
      <c r="B97" s="18"/>
      <c r="M97" s="9"/>
      <c r="N97" s="9"/>
    </row>
    <row r="98" spans="1:14">
      <c r="A98" s="2" t="s">
        <v>1709</v>
      </c>
      <c r="B98" s="18"/>
      <c r="C98" s="18"/>
      <c r="M98" s="9"/>
      <c r="N98" s="9"/>
    </row>
    <row r="99" spans="1:14">
      <c r="M99" s="9"/>
      <c r="N99" s="9"/>
    </row>
    <row r="100" spans="1:14">
      <c r="A100" s="14"/>
      <c r="B100" s="14"/>
      <c r="C100" s="14"/>
      <c r="D100" s="14"/>
      <c r="E100" s="14"/>
      <c r="F100" s="14"/>
      <c r="G100" s="1"/>
      <c r="H100" s="1"/>
      <c r="I100" s="1"/>
      <c r="J100" s="1"/>
      <c r="K100" s="1"/>
      <c r="L100" s="1"/>
      <c r="M100" s="9"/>
      <c r="N100" s="9"/>
    </row>
    <row r="101" spans="1:14">
      <c r="A101" s="1" t="s">
        <v>1710</v>
      </c>
      <c r="B101" s="1"/>
      <c r="C101" s="1"/>
      <c r="D101" s="1"/>
      <c r="E101" s="1"/>
      <c r="F101" s="14"/>
      <c r="G101" s="1"/>
      <c r="H101" s="1"/>
      <c r="I101" s="1"/>
      <c r="J101" s="1"/>
      <c r="K101" s="1"/>
      <c r="L101" s="1"/>
      <c r="M101" s="9"/>
      <c r="N101" s="9"/>
    </row>
    <row r="102" spans="1:14">
      <c r="A102" s="1"/>
      <c r="B102" s="92">
        <v>15700</v>
      </c>
      <c r="C102" s="1" t="s">
        <v>1711</v>
      </c>
      <c r="D102" s="1"/>
      <c r="E102" s="1"/>
      <c r="F102" s="14"/>
      <c r="G102" s="1"/>
      <c r="H102" s="1"/>
      <c r="I102" s="1"/>
      <c r="J102" s="1"/>
      <c r="K102" s="1"/>
      <c r="L102" s="1"/>
      <c r="M102" s="9"/>
      <c r="N102" s="9"/>
    </row>
    <row r="103" spans="1:14">
      <c r="A103" s="1"/>
      <c r="B103" s="92">
        <v>-8500</v>
      </c>
      <c r="C103" s="1" t="s">
        <v>1712</v>
      </c>
      <c r="D103" s="1"/>
      <c r="E103" s="1"/>
      <c r="F103" s="14"/>
      <c r="G103" s="1"/>
      <c r="H103" s="1"/>
      <c r="I103" s="1"/>
      <c r="J103" s="1"/>
      <c r="K103" s="1"/>
      <c r="L103" s="1"/>
      <c r="M103" s="9"/>
      <c r="N103" s="9"/>
    </row>
    <row r="104" spans="1:14">
      <c r="A104" s="1"/>
      <c r="B104" s="1"/>
      <c r="C104" s="1"/>
      <c r="D104" s="1"/>
      <c r="E104" s="1"/>
      <c r="F104" s="14"/>
      <c r="G104" s="1"/>
      <c r="H104" s="1"/>
      <c r="I104" s="1"/>
      <c r="J104" s="1"/>
      <c r="K104" s="1"/>
      <c r="L104" s="1"/>
      <c r="M104" s="9"/>
      <c r="N104" s="9"/>
    </row>
    <row r="106" spans="1:14">
      <c r="A106" s="17" t="s">
        <v>25</v>
      </c>
      <c r="B106" s="1" t="s">
        <v>1713</v>
      </c>
      <c r="C106" s="1"/>
      <c r="D106" s="1"/>
      <c r="E106" s="1"/>
      <c r="F106" s="1"/>
      <c r="G106" s="1"/>
      <c r="H106" s="1"/>
      <c r="I106" s="1"/>
      <c r="J106" s="1"/>
      <c r="K106" s="1"/>
      <c r="L106" s="1"/>
    </row>
    <row r="107" spans="1:14">
      <c r="A107" s="14"/>
      <c r="B107" s="14"/>
      <c r="C107" s="14"/>
      <c r="D107" s="14"/>
      <c r="E107" s="14"/>
      <c r="F107" s="14"/>
      <c r="G107" s="1"/>
      <c r="H107" s="1"/>
      <c r="I107" s="1"/>
      <c r="J107" s="1"/>
      <c r="K107" s="1"/>
      <c r="L107" s="1"/>
    </row>
    <row r="108" spans="1:14">
      <c r="A108" s="3"/>
      <c r="B108" s="3"/>
      <c r="C108" s="3"/>
      <c r="D108" s="3"/>
      <c r="E108" s="3"/>
      <c r="F108" s="3"/>
      <c r="G108" s="3"/>
      <c r="H108" s="3"/>
      <c r="I108" s="3"/>
      <c r="J108" s="3"/>
      <c r="K108" s="3"/>
      <c r="L108" s="3"/>
    </row>
    <row r="109" spans="1:14">
      <c r="A109" s="3" t="s">
        <v>20</v>
      </c>
      <c r="B109" s="3"/>
      <c r="C109" s="3"/>
      <c r="D109" s="3"/>
      <c r="E109" s="3"/>
      <c r="F109" s="3"/>
      <c r="G109" s="3"/>
      <c r="H109" s="3"/>
      <c r="I109" s="3"/>
      <c r="J109" s="3"/>
      <c r="K109" s="3"/>
      <c r="L109" s="3"/>
    </row>
    <row r="110" spans="1:14">
      <c r="A110" s="3"/>
      <c r="B110" s="3"/>
      <c r="C110" s="3"/>
      <c r="D110" s="3"/>
      <c r="E110" s="3"/>
      <c r="F110" s="3"/>
      <c r="G110" s="3"/>
      <c r="H110" s="3"/>
      <c r="I110" s="3"/>
      <c r="J110" s="3"/>
      <c r="K110" s="3"/>
      <c r="L110" s="3"/>
    </row>
    <row r="111" spans="1:14">
      <c r="A111" s="3" t="s">
        <v>1714</v>
      </c>
      <c r="B111" s="3"/>
      <c r="C111" s="3"/>
      <c r="D111" s="3"/>
      <c r="E111" s="12">
        <f>SUM(B102:B103)</f>
        <v>7200</v>
      </c>
      <c r="F111" s="3"/>
    </row>
    <row r="112" spans="1:14">
      <c r="A112" s="3"/>
      <c r="B112" s="3"/>
      <c r="C112" s="3"/>
      <c r="D112" s="3"/>
      <c r="E112" s="3"/>
      <c r="F112" s="3"/>
    </row>
    <row r="113" spans="1:6">
      <c r="A113" s="3" t="s">
        <v>1715</v>
      </c>
      <c r="B113" s="3"/>
      <c r="C113" s="3"/>
      <c r="D113" s="3"/>
      <c r="E113" s="12">
        <f>B87+C86+D85+E84+F83+G82</f>
        <v>24537400</v>
      </c>
      <c r="F113" s="3"/>
    </row>
    <row r="114" spans="1:6">
      <c r="A114" s="3" t="s">
        <v>1716</v>
      </c>
      <c r="B114" s="3"/>
      <c r="C114" s="3"/>
      <c r="D114" s="3"/>
      <c r="E114" s="12">
        <f>B86+C85+D84+E83+F82</f>
        <v>18787247</v>
      </c>
      <c r="F114" s="3"/>
    </row>
    <row r="115" spans="1:6">
      <c r="A115" s="3" t="s">
        <v>1717</v>
      </c>
      <c r="B115" s="3"/>
      <c r="C115" s="3"/>
      <c r="D115" s="3"/>
      <c r="E115" s="12">
        <f>E113-E114+E111</f>
        <v>5757353</v>
      </c>
      <c r="F115" s="3"/>
    </row>
  </sheetData>
  <mergeCells count="16">
    <mergeCell ref="C13:H13"/>
    <mergeCell ref="C22:H22"/>
    <mergeCell ref="C31:H31"/>
    <mergeCell ref="C40:H40"/>
    <mergeCell ref="B51:C51"/>
    <mergeCell ref="D51:E51"/>
    <mergeCell ref="F51:G51"/>
    <mergeCell ref="B58:C58"/>
    <mergeCell ref="B80:G80"/>
    <mergeCell ref="B89:G89"/>
    <mergeCell ref="B52:C52"/>
    <mergeCell ref="B53:C53"/>
    <mergeCell ref="B54:C54"/>
    <mergeCell ref="B55:C55"/>
    <mergeCell ref="B56:C56"/>
    <mergeCell ref="B57:C57"/>
  </mergeCells>
  <hyperlinks>
    <hyperlink ref="O1" location="TOC!A1" display="Table of Contents" xr:uid="{03C63350-584A-4620-9D68-EE42CCA37AA5}"/>
  </hyperlink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B42B-6429-4FC0-A2F8-8E0F135EFDFB}">
  <dimension ref="A1:R69"/>
  <sheetViews>
    <sheetView zoomScaleNormal="100" workbookViewId="0"/>
  </sheetViews>
  <sheetFormatPr defaultRowHeight="15.6"/>
  <cols>
    <col min="1" max="1" width="8.88671875" style="2" customWidth="1"/>
    <col min="2" max="2" width="12.77734375" style="2" customWidth="1"/>
    <col min="3" max="3" width="18.6640625" style="2" customWidth="1"/>
    <col min="4" max="4" width="22.44140625" style="2" customWidth="1"/>
    <col min="5" max="5" width="12.77734375" style="2" customWidth="1"/>
    <col min="6" max="6" width="9.21875" style="2" customWidth="1"/>
    <col min="7" max="7" width="10.44140625" style="2" customWidth="1"/>
    <col min="8" max="8" width="16.5546875" style="2" customWidth="1"/>
    <col min="9" max="16384" width="8.88671875" style="2"/>
  </cols>
  <sheetData>
    <row r="1" spans="1:18" ht="17.399999999999999">
      <c r="A1" s="13" t="s">
        <v>352</v>
      </c>
      <c r="B1" s="1"/>
      <c r="C1" s="1"/>
      <c r="D1" s="1" t="s">
        <v>0</v>
      </c>
      <c r="E1" s="1"/>
      <c r="F1" s="1"/>
      <c r="G1" s="1"/>
      <c r="H1" s="1"/>
      <c r="I1" s="1"/>
      <c r="J1" s="1"/>
      <c r="K1" s="1"/>
      <c r="L1" s="14"/>
      <c r="P1" s="21" t="s">
        <v>2927</v>
      </c>
    </row>
    <row r="2" spans="1:18">
      <c r="A2" s="1"/>
      <c r="B2" s="1"/>
      <c r="C2" s="1"/>
      <c r="D2" s="1"/>
      <c r="E2" s="1"/>
      <c r="F2" s="1"/>
      <c r="G2" s="1"/>
      <c r="H2" s="1"/>
      <c r="I2" s="1"/>
      <c r="J2" s="1"/>
      <c r="K2" s="1"/>
      <c r="L2" s="14"/>
    </row>
    <row r="3" spans="1:18">
      <c r="A3" s="1" t="s">
        <v>151</v>
      </c>
      <c r="B3" s="1"/>
      <c r="C3" s="1"/>
      <c r="D3" s="1"/>
      <c r="E3" s="1"/>
      <c r="F3" s="1"/>
      <c r="G3" s="1"/>
      <c r="H3" s="1"/>
      <c r="I3" s="1"/>
      <c r="J3" s="1"/>
      <c r="K3" s="1"/>
      <c r="L3" s="14"/>
    </row>
    <row r="4" spans="1:18">
      <c r="A4" s="1"/>
      <c r="B4" s="1"/>
      <c r="C4" s="91"/>
      <c r="D4" s="91"/>
      <c r="E4" s="91"/>
      <c r="F4" s="1"/>
      <c r="G4" s="1"/>
      <c r="H4" s="1"/>
      <c r="I4" s="1"/>
      <c r="J4" s="1"/>
      <c r="K4" s="1"/>
      <c r="L4" s="1"/>
    </row>
    <row r="5" spans="1:18" ht="31.2">
      <c r="A5" s="1"/>
      <c r="B5" s="5" t="s">
        <v>3</v>
      </c>
      <c r="C5" s="5" t="s">
        <v>47</v>
      </c>
      <c r="D5" s="5" t="s">
        <v>152</v>
      </c>
      <c r="E5" s="5" t="s">
        <v>153</v>
      </c>
      <c r="F5" s="1"/>
      <c r="G5" s="1"/>
      <c r="H5" s="1"/>
      <c r="I5" s="1"/>
      <c r="J5" s="1"/>
      <c r="K5" s="1"/>
      <c r="L5" s="1"/>
    </row>
    <row r="6" spans="1:18">
      <c r="A6" s="1"/>
      <c r="B6" s="32">
        <v>2014</v>
      </c>
      <c r="C6" s="92">
        <v>4526480</v>
      </c>
      <c r="D6" s="92">
        <v>5850000</v>
      </c>
      <c r="E6" s="92">
        <v>172580</v>
      </c>
      <c r="F6" s="1"/>
      <c r="G6" s="1"/>
      <c r="H6" s="1"/>
      <c r="I6" s="1"/>
      <c r="J6" s="1"/>
      <c r="K6" s="1"/>
      <c r="L6" s="1"/>
    </row>
    <row r="7" spans="1:18">
      <c r="A7" s="1"/>
      <c r="B7" s="32">
        <v>2015</v>
      </c>
      <c r="C7" s="92">
        <v>4830080</v>
      </c>
      <c r="D7" s="92">
        <v>6166130</v>
      </c>
      <c r="E7" s="92">
        <v>186220</v>
      </c>
      <c r="F7" s="1"/>
      <c r="G7" s="1"/>
      <c r="H7" s="1"/>
      <c r="I7" s="1"/>
      <c r="J7" s="1"/>
      <c r="K7" s="1"/>
      <c r="L7" s="1"/>
    </row>
    <row r="8" spans="1:18">
      <c r="A8" s="1"/>
      <c r="B8" s="32">
        <v>2016</v>
      </c>
      <c r="C8" s="92">
        <v>5279580</v>
      </c>
      <c r="D8" s="92">
        <v>6451780</v>
      </c>
      <c r="E8" s="92">
        <v>200650</v>
      </c>
      <c r="F8" s="1"/>
      <c r="G8" s="1"/>
      <c r="H8" s="1"/>
      <c r="I8" s="1"/>
      <c r="J8" s="1"/>
      <c r="K8" s="1"/>
      <c r="L8" s="1"/>
    </row>
    <row r="9" spans="1:18">
      <c r="A9" s="1"/>
      <c r="B9" s="32">
        <v>2017</v>
      </c>
      <c r="C9" s="92">
        <v>5542320</v>
      </c>
      <c r="D9" s="92">
        <v>6658360</v>
      </c>
      <c r="E9" s="92">
        <v>214400</v>
      </c>
      <c r="F9" s="1"/>
      <c r="G9" s="1"/>
      <c r="H9" s="1"/>
      <c r="I9" s="1"/>
      <c r="J9" s="1"/>
      <c r="K9" s="1"/>
      <c r="L9" s="1"/>
    </row>
    <row r="10" spans="1:18">
      <c r="A10" s="1"/>
      <c r="B10" s="32">
        <v>2018</v>
      </c>
      <c r="C10" s="92">
        <v>6139740</v>
      </c>
      <c r="D10" s="92">
        <v>6901520</v>
      </c>
      <c r="E10" s="92">
        <v>231200</v>
      </c>
      <c r="F10" s="1"/>
      <c r="G10" s="1"/>
      <c r="H10" s="1"/>
      <c r="I10" s="1"/>
      <c r="J10" s="1"/>
      <c r="K10" s="1"/>
      <c r="L10" s="1"/>
    </row>
    <row r="11" spans="1:18">
      <c r="A11" s="1"/>
      <c r="B11" s="32">
        <v>2019</v>
      </c>
      <c r="C11" s="92">
        <v>6873650</v>
      </c>
      <c r="D11" s="92">
        <v>7231270</v>
      </c>
      <c r="E11" s="92">
        <v>253090</v>
      </c>
      <c r="F11" s="1"/>
      <c r="G11" s="1"/>
      <c r="H11" s="1"/>
      <c r="I11" s="1"/>
      <c r="J11" s="1"/>
      <c r="K11" s="1"/>
      <c r="L11" s="1"/>
    </row>
    <row r="12" spans="1:18">
      <c r="A12" s="1"/>
      <c r="B12" s="1"/>
      <c r="C12" s="1"/>
      <c r="D12" s="1"/>
      <c r="E12" s="1"/>
      <c r="F12" s="1"/>
      <c r="G12" s="1"/>
      <c r="H12" s="1"/>
      <c r="I12" s="1"/>
      <c r="J12" s="1"/>
      <c r="K12" s="1"/>
      <c r="L12" s="1"/>
    </row>
    <row r="13" spans="1:18">
      <c r="A13" s="1" t="s">
        <v>154</v>
      </c>
      <c r="B13" s="1"/>
      <c r="C13" s="1"/>
      <c r="D13" s="1"/>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1" t="s">
        <v>155</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ht="46.8">
      <c r="B20" s="93" t="s">
        <v>3</v>
      </c>
      <c r="C20" s="93" t="s">
        <v>156</v>
      </c>
      <c r="D20" s="93" t="s">
        <v>157</v>
      </c>
      <c r="M20" s="9"/>
      <c r="N20" s="9"/>
    </row>
    <row r="21" spans="1:14">
      <c r="B21" s="94">
        <f t="shared" ref="B21:B26" si="0">B6</f>
        <v>2014</v>
      </c>
      <c r="C21" s="95">
        <f t="shared" ref="C21:C26" si="1">E6/D6</f>
        <v>2.9500854700854701E-2</v>
      </c>
      <c r="D21" s="3"/>
      <c r="M21" s="9"/>
      <c r="N21" s="9"/>
    </row>
    <row r="22" spans="1:14">
      <c r="B22" s="94">
        <f t="shared" si="0"/>
        <v>2015</v>
      </c>
      <c r="C22" s="95">
        <f t="shared" si="1"/>
        <v>3.0200466094616883E-2</v>
      </c>
      <c r="D22" s="95">
        <f t="shared" ref="D22:D26" si="2">C22/C21-1</f>
        <v>2.3714953375296943E-2</v>
      </c>
      <c r="M22" s="9"/>
      <c r="N22" s="9"/>
    </row>
    <row r="23" spans="1:14">
      <c r="B23" s="94">
        <f t="shared" si="0"/>
        <v>2016</v>
      </c>
      <c r="C23" s="95">
        <f t="shared" si="1"/>
        <v>3.1099944511437154E-2</v>
      </c>
      <c r="D23" s="95">
        <f t="shared" si="2"/>
        <v>2.9783593869122438E-2</v>
      </c>
      <c r="M23" s="9"/>
      <c r="N23" s="9"/>
    </row>
    <row r="24" spans="1:14">
      <c r="B24" s="94">
        <f t="shared" si="0"/>
        <v>2017</v>
      </c>
      <c r="C24" s="95">
        <f t="shared" si="1"/>
        <v>3.2200121351203599E-2</v>
      </c>
      <c r="D24" s="95">
        <f t="shared" si="2"/>
        <v>3.5375524202682973E-2</v>
      </c>
      <c r="M24" s="9"/>
      <c r="N24" s="9"/>
    </row>
    <row r="25" spans="1:14">
      <c r="B25" s="94">
        <f t="shared" si="0"/>
        <v>2018</v>
      </c>
      <c r="C25" s="95">
        <f t="shared" si="1"/>
        <v>3.3499866696032179E-2</v>
      </c>
      <c r="D25" s="95">
        <f t="shared" si="2"/>
        <v>4.0364610140824819E-2</v>
      </c>
      <c r="M25" s="9"/>
      <c r="N25" s="9"/>
    </row>
    <row r="26" spans="1:14">
      <c r="B26" s="94">
        <f t="shared" si="0"/>
        <v>2019</v>
      </c>
      <c r="C26" s="95">
        <f t="shared" si="1"/>
        <v>3.4999384617086626E-2</v>
      </c>
      <c r="D26" s="95">
        <f t="shared" si="2"/>
        <v>4.4761907104306609E-2</v>
      </c>
    </row>
    <row r="27" spans="1:14">
      <c r="B27" s="94"/>
      <c r="C27" s="18"/>
      <c r="D27" s="18"/>
      <c r="E27" s="95"/>
      <c r="F27" s="95"/>
    </row>
    <row r="28" spans="1:14">
      <c r="B28" s="2" t="s">
        <v>158</v>
      </c>
      <c r="C28" s="18"/>
      <c r="D28" s="96">
        <f>AVERAGE(D22:D26)</f>
        <v>3.4800117738446754E-2</v>
      </c>
      <c r="E28" s="97" t="s">
        <v>159</v>
      </c>
      <c r="F28" s="95"/>
    </row>
    <row r="29" spans="1:14">
      <c r="B29" s="2" t="s">
        <v>160</v>
      </c>
      <c r="C29" s="18"/>
      <c r="D29" s="96">
        <f>AVERAGE(D24:D26)</f>
        <v>4.0167347149271469E-2</v>
      </c>
      <c r="E29" s="95"/>
      <c r="F29" s="95"/>
    </row>
    <row r="30" spans="1:14">
      <c r="B30" s="94"/>
      <c r="C30" s="95"/>
      <c r="D30" s="95"/>
      <c r="E30" s="95"/>
      <c r="F30" s="95"/>
    </row>
    <row r="31" spans="1:14">
      <c r="A31" s="15" t="s">
        <v>11</v>
      </c>
      <c r="B31" s="14"/>
      <c r="C31" s="14"/>
      <c r="D31" s="14"/>
      <c r="E31" s="14"/>
      <c r="F31" s="14"/>
      <c r="G31" s="14"/>
      <c r="H31" s="14"/>
      <c r="I31" s="14"/>
      <c r="J31" s="14"/>
      <c r="K31" s="14"/>
      <c r="L31" s="14"/>
    </row>
    <row r="33" spans="1:12">
      <c r="A33" s="15" t="s">
        <v>144</v>
      </c>
      <c r="B33" s="14"/>
      <c r="C33" s="14"/>
      <c r="D33" s="14"/>
      <c r="E33" s="14"/>
      <c r="F33" s="14"/>
      <c r="G33" s="14"/>
      <c r="H33" s="14"/>
      <c r="I33" s="14"/>
      <c r="J33" s="14"/>
      <c r="K33" s="14"/>
      <c r="L33" s="14"/>
    </row>
    <row r="35" spans="1:12">
      <c r="A35" s="1" t="s">
        <v>12</v>
      </c>
      <c r="B35" s="14"/>
      <c r="C35" s="14"/>
      <c r="D35" s="14"/>
      <c r="E35" s="14"/>
      <c r="F35" s="14"/>
      <c r="G35" s="14"/>
      <c r="H35" s="14"/>
      <c r="I35" s="14"/>
      <c r="J35" s="14"/>
      <c r="K35" s="14"/>
      <c r="L35" s="14"/>
    </row>
    <row r="36" spans="1:12">
      <c r="A36" s="16" t="s">
        <v>9</v>
      </c>
      <c r="B36" s="1" t="s">
        <v>161</v>
      </c>
      <c r="C36" s="14"/>
      <c r="D36" s="14"/>
      <c r="E36" s="14"/>
      <c r="F36" s="14"/>
      <c r="G36" s="14"/>
      <c r="H36" s="14"/>
      <c r="I36" s="14"/>
      <c r="J36" s="14"/>
      <c r="K36" s="14"/>
      <c r="L36" s="14"/>
    </row>
    <row r="37" spans="1:12">
      <c r="A37" s="16" t="s">
        <v>9</v>
      </c>
      <c r="B37" s="1" t="s">
        <v>162</v>
      </c>
      <c r="C37" s="14"/>
      <c r="D37" s="14"/>
      <c r="E37" s="14"/>
      <c r="F37" s="14"/>
      <c r="G37" s="14"/>
      <c r="H37" s="14"/>
      <c r="I37" s="14"/>
      <c r="J37" s="14"/>
      <c r="K37" s="14"/>
      <c r="L37" s="14"/>
    </row>
    <row r="38" spans="1:12">
      <c r="A38" s="16" t="s">
        <v>9</v>
      </c>
      <c r="B38" s="1" t="s">
        <v>163</v>
      </c>
      <c r="C38" s="14"/>
      <c r="D38" s="14"/>
      <c r="E38" s="14"/>
      <c r="F38" s="14"/>
      <c r="G38" s="14"/>
      <c r="H38" s="14"/>
      <c r="I38" s="14"/>
      <c r="J38" s="14"/>
      <c r="K38" s="14"/>
      <c r="L38" s="14"/>
    </row>
    <row r="39" spans="1:12">
      <c r="A39" s="1"/>
      <c r="B39" s="14"/>
      <c r="C39" s="14"/>
      <c r="D39" s="14"/>
      <c r="E39" s="14"/>
      <c r="F39" s="14"/>
      <c r="G39" s="14"/>
      <c r="H39" s="14"/>
      <c r="I39" s="14"/>
      <c r="J39" s="14"/>
      <c r="K39" s="14"/>
      <c r="L39" s="14"/>
    </row>
    <row r="40" spans="1:12">
      <c r="A40" s="3"/>
      <c r="B40" s="3"/>
      <c r="C40" s="3"/>
      <c r="D40" s="3"/>
      <c r="E40" s="3"/>
      <c r="F40" s="3"/>
      <c r="G40" s="3"/>
      <c r="H40" s="3"/>
      <c r="I40" s="3"/>
      <c r="J40" s="3"/>
      <c r="K40" s="3"/>
      <c r="L40" s="3"/>
    </row>
    <row r="41" spans="1:12">
      <c r="A41" s="17" t="s">
        <v>25</v>
      </c>
      <c r="B41" s="1" t="s">
        <v>164</v>
      </c>
      <c r="C41" s="1"/>
      <c r="D41" s="1"/>
      <c r="E41" s="1"/>
      <c r="F41" s="1"/>
      <c r="G41" s="1"/>
      <c r="H41" s="1"/>
      <c r="I41" s="1"/>
      <c r="J41" s="1"/>
      <c r="K41" s="1"/>
      <c r="L41" s="1"/>
    </row>
    <row r="42" spans="1:12">
      <c r="A42" s="14"/>
      <c r="B42" s="14"/>
      <c r="C42" s="14"/>
      <c r="D42" s="14"/>
      <c r="E42" s="14"/>
      <c r="F42" s="14"/>
      <c r="G42" s="1"/>
      <c r="H42" s="1"/>
      <c r="I42" s="1"/>
      <c r="J42" s="1"/>
      <c r="K42" s="1"/>
      <c r="L42" s="1"/>
    </row>
    <row r="43" spans="1:12">
      <c r="A43" s="3"/>
      <c r="E43" s="3"/>
      <c r="F43" s="3"/>
      <c r="G43" s="3"/>
      <c r="H43" s="3"/>
      <c r="I43" s="3"/>
      <c r="J43" s="3"/>
      <c r="K43" s="3"/>
      <c r="L43" s="3"/>
    </row>
    <row r="44" spans="1:12">
      <c r="A44" s="3" t="s">
        <v>20</v>
      </c>
      <c r="E44" s="3"/>
      <c r="F44" s="3"/>
      <c r="G44" s="3"/>
      <c r="H44" s="3"/>
      <c r="I44" s="3"/>
      <c r="J44" s="3"/>
      <c r="K44" s="3"/>
      <c r="L44" s="3"/>
    </row>
    <row r="45" spans="1:12">
      <c r="B45" s="98" t="s">
        <v>165</v>
      </c>
      <c r="C45" s="18"/>
      <c r="E45" s="10">
        <v>0.04</v>
      </c>
    </row>
    <row r="47" spans="1:12">
      <c r="B47" s="3" t="s">
        <v>166</v>
      </c>
      <c r="C47" s="3"/>
      <c r="D47" s="3"/>
      <c r="E47" s="99">
        <v>44287</v>
      </c>
      <c r="F47" s="100" t="s">
        <v>167</v>
      </c>
      <c r="G47" s="3"/>
      <c r="H47" s="3"/>
    </row>
    <row r="48" spans="1:12">
      <c r="B48" s="3" t="s">
        <v>168</v>
      </c>
      <c r="C48" s="3"/>
      <c r="D48" s="3"/>
      <c r="E48" s="99">
        <f>DATE(YEAR(E47)+1,MONTH(E47),DAY(E47))</f>
        <v>44652</v>
      </c>
      <c r="F48" s="101"/>
      <c r="G48" s="62"/>
      <c r="H48" s="62"/>
    </row>
    <row r="49" spans="2:8">
      <c r="B49" s="3"/>
      <c r="C49" s="3"/>
      <c r="D49" s="3"/>
      <c r="E49" s="3"/>
      <c r="F49" s="3"/>
      <c r="G49" s="3"/>
      <c r="H49" s="101"/>
    </row>
    <row r="50" spans="2:8">
      <c r="B50" s="3"/>
      <c r="C50" s="102" t="s">
        <v>169</v>
      </c>
      <c r="D50" s="102"/>
      <c r="E50" s="3"/>
      <c r="F50" s="3"/>
      <c r="G50" s="103"/>
      <c r="H50" s="3"/>
    </row>
    <row r="51" spans="2:8" ht="46.8">
      <c r="B51" s="93" t="s">
        <v>3</v>
      </c>
      <c r="C51" s="93" t="s">
        <v>170</v>
      </c>
      <c r="D51" s="93" t="s">
        <v>171</v>
      </c>
      <c r="E51" s="93" t="s">
        <v>172</v>
      </c>
      <c r="F51" s="93" t="s">
        <v>173</v>
      </c>
      <c r="G51" s="93" t="s">
        <v>174</v>
      </c>
      <c r="H51" s="93" t="s">
        <v>156</v>
      </c>
    </row>
    <row r="52" spans="2:8">
      <c r="B52" s="94">
        <f>B24</f>
        <v>2017</v>
      </c>
      <c r="C52" s="104">
        <f t="shared" ref="C52:C54" si="3">DATE(B52,7,1)</f>
        <v>42917</v>
      </c>
      <c r="D52" s="104">
        <f t="shared" ref="D52" si="4">D53</f>
        <v>44652</v>
      </c>
      <c r="E52" s="94">
        <f>(12*YEAR(D52)+MONTH(D52))-(12*YEAR(C52)+MONTH(C52))</f>
        <v>57</v>
      </c>
      <c r="F52" s="105">
        <f>(1+E45)^(E52/12)</f>
        <v>1.2047816985217086</v>
      </c>
      <c r="G52" s="106">
        <f>F52*E9</f>
        <v>258305.19616305432</v>
      </c>
      <c r="H52" s="95">
        <f>G52/D9</f>
        <v>3.8794116894108208E-2</v>
      </c>
    </row>
    <row r="53" spans="2:8">
      <c r="B53" s="94">
        <f>B25</f>
        <v>2018</v>
      </c>
      <c r="C53" s="104">
        <f t="shared" si="3"/>
        <v>43282</v>
      </c>
      <c r="D53" s="104">
        <f>D54</f>
        <v>44652</v>
      </c>
      <c r="E53" s="94">
        <f>(12*YEAR(D53)+MONTH(D53))-(12*YEAR(C53)+MONTH(C53))</f>
        <v>45</v>
      </c>
      <c r="F53" s="105">
        <f>(1+E45)^(E53/12)</f>
        <v>1.1584439408862581</v>
      </c>
      <c r="G53" s="106">
        <f>F53*E10</f>
        <v>267832.23913290288</v>
      </c>
      <c r="H53" s="95">
        <f>G53/D10</f>
        <v>3.8807717594515831E-2</v>
      </c>
    </row>
    <row r="54" spans="2:8">
      <c r="B54" s="107">
        <f>B26</f>
        <v>2019</v>
      </c>
      <c r="C54" s="108">
        <f t="shared" si="3"/>
        <v>43647</v>
      </c>
      <c r="D54" s="108">
        <f>DATE(YEAR(E47)+1,MONTH(E47),DAY(E47))</f>
        <v>44652</v>
      </c>
      <c r="E54" s="107">
        <f>(12*YEAR(D54)+MONTH(D54))-(12*YEAR(C54)+MONTH(C54))</f>
        <v>33</v>
      </c>
      <c r="F54" s="109">
        <f>(1+E45)^(E54/12)</f>
        <v>1.1138884046983251</v>
      </c>
      <c r="G54" s="110">
        <f>F54*E11</f>
        <v>281914.01634509908</v>
      </c>
      <c r="H54" s="111">
        <f>G54/D11</f>
        <v>3.898540869654972E-2</v>
      </c>
    </row>
    <row r="55" spans="2:8">
      <c r="B55" s="3"/>
      <c r="C55" s="3"/>
      <c r="D55" s="3"/>
      <c r="E55" s="3"/>
      <c r="F55" s="3"/>
      <c r="G55" s="3" t="s">
        <v>175</v>
      </c>
      <c r="H55" s="112">
        <f>AVERAGE(H52:H54)</f>
        <v>3.8862414395057922E-2</v>
      </c>
    </row>
    <row r="69" spans="2:8">
      <c r="B69" s="3"/>
      <c r="C69" s="3"/>
      <c r="D69" s="3"/>
      <c r="E69" s="3"/>
      <c r="F69" s="3"/>
      <c r="G69" s="3"/>
      <c r="H69" s="112"/>
    </row>
  </sheetData>
  <hyperlinks>
    <hyperlink ref="P1" location="TOC!A1" display="Table of Contents" xr:uid="{0BD9E645-0717-4526-8BBC-4045CE6947EC}"/>
  </hyperlinks>
  <pageMargins left="0.39370078740157483" right="0.39370078740157483" top="0.39370078740157483" bottom="0.39370078740157483" header="0.31496062992125984" footer="0.31496062992125984"/>
  <pageSetup scale="76" orientation="portrait" verticalDpi="1200" r:id="rId1"/>
  <headerFooter>
    <oddFooter>&amp;L&amp;F [&amp;A]&amp;R&amp;P of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260E-96CC-4D4D-AB6B-F9735D8C361D}">
  <dimension ref="A1:R70"/>
  <sheetViews>
    <sheetView zoomScaleNormal="100" workbookViewId="0"/>
  </sheetViews>
  <sheetFormatPr defaultColWidth="8.88671875" defaultRowHeight="15.6"/>
  <cols>
    <col min="1" max="1" width="8.88671875" style="2" customWidth="1"/>
    <col min="2" max="9" width="11.6640625" style="2" customWidth="1"/>
    <col min="10" max="11" width="8.88671875" style="2"/>
    <col min="12" max="13" width="13.109375" style="2" customWidth="1"/>
    <col min="14" max="14" width="11.77734375" style="2" customWidth="1"/>
    <col min="15" max="16384" width="8.88671875" style="2"/>
  </cols>
  <sheetData>
    <row r="1" spans="1:15" ht="17.399999999999999">
      <c r="A1" s="13" t="s">
        <v>1947</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260" t="s">
        <v>1718</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8" spans="1:15">
      <c r="A8" s="15" t="s">
        <v>11</v>
      </c>
      <c r="B8" s="14"/>
      <c r="C8" s="14"/>
      <c r="D8" s="14"/>
      <c r="E8" s="14"/>
      <c r="F8" s="14"/>
      <c r="G8" s="14"/>
      <c r="H8" s="14"/>
      <c r="I8" s="14"/>
      <c r="J8" s="14"/>
      <c r="K8" s="14"/>
      <c r="L8" s="14"/>
    </row>
    <row r="10" spans="1:15">
      <c r="A10" s="15" t="s">
        <v>144</v>
      </c>
      <c r="B10" s="14"/>
      <c r="C10" s="14"/>
      <c r="D10" s="14"/>
      <c r="E10" s="14"/>
      <c r="F10" s="14"/>
      <c r="G10" s="14"/>
      <c r="H10" s="14"/>
      <c r="I10" s="14"/>
      <c r="J10" s="14"/>
      <c r="K10" s="14"/>
      <c r="L10" s="14"/>
    </row>
    <row r="12" spans="1:15">
      <c r="A12" s="15" t="s">
        <v>146</v>
      </c>
      <c r="B12" s="14"/>
      <c r="C12" s="14"/>
      <c r="D12" s="14"/>
      <c r="E12" s="14"/>
      <c r="F12" s="14"/>
      <c r="G12" s="14"/>
      <c r="H12" s="14"/>
      <c r="I12" s="14"/>
      <c r="J12" s="14"/>
      <c r="K12" s="14"/>
      <c r="L12" s="14"/>
    </row>
    <row r="14" spans="1:15">
      <c r="A14" s="15" t="s">
        <v>28</v>
      </c>
      <c r="B14" s="14"/>
      <c r="C14" s="14"/>
      <c r="D14" s="14"/>
      <c r="E14" s="14"/>
      <c r="F14" s="14"/>
      <c r="G14" s="14"/>
      <c r="H14" s="14"/>
      <c r="I14" s="14"/>
      <c r="J14" s="14"/>
      <c r="K14" s="14"/>
      <c r="L14" s="14"/>
    </row>
    <row r="15" spans="1:15">
      <c r="A15" s="3"/>
      <c r="B15" s="3"/>
      <c r="C15" s="3"/>
      <c r="D15" s="3"/>
      <c r="E15" s="3"/>
      <c r="F15" s="3"/>
      <c r="G15" s="3"/>
      <c r="H15" s="3"/>
      <c r="I15" s="3"/>
      <c r="J15" s="3"/>
      <c r="K15" s="3"/>
      <c r="L15" s="3"/>
    </row>
    <row r="16" spans="1:15">
      <c r="A16" s="14"/>
      <c r="B16" s="14"/>
      <c r="C16" s="14"/>
      <c r="D16" s="14"/>
      <c r="E16" s="14"/>
      <c r="F16" s="14"/>
      <c r="G16" s="1"/>
      <c r="H16" s="1"/>
      <c r="I16" s="1"/>
      <c r="J16" s="1"/>
      <c r="K16" s="1"/>
      <c r="L16" s="1"/>
    </row>
    <row r="17" spans="1:12">
      <c r="A17" s="260" t="s">
        <v>1719</v>
      </c>
      <c r="B17" s="1"/>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163" t="s">
        <v>53</v>
      </c>
      <c r="C19" s="853" t="s">
        <v>1496</v>
      </c>
      <c r="D19" s="841"/>
      <c r="E19" s="841"/>
      <c r="F19" s="841"/>
      <c r="G19" s="841"/>
      <c r="H19" s="841"/>
      <c r="I19" s="841"/>
      <c r="J19" s="1"/>
      <c r="K19" s="1"/>
      <c r="L19" s="1"/>
    </row>
    <row r="20" spans="1:12">
      <c r="A20" s="1"/>
      <c r="B20" s="166" t="s">
        <v>55</v>
      </c>
      <c r="C20" s="193">
        <v>12</v>
      </c>
      <c r="D20" s="27">
        <v>24</v>
      </c>
      <c r="E20" s="27">
        <v>36</v>
      </c>
      <c r="F20" s="27">
        <v>48</v>
      </c>
      <c r="G20" s="27">
        <v>60</v>
      </c>
      <c r="H20" s="27">
        <v>72</v>
      </c>
      <c r="I20" s="27">
        <v>84</v>
      </c>
      <c r="J20" s="1"/>
      <c r="K20" s="1"/>
      <c r="L20" s="1"/>
    </row>
    <row r="21" spans="1:12">
      <c r="A21" s="1"/>
      <c r="B21" s="197">
        <v>2016</v>
      </c>
      <c r="C21" s="92">
        <v>380408</v>
      </c>
      <c r="D21" s="92">
        <v>889802</v>
      </c>
      <c r="E21" s="92">
        <v>1317812</v>
      </c>
      <c r="F21" s="92">
        <v>1721331</v>
      </c>
      <c r="G21" s="92">
        <v>2096297</v>
      </c>
      <c r="H21" s="92">
        <v>2375430</v>
      </c>
      <c r="I21" s="92">
        <v>2487315</v>
      </c>
      <c r="J21" s="1"/>
      <c r="K21" s="1"/>
      <c r="L21" s="1"/>
    </row>
    <row r="22" spans="1:12">
      <c r="A22" s="1"/>
      <c r="B22" s="32">
        <v>2017</v>
      </c>
      <c r="C22" s="92">
        <v>450310</v>
      </c>
      <c r="D22" s="92">
        <v>869371</v>
      </c>
      <c r="E22" s="92">
        <v>1402540</v>
      </c>
      <c r="F22" s="92">
        <v>1868637</v>
      </c>
      <c r="G22" s="92">
        <v>2216571</v>
      </c>
      <c r="H22" s="92">
        <v>2507208</v>
      </c>
      <c r="I22" s="32"/>
      <c r="J22" s="1"/>
      <c r="K22" s="1"/>
      <c r="L22" s="1"/>
    </row>
    <row r="23" spans="1:12">
      <c r="A23" s="1"/>
      <c r="B23" s="32">
        <v>2018</v>
      </c>
      <c r="C23" s="92">
        <v>348866</v>
      </c>
      <c r="D23" s="92">
        <v>965278</v>
      </c>
      <c r="E23" s="92">
        <v>1457682</v>
      </c>
      <c r="F23" s="92">
        <v>1919642</v>
      </c>
      <c r="G23" s="92">
        <v>2328436</v>
      </c>
      <c r="H23" s="32"/>
      <c r="I23" s="32"/>
      <c r="J23" s="1"/>
      <c r="K23" s="1"/>
      <c r="L23" s="1"/>
    </row>
    <row r="24" spans="1:12">
      <c r="A24" s="1"/>
      <c r="B24" s="32">
        <v>2019</v>
      </c>
      <c r="C24" s="92">
        <v>367455</v>
      </c>
      <c r="D24" s="92">
        <v>1019276</v>
      </c>
      <c r="E24" s="92">
        <v>1546088</v>
      </c>
      <c r="F24" s="92">
        <v>2091115</v>
      </c>
      <c r="G24" s="32"/>
      <c r="H24" s="32"/>
      <c r="I24" s="32"/>
      <c r="J24" s="1"/>
      <c r="K24" s="1"/>
      <c r="L24" s="1"/>
    </row>
    <row r="25" spans="1:12">
      <c r="A25" s="1"/>
      <c r="B25" s="32">
        <v>2020</v>
      </c>
      <c r="C25" s="92">
        <v>455227</v>
      </c>
      <c r="D25" s="92">
        <v>1033085</v>
      </c>
      <c r="E25" s="92">
        <v>1650625</v>
      </c>
      <c r="F25" s="32"/>
      <c r="G25" s="32"/>
      <c r="H25" s="32"/>
      <c r="I25" s="32"/>
      <c r="J25" s="1"/>
      <c r="K25" s="1"/>
      <c r="L25" s="1"/>
    </row>
    <row r="26" spans="1:12">
      <c r="A26" s="1"/>
      <c r="B26" s="32">
        <v>2021</v>
      </c>
      <c r="C26" s="92">
        <v>516038</v>
      </c>
      <c r="D26" s="92">
        <v>1140537</v>
      </c>
      <c r="E26" s="32"/>
      <c r="F26" s="32"/>
      <c r="G26" s="32"/>
      <c r="H26" s="32"/>
      <c r="I26" s="32"/>
      <c r="J26" s="1"/>
      <c r="K26" s="1"/>
      <c r="L26" s="1"/>
    </row>
    <row r="27" spans="1:12">
      <c r="A27" s="1"/>
      <c r="B27" s="32">
        <v>2022</v>
      </c>
      <c r="C27" s="92">
        <v>408139</v>
      </c>
      <c r="D27" s="32"/>
      <c r="E27" s="32"/>
      <c r="F27" s="32"/>
      <c r="G27" s="32"/>
      <c r="H27" s="32"/>
      <c r="I27" s="32"/>
      <c r="J27" s="1"/>
      <c r="K27" s="1"/>
      <c r="L27" s="1"/>
    </row>
    <row r="28" spans="1:12">
      <c r="A28" s="1"/>
      <c r="B28" s="1"/>
      <c r="C28" s="1"/>
      <c r="D28" s="1"/>
      <c r="E28" s="1"/>
      <c r="F28" s="1"/>
      <c r="G28" s="1"/>
      <c r="H28" s="1"/>
      <c r="I28" s="1"/>
      <c r="J28" s="1"/>
      <c r="K28" s="1"/>
      <c r="L28" s="1"/>
    </row>
    <row r="29" spans="1:12" ht="31.2">
      <c r="A29" s="1"/>
      <c r="B29" s="5" t="s">
        <v>49</v>
      </c>
      <c r="C29" s="829" t="s">
        <v>1720</v>
      </c>
      <c r="D29" s="829"/>
      <c r="E29" s="829"/>
      <c r="F29" s="1"/>
      <c r="G29" s="1"/>
      <c r="H29" s="1"/>
      <c r="I29" s="1"/>
      <c r="J29" s="1"/>
      <c r="K29" s="1"/>
      <c r="L29" s="1"/>
    </row>
    <row r="30" spans="1:12">
      <c r="A30" s="1"/>
      <c r="B30" s="32">
        <v>2016</v>
      </c>
      <c r="C30" s="913">
        <v>2513084</v>
      </c>
      <c r="D30" s="913"/>
      <c r="E30" s="913"/>
      <c r="F30" s="1"/>
      <c r="G30" s="1"/>
      <c r="H30" s="1"/>
      <c r="I30" s="1"/>
      <c r="J30" s="1"/>
      <c r="K30" s="1"/>
      <c r="L30" s="1"/>
    </row>
    <row r="31" spans="1:12">
      <c r="A31" s="1"/>
      <c r="B31" s="32">
        <v>2017</v>
      </c>
      <c r="C31" s="913">
        <v>2665698</v>
      </c>
      <c r="D31" s="913"/>
      <c r="E31" s="913"/>
      <c r="F31" s="1"/>
      <c r="G31" s="1"/>
      <c r="H31" s="1"/>
      <c r="I31" s="1"/>
      <c r="J31" s="1"/>
      <c r="K31" s="1"/>
      <c r="L31" s="1"/>
    </row>
    <row r="32" spans="1:12">
      <c r="A32" s="1"/>
      <c r="B32" s="32">
        <v>2018</v>
      </c>
      <c r="C32" s="913">
        <v>2809772</v>
      </c>
      <c r="D32" s="913"/>
      <c r="E32" s="913"/>
      <c r="F32" s="1"/>
      <c r="G32" s="1"/>
      <c r="H32" s="1"/>
      <c r="I32" s="1"/>
      <c r="J32" s="1"/>
      <c r="K32" s="1"/>
      <c r="L32" s="1"/>
    </row>
    <row r="33" spans="1:18">
      <c r="A33" s="1"/>
      <c r="B33" s="32">
        <v>2019</v>
      </c>
      <c r="C33" s="913">
        <v>3033731</v>
      </c>
      <c r="D33" s="913"/>
      <c r="E33" s="913"/>
      <c r="F33" s="1"/>
      <c r="G33" s="1"/>
      <c r="H33" s="1"/>
      <c r="I33" s="1"/>
      <c r="J33" s="1"/>
      <c r="K33" s="1"/>
      <c r="L33" s="1"/>
    </row>
    <row r="34" spans="1:18">
      <c r="A34" s="1"/>
      <c r="B34" s="32">
        <v>2020</v>
      </c>
      <c r="C34" s="913">
        <v>3200828</v>
      </c>
      <c r="D34" s="913"/>
      <c r="E34" s="913"/>
      <c r="F34" s="1"/>
      <c r="G34" s="1"/>
      <c r="H34" s="1"/>
      <c r="I34" s="1"/>
      <c r="J34" s="1"/>
      <c r="K34" s="1"/>
      <c r="L34" s="1"/>
    </row>
    <row r="35" spans="1:18">
      <c r="A35" s="1"/>
      <c r="B35" s="32">
        <v>2021</v>
      </c>
      <c r="C35" s="913">
        <v>3372842</v>
      </c>
      <c r="D35" s="913"/>
      <c r="E35" s="913"/>
      <c r="F35" s="1"/>
      <c r="G35" s="1"/>
      <c r="H35" s="1"/>
      <c r="I35" s="1"/>
      <c r="J35" s="1"/>
      <c r="K35" s="1"/>
      <c r="L35" s="1"/>
    </row>
    <row r="36" spans="1:18">
      <c r="A36" s="1"/>
      <c r="B36" s="32">
        <v>2022</v>
      </c>
      <c r="C36" s="913">
        <v>3500773</v>
      </c>
      <c r="D36" s="913"/>
      <c r="E36" s="913"/>
      <c r="F36" s="1"/>
      <c r="G36" s="1"/>
      <c r="H36" s="1"/>
      <c r="I36" s="1"/>
      <c r="J36" s="1"/>
      <c r="K36" s="1"/>
      <c r="L36" s="1"/>
    </row>
    <row r="37" spans="1:18">
      <c r="A37" s="14"/>
      <c r="B37" s="14"/>
      <c r="C37" s="14"/>
      <c r="D37" s="14"/>
      <c r="E37" s="14"/>
      <c r="F37" s="14"/>
      <c r="G37" s="1"/>
      <c r="H37" s="1"/>
      <c r="I37" s="1"/>
      <c r="J37" s="1"/>
      <c r="K37" s="1"/>
      <c r="L37" s="1"/>
    </row>
    <row r="38" spans="1:18">
      <c r="A38" s="3"/>
      <c r="B38" s="3"/>
      <c r="C38" s="3"/>
      <c r="D38" s="3"/>
      <c r="E38" s="3"/>
      <c r="F38" s="3"/>
      <c r="G38" s="3"/>
      <c r="H38" s="3"/>
      <c r="I38" s="3"/>
      <c r="J38" s="3"/>
      <c r="K38" s="3"/>
      <c r="L38" s="3"/>
    </row>
    <row r="39" spans="1:18">
      <c r="A39" s="17" t="s">
        <v>545</v>
      </c>
      <c r="B39" s="1" t="s">
        <v>1721</v>
      </c>
      <c r="C39" s="1"/>
      <c r="D39" s="1"/>
      <c r="E39" s="1"/>
      <c r="F39" s="1"/>
      <c r="G39" s="1"/>
      <c r="H39" s="1"/>
      <c r="I39" s="1"/>
      <c r="J39" s="1"/>
      <c r="K39" s="1"/>
      <c r="L39" s="1"/>
      <c r="M39" s="9"/>
      <c r="N39" s="9"/>
      <c r="O39" s="9"/>
      <c r="P39" s="9"/>
      <c r="Q39" s="9"/>
      <c r="R39" s="9"/>
    </row>
    <row r="40" spans="1:18">
      <c r="A40" s="3"/>
      <c r="B40" s="3"/>
      <c r="C40" s="3"/>
      <c r="D40" s="3"/>
      <c r="E40" s="3"/>
      <c r="F40" s="3"/>
      <c r="G40" s="3"/>
      <c r="H40" s="3"/>
      <c r="I40" s="3"/>
      <c r="J40" s="3"/>
      <c r="K40" s="3"/>
      <c r="L40" s="3"/>
      <c r="M40" s="3"/>
    </row>
    <row r="41" spans="1:18">
      <c r="A41" s="3" t="s">
        <v>20</v>
      </c>
      <c r="B41" s="3"/>
      <c r="C41" s="12"/>
      <c r="D41" s="3"/>
      <c r="E41" s="3"/>
      <c r="F41" s="3"/>
      <c r="G41" s="3"/>
      <c r="H41" s="3"/>
      <c r="I41" s="3"/>
      <c r="J41" s="3"/>
      <c r="K41" s="3"/>
      <c r="L41" s="3"/>
      <c r="M41" s="3"/>
      <c r="N41" s="9"/>
    </row>
    <row r="42" spans="1:18">
      <c r="B42" s="34"/>
      <c r="C42" s="173" t="s">
        <v>1722</v>
      </c>
      <c r="D42" s="594"/>
      <c r="E42" s="594"/>
      <c r="F42" s="594"/>
      <c r="G42" s="594"/>
      <c r="H42" s="594"/>
      <c r="J42" s="3"/>
      <c r="K42" s="3"/>
      <c r="L42" s="3"/>
      <c r="M42" s="3"/>
      <c r="N42" s="9"/>
    </row>
    <row r="43" spans="1:18">
      <c r="B43" s="35" t="s">
        <v>58</v>
      </c>
      <c r="C43" s="368" t="s">
        <v>991</v>
      </c>
      <c r="D43" s="368" t="s">
        <v>992</v>
      </c>
      <c r="E43" s="368" t="s">
        <v>993</v>
      </c>
      <c r="F43" s="368" t="s">
        <v>994</v>
      </c>
      <c r="G43" s="368" t="s">
        <v>995</v>
      </c>
      <c r="H43" s="368" t="s">
        <v>996</v>
      </c>
      <c r="I43" s="368" t="str">
        <f>I20&amp;"-ult"</f>
        <v>84-ult</v>
      </c>
      <c r="M43" s="9"/>
      <c r="N43" s="9"/>
    </row>
    <row r="44" spans="1:18">
      <c r="B44" s="34">
        <v>2016</v>
      </c>
      <c r="C44" s="595">
        <f t="shared" ref="C44:H44" si="0">D21/C21</f>
        <v>2.3390727850097788</v>
      </c>
      <c r="D44" s="595">
        <f t="shared" si="0"/>
        <v>1.4810171251581812</v>
      </c>
      <c r="E44" s="595">
        <f t="shared" si="0"/>
        <v>1.3062037680640335</v>
      </c>
      <c r="F44" s="595">
        <f t="shared" si="0"/>
        <v>1.2178349196058167</v>
      </c>
      <c r="G44" s="595">
        <f t="shared" si="0"/>
        <v>1.1331552733224348</v>
      </c>
      <c r="H44" s="595">
        <f t="shared" si="0"/>
        <v>1.0471009459339993</v>
      </c>
      <c r="M44" s="9"/>
      <c r="N44" s="9"/>
    </row>
    <row r="45" spans="1:18">
      <c r="B45" s="34">
        <v>2017</v>
      </c>
      <c r="C45" s="595">
        <f>D22/C22</f>
        <v>1.9306055828207236</v>
      </c>
      <c r="D45" s="595">
        <f>E22/D22</f>
        <v>1.6132813263842478</v>
      </c>
      <c r="E45" s="595">
        <f>F22/E22</f>
        <v>1.3323234987950432</v>
      </c>
      <c r="F45" s="595">
        <f>G22/F22</f>
        <v>1.1861966770432137</v>
      </c>
      <c r="G45" s="595">
        <f>H22/G22</f>
        <v>1.1311200949574816</v>
      </c>
      <c r="H45" s="595"/>
      <c r="M45" s="9"/>
      <c r="N45" s="9"/>
    </row>
    <row r="46" spans="1:18">
      <c r="B46" s="34">
        <v>2018</v>
      </c>
      <c r="C46" s="595">
        <f>D23/C23</f>
        <v>2.7669019050294383</v>
      </c>
      <c r="D46" s="595">
        <f>E23/D23</f>
        <v>1.5101162566638833</v>
      </c>
      <c r="E46" s="595">
        <f>F23/E23</f>
        <v>1.3169141143267187</v>
      </c>
      <c r="F46" s="595">
        <f>G23/F23</f>
        <v>1.2129532485744738</v>
      </c>
      <c r="G46" s="595"/>
      <c r="H46" s="595"/>
      <c r="M46" s="9"/>
      <c r="N46" s="9"/>
    </row>
    <row r="47" spans="1:18">
      <c r="B47" s="34">
        <v>2019</v>
      </c>
      <c r="C47" s="595">
        <f>D24/C24</f>
        <v>2.773879794804806</v>
      </c>
      <c r="D47" s="595">
        <f>E24/D24</f>
        <v>1.516849214540517</v>
      </c>
      <c r="E47" s="595">
        <f>F24/E24</f>
        <v>1.3525200376692659</v>
      </c>
      <c r="F47" s="595"/>
      <c r="G47" s="595"/>
      <c r="H47" s="595"/>
      <c r="M47" s="9"/>
      <c r="N47" s="9"/>
    </row>
    <row r="48" spans="1:18">
      <c r="B48" s="34">
        <v>2020</v>
      </c>
      <c r="C48" s="595">
        <f>D25/C25</f>
        <v>2.2693842852027668</v>
      </c>
      <c r="D48" s="595">
        <f>E25/D25</f>
        <v>1.5977630107880765</v>
      </c>
      <c r="E48" s="595"/>
      <c r="F48" s="595"/>
      <c r="G48" s="595"/>
      <c r="H48" s="595"/>
      <c r="M48" s="9"/>
      <c r="N48" s="9"/>
    </row>
    <row r="49" spans="2:14">
      <c r="B49" s="34">
        <v>2021</v>
      </c>
      <c r="C49" s="595">
        <f>D26/C26</f>
        <v>2.2101802580430125</v>
      </c>
      <c r="D49" s="595"/>
      <c r="E49" s="595"/>
      <c r="F49" s="595"/>
      <c r="G49" s="595"/>
      <c r="H49" s="595"/>
      <c r="M49" s="9"/>
      <c r="N49" s="9"/>
    </row>
    <row r="50" spans="2:14">
      <c r="B50" s="35">
        <v>2022</v>
      </c>
      <c r="C50" s="596"/>
      <c r="D50" s="298"/>
      <c r="E50" s="298"/>
      <c r="F50" s="298"/>
      <c r="G50" s="298"/>
      <c r="H50" s="298"/>
      <c r="M50" s="9"/>
      <c r="N50" s="9"/>
    </row>
    <row r="51" spans="2:14">
      <c r="B51" s="34" t="s">
        <v>1723</v>
      </c>
      <c r="C51" s="597">
        <f>AVERAGE(C47:C49)</f>
        <v>2.417814779350195</v>
      </c>
      <c r="D51" s="597">
        <f>AVERAGE(D46:D48)</f>
        <v>1.5415761606641591</v>
      </c>
      <c r="E51" s="597">
        <f>AVERAGE(E45:E47)</f>
        <v>1.3339192169303427</v>
      </c>
      <c r="F51" s="597">
        <f>AVERAGE(F44:F46)</f>
        <v>1.2056616150745014</v>
      </c>
      <c r="G51" s="597">
        <f>IF(0=COUNT(G43:G45),1,AVERAGE(G43:G45))</f>
        <v>1.1321376841399582</v>
      </c>
      <c r="H51" s="597">
        <f>IF(0=COUNT(H42:H44),1,AVERAGE(H42:H44))</f>
        <v>1.0471009459339993</v>
      </c>
      <c r="I51" s="597"/>
      <c r="K51" s="465" t="s">
        <v>1724</v>
      </c>
      <c r="L51" s="595"/>
      <c r="M51" s="595"/>
      <c r="N51" s="595"/>
    </row>
    <row r="52" spans="2:14">
      <c r="B52" s="595" t="s">
        <v>1725</v>
      </c>
      <c r="C52" s="595">
        <f>AVERAGE(C44:C49)</f>
        <v>2.3816707684850877</v>
      </c>
      <c r="D52" s="595">
        <f t="shared" ref="D52:H52" si="1">AVERAGE(D44:D49)</f>
        <v>1.5438053867069812</v>
      </c>
      <c r="E52" s="595">
        <f t="shared" si="1"/>
        <v>1.3269903547137654</v>
      </c>
      <c r="F52" s="595">
        <f t="shared" si="1"/>
        <v>1.2056616150745014</v>
      </c>
      <c r="G52" s="595">
        <f t="shared" si="1"/>
        <v>1.1321376841399582</v>
      </c>
      <c r="H52" s="595">
        <f t="shared" si="1"/>
        <v>1.0471009459339993</v>
      </c>
      <c r="I52" s="595"/>
      <c r="K52" s="3"/>
      <c r="L52" s="595" t="s">
        <v>276</v>
      </c>
      <c r="M52" s="595" t="s">
        <v>324</v>
      </c>
    </row>
    <row r="53" spans="2:14">
      <c r="B53" s="595" t="s">
        <v>1726</v>
      </c>
      <c r="C53" s="595">
        <f>SUM(D24:D26)/SUM(C24:C26)</f>
        <v>2.3850379466953506</v>
      </c>
      <c r="D53" s="595">
        <f>SUM(E23:E25)/SUM(D23:D25)</f>
        <v>1.5423962243329967</v>
      </c>
      <c r="E53" s="595">
        <f>SUM(F22:F24)/SUM(E22:E24)</f>
        <v>1.3343123838313691</v>
      </c>
      <c r="F53" s="595">
        <f>SUM(G21:G23)/SUM(F21:F23)</f>
        <v>1.205403649260111</v>
      </c>
      <c r="G53" s="595">
        <f>SUM(H21:H22)/SUM(G21:G22)</f>
        <v>1.132109306382667</v>
      </c>
      <c r="H53" s="595">
        <f>SUM(I21)/SUM(H21)</f>
        <v>1.0471009459339993</v>
      </c>
      <c r="I53" s="595"/>
      <c r="K53" s="3"/>
      <c r="L53" s="595" t="s">
        <v>65</v>
      </c>
      <c r="M53" s="595" t="s">
        <v>141</v>
      </c>
      <c r="N53" s="595" t="s">
        <v>1727</v>
      </c>
    </row>
    <row r="54" spans="2:14">
      <c r="B54" s="595" t="s">
        <v>1728</v>
      </c>
      <c r="C54" s="595">
        <f>SUM(D22:D26)/SUM(C22:C26)</f>
        <v>2.3516331009553317</v>
      </c>
      <c r="D54" s="595">
        <f>SUM(E21:E25)/SUM(D21:D25)</f>
        <v>1.5438637735795337</v>
      </c>
      <c r="E54" s="595">
        <f>SUM(F21:F24)/SUM(E21:E24)</f>
        <v>1.3278411955580263</v>
      </c>
      <c r="F54" s="595">
        <f>SUM(G21:G23)/SUM(F21:F23)</f>
        <v>1.205403649260111</v>
      </c>
      <c r="G54" s="595">
        <f>SUM(H21:H22)/SUM(G21:G22)</f>
        <v>1.132109306382667</v>
      </c>
      <c r="H54" s="595">
        <f>SUM(I21)/SUM(H21)</f>
        <v>1.0471009459339993</v>
      </c>
      <c r="I54" s="595"/>
      <c r="K54" s="107" t="s">
        <v>58</v>
      </c>
      <c r="L54" s="598" t="s">
        <v>124</v>
      </c>
      <c r="M54" s="598" t="s">
        <v>1729</v>
      </c>
      <c r="N54" s="598" t="s">
        <v>1730</v>
      </c>
    </row>
    <row r="55" spans="2:14">
      <c r="B55" s="595" t="s">
        <v>1731</v>
      </c>
      <c r="C55" s="595">
        <f>SUM(D21:D26)/SUM(C21:C26)</f>
        <v>2.3497357745530327</v>
      </c>
      <c r="D55" s="595">
        <f>SUM(E21:E25)/SUM(D21:D25)</f>
        <v>1.5438637735795337</v>
      </c>
      <c r="E55" s="595">
        <f>SUM(F21:F24)/SUM(E21:E24)</f>
        <v>1.3278411955580263</v>
      </c>
      <c r="F55" s="595">
        <f>SUM(G21:G23)/SUM(F21:F23)</f>
        <v>1.205403649260111</v>
      </c>
      <c r="G55" s="595">
        <f>SUM(H21:H22)/SUM(G21:G22)</f>
        <v>1.132109306382667</v>
      </c>
      <c r="H55" s="595">
        <f>SUM(I21)/SUM(H21)</f>
        <v>1.0471009459339993</v>
      </c>
      <c r="I55" s="595"/>
      <c r="K55" s="94">
        <v>2016</v>
      </c>
      <c r="L55" s="599">
        <f>C30</f>
        <v>2513084</v>
      </c>
      <c r="M55" s="599">
        <f>I21</f>
        <v>2487315</v>
      </c>
      <c r="N55" s="595">
        <f>L55/M55</f>
        <v>1.0103601674898435</v>
      </c>
    </row>
    <row r="56" spans="2:14">
      <c r="B56" s="598"/>
      <c r="C56" s="598"/>
      <c r="D56" s="598"/>
      <c r="E56" s="598"/>
      <c r="F56" s="598"/>
      <c r="G56" s="598"/>
      <c r="H56" s="598"/>
      <c r="I56" s="598"/>
      <c r="K56" s="94">
        <v>2017</v>
      </c>
      <c r="L56" s="599">
        <f>C31</f>
        <v>2665698</v>
      </c>
      <c r="M56" s="599">
        <f>H22*H57</f>
        <v>2625299.8684532903</v>
      </c>
      <c r="N56" s="595">
        <f t="shared" ref="N56:N57" si="2">L56/M56</f>
        <v>1.0153880065405674</v>
      </c>
    </row>
    <row r="57" spans="2:14">
      <c r="B57" s="34" t="s">
        <v>1732</v>
      </c>
      <c r="C57" s="311">
        <f>C55</f>
        <v>2.3497357745530327</v>
      </c>
      <c r="D57" s="311">
        <f t="shared" ref="D57:H57" si="3">D55</f>
        <v>1.5438637735795337</v>
      </c>
      <c r="E57" s="311">
        <f t="shared" si="3"/>
        <v>1.3278411955580263</v>
      </c>
      <c r="F57" s="311">
        <f t="shared" si="3"/>
        <v>1.205403649260111</v>
      </c>
      <c r="G57" s="311">
        <f t="shared" si="3"/>
        <v>1.132109306382667</v>
      </c>
      <c r="H57" s="311">
        <f t="shared" si="3"/>
        <v>1.0471009459339993</v>
      </c>
      <c r="I57" s="595">
        <f>N58</f>
        <v>1.0145687269073107</v>
      </c>
      <c r="K57" s="107">
        <v>2018</v>
      </c>
      <c r="L57" s="600">
        <f>C32</f>
        <v>2809772</v>
      </c>
      <c r="M57" s="600">
        <f>G23*G57*H57</f>
        <v>2760204.2338977004</v>
      </c>
      <c r="N57" s="598">
        <f t="shared" si="2"/>
        <v>1.017958006691521</v>
      </c>
    </row>
    <row r="58" spans="2:14">
      <c r="B58" s="595" t="s">
        <v>1733</v>
      </c>
      <c r="C58" s="595">
        <f t="shared" ref="C58:G58" si="4">D58*C57</f>
        <v>6.9833696292682914</v>
      </c>
      <c r="D58" s="595">
        <f t="shared" si="4"/>
        <v>2.971980809457893</v>
      </c>
      <c r="E58" s="595">
        <f t="shared" si="4"/>
        <v>1.9250278815514861</v>
      </c>
      <c r="F58" s="595">
        <f t="shared" si="4"/>
        <v>1.449742550533305</v>
      </c>
      <c r="G58" s="595">
        <f t="shared" si="4"/>
        <v>1.2027029712604336</v>
      </c>
      <c r="H58" s="595">
        <f>I58*H57</f>
        <v>1.0623558736596985</v>
      </c>
      <c r="I58" s="595">
        <f>I57</f>
        <v>1.0145687269073107</v>
      </c>
      <c r="K58" s="595" t="s">
        <v>175</v>
      </c>
      <c r="L58" s="595"/>
      <c r="M58" s="595"/>
      <c r="N58" s="595">
        <f>AVERAGE(N55:N57)</f>
        <v>1.0145687269073107</v>
      </c>
    </row>
    <row r="59" spans="2:14">
      <c r="B59" s="601" t="s">
        <v>1734</v>
      </c>
      <c r="C59" s="595"/>
      <c r="D59" s="595"/>
      <c r="E59" s="595"/>
      <c r="F59" s="595"/>
      <c r="G59" s="595"/>
      <c r="H59" s="595"/>
      <c r="I59" s="595"/>
    </row>
    <row r="60" spans="2:14">
      <c r="B60" s="595"/>
      <c r="C60" s="595"/>
      <c r="D60" s="595"/>
      <c r="E60" s="595"/>
      <c r="F60" s="595"/>
      <c r="G60" s="595"/>
      <c r="H60" s="595"/>
      <c r="I60" s="595"/>
    </row>
    <row r="61" spans="2:14" ht="15.6" customHeight="1">
      <c r="C61" s="94"/>
      <c r="D61" s="94" t="s">
        <v>276</v>
      </c>
      <c r="E61" s="3"/>
      <c r="F61" s="3"/>
      <c r="G61" s="3"/>
      <c r="H61" s="3"/>
    </row>
    <row r="62" spans="2:14">
      <c r="B62" s="107" t="s">
        <v>324</v>
      </c>
      <c r="C62" s="107" t="s">
        <v>726</v>
      </c>
      <c r="D62" s="107" t="str">
        <f>B62</f>
        <v>Paid Claims</v>
      </c>
    </row>
    <row r="63" spans="2:14">
      <c r="B63" s="602">
        <f>I21</f>
        <v>2487315</v>
      </c>
      <c r="C63" s="311">
        <f>I58</f>
        <v>1.0145687269073107</v>
      </c>
      <c r="D63" s="602">
        <f>B63*C63</f>
        <v>2523552.0129674575</v>
      </c>
    </row>
    <row r="64" spans="2:14">
      <c r="B64" s="603">
        <f>H22</f>
        <v>2507208</v>
      </c>
      <c r="C64" s="311">
        <f>H58</f>
        <v>1.0623558736596985</v>
      </c>
      <c r="D64" s="603">
        <f t="shared" ref="D64:D69" si="5">B64*C64</f>
        <v>2663547.1452865852</v>
      </c>
    </row>
    <row r="65" spans="2:4">
      <c r="B65" s="603">
        <f>G23</f>
        <v>2328436</v>
      </c>
      <c r="C65" s="311">
        <f>G58</f>
        <v>1.2027029712604336</v>
      </c>
      <c r="D65" s="603">
        <f t="shared" si="5"/>
        <v>2800416.8955897591</v>
      </c>
    </row>
    <row r="66" spans="2:4">
      <c r="B66" s="603">
        <f>F24</f>
        <v>2091115</v>
      </c>
      <c r="C66" s="311">
        <f>F58</f>
        <v>1.449742550533305</v>
      </c>
      <c r="D66" s="603">
        <f t="shared" si="5"/>
        <v>3031578.3935584524</v>
      </c>
    </row>
    <row r="67" spans="2:4">
      <c r="B67" s="603">
        <f>E25</f>
        <v>1650625</v>
      </c>
      <c r="C67" s="311">
        <f>E58</f>
        <v>1.9250278815514861</v>
      </c>
      <c r="D67" s="603">
        <f t="shared" si="5"/>
        <v>3177499.1469859215</v>
      </c>
    </row>
    <row r="68" spans="2:4">
      <c r="B68" s="603">
        <f>D26</f>
        <v>1140537</v>
      </c>
      <c r="C68" s="311">
        <f>D58</f>
        <v>2.971980809457893</v>
      </c>
      <c r="D68" s="603">
        <f t="shared" si="5"/>
        <v>3389654.0764766769</v>
      </c>
    </row>
    <row r="69" spans="2:4">
      <c r="B69" s="604">
        <f>C27</f>
        <v>408139</v>
      </c>
      <c r="C69" s="605">
        <f>C58</f>
        <v>6.9833696292682914</v>
      </c>
      <c r="D69" s="604">
        <f t="shared" si="5"/>
        <v>2850185.497119931</v>
      </c>
    </row>
    <row r="70" spans="2:4">
      <c r="B70" s="606">
        <f>SUM(B63:B69)</f>
        <v>12613375</v>
      </c>
      <c r="C70" s="94"/>
      <c r="D70" s="606">
        <f>SUM(D63:D69)</f>
        <v>20436433.167984784</v>
      </c>
    </row>
  </sheetData>
  <mergeCells count="9">
    <mergeCell ref="C34:E34"/>
    <mergeCell ref="C35:E35"/>
    <mergeCell ref="C36:E36"/>
    <mergeCell ref="C19:I19"/>
    <mergeCell ref="C29:E29"/>
    <mergeCell ref="C30:E30"/>
    <mergeCell ref="C31:E31"/>
    <mergeCell ref="C32:E32"/>
    <mergeCell ref="C33:E33"/>
  </mergeCells>
  <hyperlinks>
    <hyperlink ref="O1" location="TOC!A1" display="Table of Contents" xr:uid="{E3221AB2-7CB6-4C3E-A960-F08D73076922}"/>
  </hyperlinks>
  <pageMargins left="0.7" right="0.7" top="0.75" bottom="0.75" header="0.3" footer="0.3"/>
  <pageSetup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CEA2-A3B5-42FE-95C9-73113B637856}">
  <dimension ref="A1:R46"/>
  <sheetViews>
    <sheetView zoomScaleNormal="100" workbookViewId="0"/>
  </sheetViews>
  <sheetFormatPr defaultColWidth="8.88671875" defaultRowHeight="15.6"/>
  <cols>
    <col min="1" max="1" width="17" style="2" customWidth="1"/>
    <col min="2" max="3" width="15.6640625" style="2" customWidth="1"/>
    <col min="4" max="4" width="16.5546875" style="2" customWidth="1"/>
    <col min="5" max="7" width="15.6640625" style="2" customWidth="1"/>
    <col min="8" max="8" width="8.88671875" style="2" customWidth="1"/>
    <col min="9" max="16384" width="8.88671875" style="2"/>
  </cols>
  <sheetData>
    <row r="1" spans="1:18" ht="17.399999999999999">
      <c r="A1" s="13" t="s">
        <v>1948</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260" t="s">
        <v>1735</v>
      </c>
      <c r="B3" s="1"/>
      <c r="C3" s="1"/>
      <c r="D3" s="1"/>
      <c r="E3" s="1"/>
      <c r="F3" s="1"/>
      <c r="G3" s="1"/>
      <c r="H3" s="1"/>
      <c r="I3" s="1"/>
      <c r="J3" s="1"/>
      <c r="K3" s="1"/>
      <c r="L3" s="14"/>
    </row>
    <row r="4" spans="1:18">
      <c r="A4" s="43"/>
      <c r="B4" s="1"/>
      <c r="C4" s="1"/>
      <c r="D4" s="1"/>
      <c r="E4" s="1"/>
      <c r="F4" s="1"/>
      <c r="G4" s="1"/>
      <c r="H4" s="1"/>
      <c r="I4" s="1"/>
      <c r="J4" s="1"/>
      <c r="K4" s="1"/>
      <c r="L4" s="1"/>
    </row>
    <row r="5" spans="1:18" ht="78">
      <c r="A5" s="43"/>
      <c r="B5" s="4" t="s">
        <v>3</v>
      </c>
      <c r="C5" s="4" t="s">
        <v>4</v>
      </c>
      <c r="D5" s="4" t="s">
        <v>693</v>
      </c>
      <c r="E5" s="4" t="s">
        <v>694</v>
      </c>
      <c r="F5" s="4" t="s">
        <v>1038</v>
      </c>
      <c r="G5" s="4" t="s">
        <v>1039</v>
      </c>
      <c r="H5" s="1"/>
      <c r="I5" s="1"/>
      <c r="J5" s="1"/>
      <c r="K5" s="1"/>
      <c r="L5" s="1"/>
    </row>
    <row r="6" spans="1:18">
      <c r="A6" s="43"/>
      <c r="B6" s="32">
        <v>2019</v>
      </c>
      <c r="C6" s="92">
        <v>8700</v>
      </c>
      <c r="D6" s="92">
        <v>7447430</v>
      </c>
      <c r="E6" s="92">
        <v>7377050</v>
      </c>
      <c r="F6" s="92">
        <v>670269</v>
      </c>
      <c r="G6" s="92">
        <v>243420</v>
      </c>
      <c r="H6" s="1"/>
      <c r="I6" s="1"/>
      <c r="J6" s="1"/>
      <c r="K6" s="1"/>
      <c r="L6" s="1"/>
    </row>
    <row r="7" spans="1:18">
      <c r="A7" s="43"/>
      <c r="B7" s="32">
        <v>2020</v>
      </c>
      <c r="C7" s="92">
        <v>9150</v>
      </c>
      <c r="D7" s="92">
        <v>7895360</v>
      </c>
      <c r="E7" s="92">
        <v>7846640</v>
      </c>
      <c r="F7" s="92">
        <v>710582</v>
      </c>
      <c r="G7" s="92">
        <v>253065</v>
      </c>
      <c r="H7" s="1"/>
      <c r="I7" s="1"/>
      <c r="J7" s="1"/>
      <c r="K7" s="1"/>
      <c r="L7" s="1"/>
    </row>
    <row r="8" spans="1:18">
      <c r="A8" s="43"/>
      <c r="B8" s="32">
        <v>2021</v>
      </c>
      <c r="C8" s="92">
        <v>9340</v>
      </c>
      <c r="D8" s="92">
        <v>8112390</v>
      </c>
      <c r="E8" s="92">
        <v>8090270</v>
      </c>
      <c r="F8" s="92">
        <v>730115</v>
      </c>
      <c r="G8" s="92">
        <v>260640</v>
      </c>
      <c r="H8" s="1"/>
      <c r="I8" s="1"/>
      <c r="J8" s="1"/>
      <c r="K8" s="1"/>
      <c r="L8" s="1"/>
    </row>
    <row r="9" spans="1:18">
      <c r="A9" s="1"/>
      <c r="B9" s="32">
        <v>2022</v>
      </c>
      <c r="C9" s="92">
        <v>9240</v>
      </c>
      <c r="D9" s="92">
        <v>8097340</v>
      </c>
      <c r="E9" s="92">
        <v>8083570</v>
      </c>
      <c r="F9" s="92">
        <v>728761</v>
      </c>
      <c r="G9" s="92">
        <v>268436</v>
      </c>
      <c r="H9" s="1"/>
      <c r="I9" s="1"/>
      <c r="J9" s="1"/>
      <c r="K9" s="1"/>
      <c r="L9" s="1"/>
    </row>
    <row r="10" spans="1:18">
      <c r="A10" s="1"/>
      <c r="B10" s="32" t="s">
        <v>1736</v>
      </c>
      <c r="C10" s="92">
        <v>9120</v>
      </c>
      <c r="D10" s="92">
        <v>8050000</v>
      </c>
      <c r="E10" s="92">
        <v>8048900</v>
      </c>
      <c r="F10" s="92">
        <v>724500</v>
      </c>
      <c r="G10" s="92">
        <v>285000</v>
      </c>
      <c r="H10" s="1"/>
      <c r="I10" s="1"/>
      <c r="J10" s="1"/>
      <c r="K10" s="1"/>
      <c r="L10" s="1"/>
    </row>
    <row r="11" spans="1:18">
      <c r="A11" s="43"/>
      <c r="B11" s="1"/>
      <c r="C11" s="1"/>
      <c r="D11" s="1"/>
      <c r="E11" s="1"/>
      <c r="F11" s="1"/>
      <c r="G11" s="1"/>
      <c r="H11" s="1"/>
      <c r="I11" s="1"/>
      <c r="J11" s="1"/>
      <c r="K11" s="1"/>
      <c r="L11" s="1"/>
    </row>
    <row r="12" spans="1:18">
      <c r="A12" s="1"/>
      <c r="B12" s="519" t="s">
        <v>1737</v>
      </c>
      <c r="C12" s="14"/>
      <c r="D12" s="377">
        <v>0.25</v>
      </c>
      <c r="E12" s="204" t="s">
        <v>1738</v>
      </c>
      <c r="F12" s="1"/>
      <c r="G12" s="14"/>
      <c r="H12" s="1"/>
      <c r="I12" s="1"/>
      <c r="J12" s="1"/>
      <c r="K12" s="1"/>
      <c r="L12" s="1"/>
    </row>
    <row r="13" spans="1:18">
      <c r="A13" s="1"/>
      <c r="B13" s="519" t="s">
        <v>1739</v>
      </c>
      <c r="C13" s="1"/>
      <c r="D13" s="204"/>
      <c r="E13" s="231">
        <v>2500000</v>
      </c>
      <c r="F13" s="1" t="s">
        <v>1740</v>
      </c>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204" t="s">
        <v>1741</v>
      </c>
      <c r="C16" s="1"/>
      <c r="D16" s="1"/>
      <c r="E16" s="1"/>
      <c r="F16" s="1"/>
      <c r="G16" s="1"/>
      <c r="H16" s="1"/>
      <c r="I16" s="1"/>
      <c r="J16" s="1"/>
      <c r="K16" s="1"/>
      <c r="L16" s="1"/>
      <c r="M16" s="9"/>
      <c r="N16" s="9"/>
      <c r="O16" s="9"/>
      <c r="P16" s="9"/>
      <c r="Q16" s="9"/>
      <c r="R16" s="9"/>
    </row>
    <row r="17" spans="1:14">
      <c r="A17" s="3"/>
      <c r="B17" s="3"/>
      <c r="C17" s="3"/>
      <c r="D17" s="3"/>
      <c r="E17" s="3"/>
      <c r="F17" s="3"/>
      <c r="G17" s="3"/>
      <c r="H17" s="3"/>
      <c r="I17" s="3"/>
      <c r="J17" s="3"/>
      <c r="K17" s="3"/>
      <c r="L17" s="3"/>
      <c r="M17" s="3"/>
    </row>
    <row r="18" spans="1:14">
      <c r="A18" s="3" t="s">
        <v>20</v>
      </c>
      <c r="B18" s="3"/>
      <c r="C18" s="3"/>
      <c r="D18" s="3"/>
      <c r="E18" s="3"/>
      <c r="F18" s="3"/>
      <c r="G18" s="3"/>
      <c r="H18" s="3"/>
      <c r="I18" s="3"/>
      <c r="J18" s="3"/>
      <c r="K18" s="3"/>
      <c r="L18" s="3"/>
      <c r="M18" s="3"/>
      <c r="N18" s="9"/>
    </row>
    <row r="19" spans="1:14">
      <c r="A19" s="3"/>
      <c r="B19" s="553" t="s">
        <v>1039</v>
      </c>
      <c r="C19" s="553"/>
      <c r="D19" s="3"/>
      <c r="E19" s="3"/>
      <c r="F19" s="3"/>
      <c r="G19" s="3"/>
      <c r="H19" s="3"/>
      <c r="I19" s="3"/>
      <c r="J19" s="3"/>
      <c r="K19" s="3"/>
      <c r="M19" s="9"/>
      <c r="N19" s="9"/>
    </row>
    <row r="20" spans="1:14" ht="46.8">
      <c r="A20" s="93" t="s">
        <v>3</v>
      </c>
      <c r="B20" s="93" t="s">
        <v>1049</v>
      </c>
      <c r="C20" s="93" t="s">
        <v>1742</v>
      </c>
      <c r="D20" s="93" t="s">
        <v>1048</v>
      </c>
      <c r="E20" s="93" t="s">
        <v>1051</v>
      </c>
      <c r="F20" s="3"/>
      <c r="G20" s="3"/>
      <c r="H20" s="3"/>
      <c r="I20" s="3"/>
      <c r="J20" s="3"/>
      <c r="K20" s="3"/>
      <c r="M20" s="9"/>
      <c r="N20" s="9"/>
    </row>
    <row r="21" spans="1:14">
      <c r="A21" s="34">
        <f>B6</f>
        <v>2019</v>
      </c>
      <c r="B21" s="83">
        <f>ROUND(G6*(1-$D$12),0)</f>
        <v>182565</v>
      </c>
      <c r="C21" s="177">
        <f>B21/E6</f>
        <v>2.474769725025586E-2</v>
      </c>
      <c r="D21" s="177">
        <f>F6/D6</f>
        <v>9.0000040282352436E-2</v>
      </c>
      <c r="E21" s="177"/>
      <c r="M21" s="9"/>
      <c r="N21" s="9"/>
    </row>
    <row r="22" spans="1:14">
      <c r="A22" s="34">
        <f t="shared" ref="A22:A25" si="0">B7</f>
        <v>2020</v>
      </c>
      <c r="B22" s="83">
        <f>ROUND(G7*(1-$D$12),0)</f>
        <v>189799</v>
      </c>
      <c r="C22" s="177">
        <f>B22/E7</f>
        <v>2.4188569884689499E-2</v>
      </c>
      <c r="D22" s="177">
        <f t="shared" ref="D22:D25" si="1">F7/D7</f>
        <v>8.9999949337332311E-2</v>
      </c>
      <c r="E22" s="177"/>
      <c r="M22" s="9"/>
      <c r="N22" s="9"/>
    </row>
    <row r="23" spans="1:14">
      <c r="A23" s="34">
        <f t="shared" si="0"/>
        <v>2021</v>
      </c>
      <c r="B23" s="83">
        <f>ROUND(G8*(1-$D$12),0)</f>
        <v>195480</v>
      </c>
      <c r="C23" s="177">
        <f>B23/E8</f>
        <v>2.4162357992996524E-2</v>
      </c>
      <c r="D23" s="177">
        <f t="shared" si="1"/>
        <v>8.9999987673176463E-2</v>
      </c>
      <c r="E23" s="177"/>
      <c r="M23" s="9"/>
      <c r="N23" s="9"/>
    </row>
    <row r="24" spans="1:14">
      <c r="A24" s="34">
        <f t="shared" si="0"/>
        <v>2022</v>
      </c>
      <c r="B24" s="83">
        <f>ROUND(G9*(1-$D$12),0)</f>
        <v>201327</v>
      </c>
      <c r="C24" s="177">
        <f>B24/E9</f>
        <v>2.4905703791765273E-2</v>
      </c>
      <c r="D24" s="177">
        <f t="shared" si="1"/>
        <v>9.0000049398938423E-2</v>
      </c>
      <c r="E24" s="177"/>
      <c r="M24" s="9"/>
      <c r="N24" s="9"/>
    </row>
    <row r="25" spans="1:14">
      <c r="A25" s="34" t="str">
        <f t="shared" si="0"/>
        <v>2023 Budget</v>
      </c>
      <c r="B25" s="83">
        <f>ROUND(G10*(1-$D$12),0)</f>
        <v>213750</v>
      </c>
      <c r="C25" s="177">
        <f>B25/E10</f>
        <v>2.655642385916088E-2</v>
      </c>
      <c r="D25" s="177">
        <f t="shared" si="1"/>
        <v>0.09</v>
      </c>
      <c r="E25" s="177"/>
      <c r="M25" s="9"/>
      <c r="N25" s="9"/>
    </row>
    <row r="26" spans="1:14">
      <c r="A26" s="34"/>
      <c r="B26" s="83"/>
      <c r="C26" s="177"/>
      <c r="D26" s="607"/>
      <c r="E26" s="177"/>
      <c r="M26" s="9"/>
      <c r="N26" s="9"/>
    </row>
    <row r="27" spans="1:14">
      <c r="A27" s="34" t="s">
        <v>1355</v>
      </c>
      <c r="B27" s="83"/>
      <c r="C27" s="177">
        <f>C25</f>
        <v>2.655642385916088E-2</v>
      </c>
      <c r="D27" s="177">
        <f>D25</f>
        <v>0.09</v>
      </c>
      <c r="E27" s="177">
        <f t="shared" ref="E27" si="2">C27+D27</f>
        <v>0.11655642385916087</v>
      </c>
      <c r="M27" s="9"/>
      <c r="N27" s="9"/>
    </row>
    <row r="28" spans="1:14">
      <c r="A28" s="2" t="s">
        <v>1743</v>
      </c>
      <c r="B28" s="83"/>
      <c r="D28" s="177"/>
      <c r="E28" s="177"/>
      <c r="M28" s="9"/>
      <c r="N28" s="9"/>
    </row>
    <row r="30" spans="1:14">
      <c r="A30" s="17" t="s">
        <v>133</v>
      </c>
      <c r="B30" s="1" t="s">
        <v>1057</v>
      </c>
      <c r="C30" s="1"/>
      <c r="D30" s="1"/>
      <c r="E30" s="1"/>
      <c r="F30" s="1"/>
      <c r="G30" s="1"/>
      <c r="H30" s="1"/>
      <c r="I30" s="1"/>
      <c r="J30" s="1"/>
      <c r="K30" s="1"/>
      <c r="L30" s="1"/>
    </row>
    <row r="31" spans="1:14">
      <c r="A31" s="3"/>
      <c r="B31" s="3"/>
      <c r="C31" s="3"/>
      <c r="D31" s="3"/>
      <c r="E31" s="3"/>
      <c r="F31" s="3"/>
      <c r="G31" s="3"/>
      <c r="H31" s="3"/>
      <c r="I31" s="3"/>
      <c r="J31" s="3"/>
      <c r="K31" s="3"/>
      <c r="L31" s="3"/>
    </row>
    <row r="32" spans="1:14">
      <c r="A32" s="3" t="s">
        <v>20</v>
      </c>
      <c r="B32" s="3"/>
      <c r="C32" s="3"/>
      <c r="D32" s="3"/>
      <c r="E32" s="3"/>
      <c r="F32" s="3"/>
      <c r="G32" s="3"/>
      <c r="H32" s="3"/>
      <c r="I32" s="3"/>
      <c r="J32" s="3"/>
      <c r="K32" s="3"/>
      <c r="L32" s="3"/>
    </row>
    <row r="33" spans="1:3" ht="46.8">
      <c r="A33" s="36" t="s">
        <v>3</v>
      </c>
      <c r="B33" s="36" t="s">
        <v>1058</v>
      </c>
      <c r="C33" s="36" t="s">
        <v>1059</v>
      </c>
    </row>
    <row r="34" spans="1:3">
      <c r="A34" s="34">
        <f>A21</f>
        <v>2019</v>
      </c>
      <c r="B34" s="83">
        <f>G6*$D$12</f>
        <v>60855</v>
      </c>
      <c r="C34" s="176">
        <f>B34/C6</f>
        <v>6.9948275862068963</v>
      </c>
    </row>
    <row r="35" spans="1:3">
      <c r="A35" s="34">
        <f>A22</f>
        <v>2020</v>
      </c>
      <c r="B35" s="83">
        <f>G7*$D$12</f>
        <v>63266.25</v>
      </c>
      <c r="C35" s="176">
        <f>B35/C7</f>
        <v>6.9143442622950824</v>
      </c>
    </row>
    <row r="36" spans="1:3">
      <c r="A36" s="34">
        <f>A23</f>
        <v>2021</v>
      </c>
      <c r="B36" s="83">
        <f>G8*$D$12</f>
        <v>65160</v>
      </c>
      <c r="C36" s="176">
        <f>B36/C8</f>
        <v>6.9764453961456105</v>
      </c>
    </row>
    <row r="37" spans="1:3">
      <c r="A37" s="34">
        <f>A24</f>
        <v>2022</v>
      </c>
      <c r="B37" s="83">
        <f>G9*$D$12</f>
        <v>67109</v>
      </c>
      <c r="C37" s="176">
        <f>B37/C9</f>
        <v>7.2628787878787877</v>
      </c>
    </row>
    <row r="38" spans="1:3">
      <c r="A38" s="34" t="str">
        <f>A25</f>
        <v>2023 Budget</v>
      </c>
      <c r="B38" s="83">
        <f>G10*$D$12</f>
        <v>71250</v>
      </c>
      <c r="C38" s="176">
        <f>B38/C10</f>
        <v>7.8125</v>
      </c>
    </row>
    <row r="40" spans="1:3">
      <c r="B40" s="151" t="s">
        <v>722</v>
      </c>
      <c r="C40" s="237">
        <f>C38</f>
        <v>7.8125</v>
      </c>
    </row>
    <row r="42" spans="1:3">
      <c r="A42" s="2" t="s">
        <v>1744</v>
      </c>
      <c r="C42" s="176">
        <f>E13/C10/4</f>
        <v>68.530701754385959</v>
      </c>
    </row>
    <row r="43" spans="1:3">
      <c r="A43" s="60" t="s">
        <v>1745</v>
      </c>
    </row>
    <row r="44" spans="1:3">
      <c r="A44" s="2" t="s">
        <v>1743</v>
      </c>
    </row>
    <row r="46" spans="1:3">
      <c r="A46" s="2" t="s">
        <v>1062</v>
      </c>
      <c r="C46" s="237">
        <f>C40+C42</f>
        <v>76.343201754385959</v>
      </c>
    </row>
  </sheetData>
  <hyperlinks>
    <hyperlink ref="O1" location="TOC!A1" display="Table of Contents" xr:uid="{0AB073D6-A5D4-4983-AE8D-2DAF0A7DDBD2}"/>
  </hyperlinks>
  <pageMargins left="0.7" right="0.7" top="0.75" bottom="0.75" header="0.3" footer="0.3"/>
  <pageSetup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14761-D14D-4C8A-9A9B-F484021B39AF}">
  <dimension ref="A1:R128"/>
  <sheetViews>
    <sheetView zoomScaleNormal="100" workbookViewId="0"/>
  </sheetViews>
  <sheetFormatPr defaultColWidth="8.88671875" defaultRowHeight="15.6"/>
  <cols>
    <col min="1" max="1" width="8.88671875" style="2" customWidth="1"/>
    <col min="2" max="4" width="15.33203125" style="2" customWidth="1"/>
    <col min="5" max="7" width="13.33203125" style="2" customWidth="1"/>
    <col min="8" max="8" width="13.88671875" style="2" customWidth="1"/>
    <col min="9" max="11" width="12.77734375" style="2" customWidth="1"/>
    <col min="12" max="16384" width="8.88671875" style="2"/>
  </cols>
  <sheetData>
    <row r="1" spans="1:15" ht="17.399999999999999">
      <c r="A1" s="13" t="s">
        <v>1949</v>
      </c>
      <c r="B1" s="1"/>
      <c r="C1" s="1"/>
      <c r="D1" s="1" t="s">
        <v>176</v>
      </c>
      <c r="E1" s="1"/>
      <c r="F1" s="1"/>
      <c r="G1" s="1"/>
      <c r="H1" s="1"/>
      <c r="I1" s="1"/>
      <c r="J1" s="1"/>
      <c r="K1" s="1"/>
      <c r="L1" s="14"/>
      <c r="O1" s="21" t="s">
        <v>2927</v>
      </c>
    </row>
    <row r="2" spans="1:15">
      <c r="A2" s="1"/>
      <c r="B2" s="1"/>
      <c r="C2" s="1"/>
      <c r="D2" s="1"/>
      <c r="E2" s="1"/>
      <c r="F2" s="1"/>
      <c r="G2" s="1"/>
      <c r="H2" s="1"/>
      <c r="I2" s="1"/>
      <c r="J2" s="1"/>
      <c r="K2" s="1"/>
      <c r="L2" s="14"/>
    </row>
    <row r="3" spans="1:15">
      <c r="A3" s="260" t="s">
        <v>1746</v>
      </c>
      <c r="B3" s="1"/>
      <c r="C3" s="1"/>
      <c r="D3" s="1"/>
      <c r="E3" s="1"/>
      <c r="F3" s="1"/>
      <c r="G3" s="1"/>
      <c r="H3" s="1"/>
      <c r="I3" s="1"/>
      <c r="J3" s="1"/>
      <c r="K3" s="1"/>
      <c r="L3" s="14"/>
    </row>
    <row r="4" spans="1:15">
      <c r="A4" s="43"/>
      <c r="B4" s="1"/>
      <c r="C4" s="1"/>
      <c r="D4" s="1"/>
      <c r="E4" s="1"/>
      <c r="F4" s="1"/>
      <c r="G4" s="1"/>
      <c r="H4" s="1"/>
      <c r="I4" s="1"/>
      <c r="J4" s="1"/>
      <c r="K4" s="1"/>
      <c r="L4" s="1"/>
    </row>
    <row r="5" spans="1:15">
      <c r="A5" s="43"/>
      <c r="B5" s="608"/>
      <c r="C5" s="246"/>
      <c r="D5" s="853" t="s">
        <v>1747</v>
      </c>
      <c r="E5" s="841"/>
      <c r="F5" s="841"/>
      <c r="G5" s="841"/>
      <c r="H5" s="1"/>
      <c r="I5" s="1"/>
      <c r="J5" s="1"/>
      <c r="K5" s="1"/>
      <c r="L5" s="1"/>
    </row>
    <row r="6" spans="1:15">
      <c r="A6" s="43"/>
      <c r="B6" s="836" t="s">
        <v>170</v>
      </c>
      <c r="C6" s="854"/>
      <c r="D6" s="195">
        <v>500000</v>
      </c>
      <c r="E6" s="196">
        <v>1000000</v>
      </c>
      <c r="F6" s="196">
        <v>1500000</v>
      </c>
      <c r="G6" s="196">
        <v>2000000</v>
      </c>
      <c r="H6" s="1"/>
      <c r="I6" s="1"/>
      <c r="J6" s="1"/>
      <c r="K6" s="1"/>
      <c r="L6" s="1"/>
    </row>
    <row r="7" spans="1:15">
      <c r="A7" s="43"/>
      <c r="B7" s="826">
        <v>2015</v>
      </c>
      <c r="C7" s="826"/>
      <c r="D7" s="92">
        <v>7553</v>
      </c>
      <c r="E7" s="92">
        <v>5440</v>
      </c>
      <c r="F7" s="92">
        <v>4200</v>
      </c>
      <c r="G7" s="92">
        <v>2460</v>
      </c>
      <c r="H7" s="1"/>
      <c r="I7" s="1"/>
      <c r="J7" s="1"/>
      <c r="K7" s="1"/>
      <c r="L7" s="1"/>
    </row>
    <row r="8" spans="1:15">
      <c r="A8" s="43"/>
      <c r="B8" s="826">
        <v>2016</v>
      </c>
      <c r="C8" s="826"/>
      <c r="D8" s="92">
        <v>7504</v>
      </c>
      <c r="E8" s="92">
        <v>5511</v>
      </c>
      <c r="F8" s="92">
        <v>4320</v>
      </c>
      <c r="G8" s="92">
        <v>2574</v>
      </c>
      <c r="H8" s="1"/>
      <c r="I8" s="1"/>
      <c r="J8" s="1"/>
      <c r="K8" s="1"/>
      <c r="L8" s="1"/>
    </row>
    <row r="9" spans="1:15">
      <c r="A9" s="1"/>
      <c r="B9" s="826">
        <v>2017</v>
      </c>
      <c r="C9" s="826"/>
      <c r="D9" s="92">
        <v>7297</v>
      </c>
      <c r="E9" s="92">
        <v>5573</v>
      </c>
      <c r="F9" s="92">
        <v>4410</v>
      </c>
      <c r="G9" s="92">
        <v>2673</v>
      </c>
      <c r="H9" s="1"/>
      <c r="I9" s="1"/>
      <c r="J9" s="1"/>
      <c r="K9" s="1"/>
      <c r="L9" s="1"/>
    </row>
    <row r="10" spans="1:15">
      <c r="A10" s="1"/>
      <c r="B10" s="826">
        <v>2018</v>
      </c>
      <c r="C10" s="826"/>
      <c r="D10" s="92">
        <v>7218</v>
      </c>
      <c r="E10" s="92">
        <v>5536</v>
      </c>
      <c r="F10" s="92">
        <v>4501</v>
      </c>
      <c r="G10" s="92">
        <v>2806</v>
      </c>
      <c r="H10" s="1"/>
      <c r="I10" s="1"/>
      <c r="J10" s="1"/>
      <c r="K10" s="1"/>
      <c r="L10" s="1"/>
    </row>
    <row r="11" spans="1:15">
      <c r="A11" s="43"/>
      <c r="B11" s="826">
        <v>2019</v>
      </c>
      <c r="C11" s="826"/>
      <c r="D11" s="92">
        <v>7091</v>
      </c>
      <c r="E11" s="92">
        <v>5546</v>
      </c>
      <c r="F11" s="92">
        <v>4549</v>
      </c>
      <c r="G11" s="92">
        <v>2978</v>
      </c>
      <c r="H11" s="1"/>
      <c r="I11" s="1"/>
      <c r="J11" s="1"/>
      <c r="K11" s="1"/>
      <c r="L11" s="1"/>
    </row>
    <row r="12" spans="1:15">
      <c r="A12" s="1"/>
      <c r="B12" s="826">
        <v>2020</v>
      </c>
      <c r="C12" s="826"/>
      <c r="D12" s="92">
        <v>7011</v>
      </c>
      <c r="E12" s="92">
        <v>5598</v>
      </c>
      <c r="F12" s="92">
        <v>4675</v>
      </c>
      <c r="G12" s="92">
        <v>3125</v>
      </c>
      <c r="H12" s="1"/>
      <c r="I12" s="1"/>
      <c r="J12" s="1"/>
      <c r="K12" s="1"/>
      <c r="L12" s="1"/>
    </row>
    <row r="13" spans="1:15">
      <c r="A13" s="1"/>
      <c r="B13" s="826">
        <v>2021</v>
      </c>
      <c r="C13" s="826"/>
      <c r="D13" s="92">
        <v>6879</v>
      </c>
      <c r="E13" s="92">
        <v>5688</v>
      </c>
      <c r="F13" s="92">
        <v>4720</v>
      </c>
      <c r="G13" s="92">
        <v>3257</v>
      </c>
      <c r="H13" s="1"/>
      <c r="I13" s="1"/>
      <c r="J13" s="1"/>
      <c r="K13" s="1"/>
      <c r="L13" s="1"/>
    </row>
    <row r="14" spans="1:15">
      <c r="A14" s="1"/>
      <c r="B14" s="826">
        <v>2022</v>
      </c>
      <c r="C14" s="826"/>
      <c r="D14" s="92">
        <v>6906</v>
      </c>
      <c r="E14" s="92">
        <v>5685</v>
      </c>
      <c r="F14" s="92">
        <v>4758</v>
      </c>
      <c r="G14" s="92">
        <v>3403</v>
      </c>
      <c r="H14" s="1"/>
      <c r="I14" s="1"/>
      <c r="J14" s="1"/>
      <c r="K14" s="1"/>
      <c r="L14" s="1"/>
    </row>
    <row r="15" spans="1:15" ht="31.2" customHeight="1">
      <c r="A15" s="1"/>
      <c r="B15" s="825" t="s">
        <v>1748</v>
      </c>
      <c r="C15" s="825"/>
      <c r="D15" s="201">
        <v>0.85</v>
      </c>
      <c r="E15" s="201">
        <v>1</v>
      </c>
      <c r="F15" s="201">
        <v>1.1299999999999999</v>
      </c>
      <c r="G15" s="201">
        <v>1.24</v>
      </c>
      <c r="H15" s="1"/>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91</v>
      </c>
      <c r="B18" s="1" t="s">
        <v>1749</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4"/>
      <c r="C21" s="34" t="s">
        <v>1433</v>
      </c>
      <c r="D21" s="34" t="s">
        <v>1750</v>
      </c>
      <c r="E21" s="3"/>
      <c r="F21" s="3"/>
      <c r="G21" s="3"/>
      <c r="H21" s="3"/>
      <c r="I21" s="3"/>
      <c r="J21" s="3"/>
      <c r="K21" s="3"/>
      <c r="L21" s="3"/>
      <c r="M21" s="3"/>
      <c r="N21" s="9"/>
    </row>
    <row r="22" spans="1:18">
      <c r="A22" s="3"/>
      <c r="B22" s="34" t="s">
        <v>1751</v>
      </c>
      <c r="C22" s="34" t="s">
        <v>175</v>
      </c>
      <c r="D22" s="34" t="s">
        <v>1752</v>
      </c>
      <c r="E22" s="3"/>
      <c r="F22" s="3"/>
      <c r="G22" s="3"/>
      <c r="H22" s="3"/>
      <c r="I22" s="3"/>
      <c r="J22" s="3"/>
      <c r="K22" s="3"/>
      <c r="L22" s="3"/>
      <c r="M22" s="3"/>
      <c r="N22" s="9"/>
    </row>
    <row r="23" spans="1:18">
      <c r="A23" s="3"/>
      <c r="B23" s="35" t="s">
        <v>759</v>
      </c>
      <c r="C23" s="35" t="s">
        <v>1753</v>
      </c>
      <c r="D23" s="35" t="s">
        <v>1754</v>
      </c>
      <c r="E23" s="3"/>
      <c r="F23" s="3"/>
      <c r="G23" s="3"/>
      <c r="H23" s="3"/>
      <c r="I23" s="3"/>
      <c r="J23" s="3"/>
      <c r="K23" s="3"/>
      <c r="L23" s="3"/>
      <c r="M23" s="3"/>
      <c r="N23" s="9"/>
    </row>
    <row r="24" spans="1:18">
      <c r="A24" s="3"/>
      <c r="B24" s="34">
        <f>B7</f>
        <v>2015</v>
      </c>
      <c r="C24" s="132">
        <f t="shared" ref="C24:C31" si="0">SUMPRODUCT(D7:G7,$D$15:$G$15)/SUM(D7:G7)</f>
        <v>1.0001755457182111</v>
      </c>
      <c r="E24" s="3"/>
      <c r="F24" s="3"/>
      <c r="G24" s="3"/>
      <c r="H24" s="3"/>
      <c r="I24" s="3"/>
      <c r="J24" s="3"/>
      <c r="K24" s="3"/>
      <c r="L24" s="3"/>
      <c r="M24" s="3"/>
      <c r="N24" s="9"/>
    </row>
    <row r="25" spans="1:18">
      <c r="A25" s="3"/>
      <c r="B25" s="34">
        <f t="shared" ref="B25:B31" si="1">B8</f>
        <v>2016</v>
      </c>
      <c r="C25" s="132">
        <f t="shared" si="0"/>
        <v>1.002700286302677</v>
      </c>
      <c r="D25" s="177">
        <f>C25/C24-1</f>
        <v>2.5242974548562724E-3</v>
      </c>
      <c r="E25" s="3"/>
      <c r="F25" s="3"/>
      <c r="G25" s="3"/>
      <c r="H25" s="3"/>
      <c r="I25" s="3"/>
      <c r="J25" s="3"/>
      <c r="K25" s="3"/>
      <c r="L25" s="3"/>
      <c r="M25" s="3"/>
      <c r="N25" s="9"/>
    </row>
    <row r="26" spans="1:18">
      <c r="A26" s="3"/>
      <c r="B26" s="34">
        <f t="shared" si="1"/>
        <v>2017</v>
      </c>
      <c r="C26" s="132">
        <f t="shared" si="0"/>
        <v>1.00602766501278</v>
      </c>
      <c r="D26" s="177">
        <f t="shared" ref="D26:D31" si="2">C26/C25-1</f>
        <v>3.3184180313463596E-3</v>
      </c>
      <c r="E26" s="3"/>
      <c r="F26" s="3"/>
      <c r="G26" s="3"/>
      <c r="H26" s="3"/>
      <c r="I26" s="3"/>
      <c r="J26" s="3"/>
      <c r="K26" s="3"/>
      <c r="L26" s="3"/>
      <c r="M26" s="3"/>
      <c r="N26" s="9"/>
    </row>
    <row r="27" spans="1:18">
      <c r="A27" s="3"/>
      <c r="B27" s="34">
        <f t="shared" si="1"/>
        <v>2018</v>
      </c>
      <c r="C27" s="132">
        <f t="shared" si="0"/>
        <v>1.0087667613777977</v>
      </c>
      <c r="D27" s="177">
        <f t="shared" si="2"/>
        <v>2.7226849323105373E-3</v>
      </c>
      <c r="E27" s="3"/>
      <c r="F27" s="3"/>
      <c r="G27" s="3"/>
      <c r="H27" s="3"/>
      <c r="I27" s="3"/>
      <c r="J27" s="3"/>
      <c r="K27" s="3"/>
      <c r="L27" s="3"/>
      <c r="M27" s="3"/>
      <c r="N27" s="9"/>
    </row>
    <row r="28" spans="1:18">
      <c r="A28" s="3"/>
      <c r="B28" s="34">
        <f t="shared" si="1"/>
        <v>2019</v>
      </c>
      <c r="C28" s="132">
        <f t="shared" si="0"/>
        <v>1.0120234080539574</v>
      </c>
      <c r="D28" s="177">
        <f t="shared" si="2"/>
        <v>3.2283445498457741E-3</v>
      </c>
      <c r="E28" s="3"/>
      <c r="F28" s="3"/>
      <c r="G28" s="3"/>
      <c r="H28" s="3"/>
      <c r="I28" s="3"/>
      <c r="J28" s="3"/>
      <c r="K28" s="3"/>
      <c r="L28" s="3"/>
      <c r="M28" s="3"/>
      <c r="N28" s="9"/>
    </row>
    <row r="29" spans="1:18">
      <c r="A29" s="3"/>
      <c r="B29" s="34">
        <f t="shared" si="1"/>
        <v>2020</v>
      </c>
      <c r="C29" s="132">
        <f t="shared" si="0"/>
        <v>1.0149982850703121</v>
      </c>
      <c r="D29" s="177">
        <f t="shared" si="2"/>
        <v>2.9395338019653217E-3</v>
      </c>
      <c r="E29" s="3"/>
      <c r="F29" s="3"/>
      <c r="G29" s="3"/>
      <c r="H29" s="3"/>
      <c r="I29" s="3"/>
      <c r="J29" s="3"/>
      <c r="K29" s="3"/>
      <c r="L29" s="3"/>
      <c r="M29" s="3"/>
      <c r="N29" s="9"/>
    </row>
    <row r="30" spans="1:18">
      <c r="A30" s="3"/>
      <c r="B30" s="34">
        <f t="shared" si="1"/>
        <v>2021</v>
      </c>
      <c r="C30" s="132">
        <f t="shared" si="0"/>
        <v>1.0176903232087227</v>
      </c>
      <c r="D30" s="177">
        <f t="shared" si="2"/>
        <v>2.6522588047763751E-3</v>
      </c>
      <c r="E30" s="3"/>
      <c r="F30" s="3"/>
      <c r="G30" s="3"/>
      <c r="H30" s="3"/>
      <c r="I30" s="3"/>
      <c r="J30" s="3"/>
      <c r="K30" s="3"/>
      <c r="L30" s="3"/>
      <c r="M30" s="3"/>
      <c r="N30" s="9"/>
    </row>
    <row r="31" spans="1:18">
      <c r="A31" s="3"/>
      <c r="B31" s="35">
        <f t="shared" si="1"/>
        <v>2022</v>
      </c>
      <c r="C31" s="297">
        <f t="shared" si="0"/>
        <v>1.0192444101773324</v>
      </c>
      <c r="D31" s="179">
        <f t="shared" si="2"/>
        <v>1.5270725614346947E-3</v>
      </c>
      <c r="E31" s="3"/>
      <c r="F31" s="3"/>
      <c r="G31" s="3"/>
      <c r="H31" s="3"/>
      <c r="I31" s="3"/>
      <c r="J31" s="3"/>
      <c r="K31" s="3"/>
      <c r="L31" s="3"/>
      <c r="M31" s="3"/>
      <c r="N31" s="9"/>
    </row>
    <row r="32" spans="1:18">
      <c r="A32" s="3"/>
      <c r="B32" s="98" t="s">
        <v>336</v>
      </c>
      <c r="D32" s="96">
        <f>AVERAGE(D25:D31)</f>
        <v>2.7018014480764763E-3</v>
      </c>
      <c r="E32" s="3"/>
      <c r="F32" s="3"/>
      <c r="G32" s="3"/>
      <c r="H32" s="3"/>
      <c r="I32" s="3"/>
      <c r="J32" s="3"/>
      <c r="K32" s="3"/>
      <c r="L32" s="3"/>
      <c r="M32" s="3"/>
      <c r="N32" s="9"/>
    </row>
    <row r="33" spans="1:14">
      <c r="A33" s="3"/>
      <c r="B33" s="98" t="s">
        <v>1755</v>
      </c>
      <c r="D33" s="177">
        <f>AVERAGE(D25,D27,D28,D29,D30)</f>
        <v>2.813423908750856E-3</v>
      </c>
      <c r="E33" s="3"/>
      <c r="F33" s="3"/>
      <c r="G33" s="3"/>
      <c r="H33" s="3"/>
      <c r="I33" s="3"/>
      <c r="J33" s="3"/>
      <c r="K33" s="3"/>
      <c r="L33" s="3"/>
      <c r="M33" s="3"/>
      <c r="N33" s="9"/>
    </row>
    <row r="34" spans="1:14">
      <c r="A34" s="3"/>
      <c r="B34" s="3"/>
      <c r="C34" s="3"/>
      <c r="D34" s="3"/>
      <c r="E34" s="3"/>
      <c r="F34" s="3"/>
      <c r="G34" s="3"/>
      <c r="H34" s="3"/>
      <c r="I34" s="3"/>
      <c r="J34" s="3"/>
      <c r="K34" s="3"/>
      <c r="L34" s="3"/>
      <c r="M34" s="3"/>
      <c r="N34" s="9"/>
    </row>
    <row r="35" spans="1:14">
      <c r="A35" s="3"/>
      <c r="B35" s="3" t="s">
        <v>1756</v>
      </c>
      <c r="C35" s="3"/>
      <c r="D35" s="112">
        <v>2.8E-3</v>
      </c>
      <c r="E35" s="3"/>
      <c r="F35" s="3"/>
      <c r="G35" s="3"/>
      <c r="H35" s="3"/>
      <c r="I35" s="3"/>
      <c r="J35" s="3"/>
      <c r="K35" s="3"/>
      <c r="L35" s="3"/>
      <c r="M35" s="3"/>
      <c r="N35" s="9"/>
    </row>
    <row r="36" spans="1:14">
      <c r="A36" s="3"/>
      <c r="B36" s="3" t="s">
        <v>1757</v>
      </c>
      <c r="C36" s="3"/>
      <c r="D36" s="3"/>
      <c r="E36" s="3"/>
      <c r="F36" s="3"/>
      <c r="G36" s="3"/>
      <c r="H36" s="3"/>
      <c r="I36" s="3"/>
      <c r="J36" s="3"/>
      <c r="K36" s="3"/>
      <c r="L36" s="3"/>
      <c r="M36" s="3"/>
      <c r="N36" s="9"/>
    </row>
    <row r="37" spans="1:14">
      <c r="A37" s="3"/>
      <c r="B37" s="3"/>
      <c r="C37" s="3"/>
      <c r="D37" s="3"/>
      <c r="E37" s="3"/>
      <c r="F37" s="3"/>
      <c r="G37" s="3"/>
      <c r="H37" s="3"/>
      <c r="I37" s="3"/>
      <c r="J37" s="3"/>
      <c r="K37" s="3"/>
      <c r="L37" s="3"/>
      <c r="M37" s="3"/>
      <c r="N37" s="9"/>
    </row>
    <row r="38" spans="1:14">
      <c r="A38" s="3"/>
      <c r="B38" s="609" t="s">
        <v>1758</v>
      </c>
      <c r="C38" s="3"/>
      <c r="D38" s="3"/>
      <c r="E38" s="3"/>
      <c r="F38" s="3"/>
      <c r="G38" s="3"/>
      <c r="H38" s="3"/>
      <c r="I38" s="3"/>
      <c r="J38" s="3"/>
      <c r="K38" s="3"/>
      <c r="L38" s="3"/>
      <c r="M38" s="3"/>
      <c r="N38" s="9"/>
    </row>
    <row r="39" spans="1:14" ht="16.2">
      <c r="A39" s="3"/>
      <c r="B39" s="465" t="s">
        <v>1759</v>
      </c>
      <c r="C39" s="3"/>
      <c r="D39" s="3"/>
      <c r="E39" s="3"/>
      <c r="F39" s="3"/>
      <c r="G39" s="3"/>
      <c r="H39" s="3"/>
      <c r="I39" s="3"/>
      <c r="J39" s="3"/>
      <c r="K39" s="3"/>
      <c r="L39" s="3"/>
      <c r="M39" s="3"/>
      <c r="N39" s="9"/>
    </row>
    <row r="40" spans="1:14">
      <c r="A40" s="3"/>
      <c r="B40" s="465" t="s">
        <v>1760</v>
      </c>
      <c r="C40" s="3"/>
      <c r="D40" s="3"/>
      <c r="E40" s="3"/>
      <c r="F40" s="3"/>
      <c r="G40" s="3"/>
      <c r="H40" s="3"/>
      <c r="I40" s="3"/>
      <c r="J40" s="3"/>
      <c r="K40" s="3"/>
      <c r="L40" s="3"/>
      <c r="M40" s="3"/>
      <c r="N40" s="9"/>
    </row>
    <row r="41" spans="1:14">
      <c r="A41" s="3"/>
      <c r="B41" s="3"/>
      <c r="C41" s="3"/>
      <c r="D41" s="3"/>
      <c r="E41" s="3"/>
      <c r="F41" s="3"/>
      <c r="G41" s="3"/>
      <c r="H41" s="3"/>
      <c r="I41" s="3"/>
      <c r="J41" s="3"/>
      <c r="K41" s="3"/>
      <c r="L41" s="3"/>
      <c r="M41" s="3"/>
      <c r="N41" s="9"/>
    </row>
    <row r="42" spans="1:14">
      <c r="A42" s="3"/>
      <c r="B42" s="610"/>
      <c r="C42" s="610"/>
      <c r="D42" s="610" t="s">
        <v>860</v>
      </c>
      <c r="E42" s="3"/>
      <c r="F42" s="3"/>
      <c r="G42" s="3"/>
      <c r="H42" s="3"/>
      <c r="I42" s="3"/>
      <c r="J42" s="3"/>
      <c r="K42" s="3"/>
      <c r="L42" s="3"/>
      <c r="M42" s="3"/>
      <c r="N42" s="9"/>
    </row>
    <row r="43" spans="1:14">
      <c r="A43" s="3"/>
      <c r="B43" s="610" t="s">
        <v>1751</v>
      </c>
      <c r="C43" s="610" t="s">
        <v>1433</v>
      </c>
      <c r="D43" s="610" t="s">
        <v>1761</v>
      </c>
      <c r="E43" s="3"/>
      <c r="F43" s="3"/>
      <c r="G43" s="3"/>
      <c r="H43" s="3"/>
      <c r="I43" s="3"/>
      <c r="J43" s="3"/>
      <c r="K43" s="3"/>
      <c r="L43" s="3"/>
      <c r="M43" s="3"/>
      <c r="N43" s="9"/>
    </row>
    <row r="44" spans="1:14">
      <c r="A44" s="3"/>
      <c r="B44" s="611" t="s">
        <v>759</v>
      </c>
      <c r="C44" s="611" t="s">
        <v>1171</v>
      </c>
      <c r="D44" s="611" t="s">
        <v>1171</v>
      </c>
      <c r="E44" s="3"/>
      <c r="F44" s="3"/>
      <c r="G44" s="3"/>
      <c r="H44" s="3"/>
      <c r="I44" s="3"/>
      <c r="J44" s="3"/>
      <c r="K44" s="3"/>
      <c r="L44" s="3"/>
      <c r="M44" s="3"/>
      <c r="N44" s="9"/>
    </row>
    <row r="45" spans="1:14">
      <c r="A45" s="3"/>
      <c r="B45" s="610">
        <f t="shared" ref="B45:B52" si="3">B24</f>
        <v>2015</v>
      </c>
      <c r="C45" s="612">
        <f t="shared" ref="C45:C52" si="4">SUMPRODUCT(D7:G7,$D$15:$G$15)</f>
        <v>19656.45</v>
      </c>
      <c r="D45" s="61"/>
      <c r="E45" s="3"/>
      <c r="F45" s="3"/>
      <c r="G45" s="3"/>
      <c r="H45" s="3"/>
      <c r="I45" s="3"/>
      <c r="J45" s="3"/>
      <c r="K45" s="3"/>
      <c r="L45" s="3"/>
      <c r="M45" s="3"/>
      <c r="N45" s="9"/>
    </row>
    <row r="46" spans="1:14">
      <c r="A46" s="3"/>
      <c r="B46" s="610">
        <f t="shared" si="3"/>
        <v>2016</v>
      </c>
      <c r="C46" s="612">
        <f t="shared" si="4"/>
        <v>19962.759999999998</v>
      </c>
      <c r="D46" s="613">
        <f>C46/C45-1</f>
        <v>1.5583180075751102E-2</v>
      </c>
      <c r="E46" s="3"/>
      <c r="F46" s="3"/>
      <c r="G46" s="3"/>
      <c r="H46" s="3"/>
      <c r="I46" s="3"/>
      <c r="J46" s="3"/>
      <c r="K46" s="3"/>
      <c r="L46" s="3"/>
      <c r="M46" s="3"/>
      <c r="N46" s="9"/>
    </row>
    <row r="47" spans="1:14">
      <c r="A47" s="3"/>
      <c r="B47" s="610">
        <f t="shared" si="3"/>
        <v>2017</v>
      </c>
      <c r="C47" s="612">
        <f t="shared" si="4"/>
        <v>20073.27</v>
      </c>
      <c r="D47" s="613">
        <f t="shared" ref="D47:D52" si="5">C47/C46-1</f>
        <v>5.5358076738889483E-3</v>
      </c>
      <c r="E47" s="3"/>
      <c r="F47" s="3"/>
      <c r="G47" s="3"/>
      <c r="H47" s="3"/>
      <c r="I47" s="3"/>
      <c r="J47" s="3"/>
      <c r="K47" s="3"/>
      <c r="L47" s="3"/>
      <c r="M47" s="3"/>
      <c r="N47" s="9"/>
    </row>
    <row r="48" spans="1:14">
      <c r="A48" s="3"/>
      <c r="B48" s="610">
        <f t="shared" si="3"/>
        <v>2018</v>
      </c>
      <c r="C48" s="612">
        <f t="shared" si="4"/>
        <v>20236.87</v>
      </c>
      <c r="D48" s="613">
        <f t="shared" si="5"/>
        <v>8.1501419549478982E-3</v>
      </c>
      <c r="E48" s="3"/>
      <c r="F48" s="3"/>
      <c r="G48" s="3"/>
      <c r="H48" s="3"/>
      <c r="I48" s="3"/>
      <c r="J48" s="3"/>
      <c r="K48" s="3"/>
      <c r="L48" s="3"/>
      <c r="M48" s="3"/>
      <c r="N48" s="9"/>
    </row>
    <row r="49" spans="1:14">
      <c r="A49" s="3"/>
      <c r="B49" s="610">
        <f t="shared" si="3"/>
        <v>2019</v>
      </c>
      <c r="C49" s="612">
        <f t="shared" si="4"/>
        <v>20406.439999999999</v>
      </c>
      <c r="D49" s="613">
        <f t="shared" si="5"/>
        <v>8.3792602314487485E-3</v>
      </c>
      <c r="E49" s="3"/>
      <c r="F49" s="3"/>
      <c r="G49" s="3"/>
      <c r="H49" s="3"/>
      <c r="I49" s="3"/>
      <c r="J49" s="3"/>
      <c r="K49" s="3"/>
      <c r="L49" s="3"/>
      <c r="M49" s="3"/>
      <c r="N49" s="9"/>
    </row>
    <row r="50" spans="1:14">
      <c r="A50" s="3"/>
      <c r="B50" s="610">
        <f t="shared" si="3"/>
        <v>2020</v>
      </c>
      <c r="C50" s="612">
        <f t="shared" si="4"/>
        <v>20715.099999999999</v>
      </c>
      <c r="D50" s="613">
        <f t="shared" si="5"/>
        <v>1.5125617207117026E-2</v>
      </c>
      <c r="E50" s="3"/>
      <c r="F50" s="3"/>
      <c r="G50" s="3"/>
      <c r="H50" s="3"/>
      <c r="I50" s="3"/>
      <c r="J50" s="3"/>
      <c r="K50" s="3"/>
      <c r="L50" s="3"/>
      <c r="M50" s="3"/>
      <c r="N50" s="9"/>
    </row>
    <row r="51" spans="1:14">
      <c r="A51" s="3"/>
      <c r="B51" s="610">
        <f t="shared" si="3"/>
        <v>2021</v>
      </c>
      <c r="C51" s="612">
        <f t="shared" si="4"/>
        <v>20907.43</v>
      </c>
      <c r="D51" s="613">
        <f t="shared" si="5"/>
        <v>9.2845315735865519E-3</v>
      </c>
      <c r="E51" s="3"/>
      <c r="F51" s="3"/>
      <c r="G51" s="3"/>
      <c r="H51" s="3"/>
      <c r="I51" s="3"/>
      <c r="J51" s="3"/>
      <c r="K51" s="3"/>
      <c r="L51" s="3"/>
      <c r="M51" s="3"/>
      <c r="N51" s="9"/>
    </row>
    <row r="52" spans="1:14">
      <c r="A52" s="3"/>
      <c r="B52" s="610">
        <f t="shared" si="3"/>
        <v>2022</v>
      </c>
      <c r="C52" s="612">
        <f t="shared" si="4"/>
        <v>21151.360000000001</v>
      </c>
      <c r="D52" s="614">
        <f t="shared" si="5"/>
        <v>1.1667144168365118E-2</v>
      </c>
      <c r="E52" s="3"/>
      <c r="F52" s="3"/>
      <c r="G52" s="3"/>
      <c r="H52" s="3"/>
      <c r="I52" s="3"/>
      <c r="J52" s="3"/>
      <c r="K52" s="3"/>
      <c r="L52" s="3"/>
      <c r="M52" s="3"/>
      <c r="N52" s="9"/>
    </row>
    <row r="53" spans="1:14">
      <c r="M53" s="9"/>
      <c r="N53" s="9"/>
    </row>
    <row r="54" spans="1:14">
      <c r="A54" s="14"/>
      <c r="B54" s="14"/>
      <c r="C54" s="14"/>
      <c r="D54" s="14"/>
      <c r="E54" s="14"/>
      <c r="F54" s="14"/>
      <c r="G54" s="1"/>
      <c r="H54" s="1"/>
      <c r="I54" s="1"/>
      <c r="J54" s="1"/>
      <c r="K54" s="1"/>
      <c r="L54" s="1"/>
      <c r="M54" s="9"/>
      <c r="N54" s="9"/>
    </row>
    <row r="55" spans="1:14">
      <c r="A55" s="260" t="s">
        <v>12</v>
      </c>
      <c r="B55" s="1"/>
      <c r="C55" s="1"/>
      <c r="D55" s="1"/>
      <c r="E55" s="1"/>
      <c r="F55" s="1"/>
      <c r="G55" s="1"/>
      <c r="H55" s="1"/>
      <c r="I55" s="1"/>
      <c r="J55" s="1"/>
      <c r="K55" s="1"/>
      <c r="L55" s="1"/>
      <c r="M55" s="9"/>
      <c r="N55" s="9"/>
    </row>
    <row r="56" spans="1:14">
      <c r="A56" s="1"/>
      <c r="B56" s="519" t="s">
        <v>1762</v>
      </c>
      <c r="C56" s="1"/>
      <c r="D56" s="1"/>
      <c r="E56" s="1"/>
      <c r="F56" s="1"/>
      <c r="G56" s="1"/>
      <c r="H56" s="1"/>
      <c r="I56" s="1"/>
      <c r="J56" s="1"/>
      <c r="K56" s="1"/>
      <c r="L56" s="1"/>
      <c r="M56" s="9"/>
      <c r="N56" s="9"/>
    </row>
    <row r="57" spans="1:14">
      <c r="A57" s="1"/>
      <c r="B57" s="519" t="s">
        <v>1763</v>
      </c>
      <c r="C57" s="1"/>
      <c r="D57" s="1"/>
      <c r="E57" s="1"/>
      <c r="F57" s="1"/>
      <c r="G57" s="1"/>
      <c r="H57" s="1"/>
      <c r="I57" s="1"/>
      <c r="J57" s="1"/>
      <c r="K57" s="1"/>
      <c r="L57" s="1"/>
      <c r="M57" s="9"/>
      <c r="N57" s="9"/>
    </row>
    <row r="58" spans="1:14">
      <c r="A58" s="1"/>
      <c r="B58" s="519" t="s">
        <v>1764</v>
      </c>
      <c r="C58" s="1"/>
      <c r="D58" s="1"/>
      <c r="E58" s="1"/>
      <c r="F58" s="1"/>
      <c r="G58" s="1"/>
      <c r="H58" s="1"/>
      <c r="I58" s="1"/>
      <c r="J58" s="1"/>
      <c r="K58" s="1"/>
      <c r="L58" s="1"/>
      <c r="M58" s="9"/>
      <c r="N58" s="9"/>
    </row>
    <row r="59" spans="1:14">
      <c r="A59" s="1"/>
      <c r="B59" s="519" t="s">
        <v>1765</v>
      </c>
      <c r="C59" s="1"/>
      <c r="D59" s="1"/>
      <c r="E59" s="1"/>
      <c r="F59" s="1"/>
      <c r="G59" s="1"/>
      <c r="H59" s="1"/>
      <c r="I59" s="1"/>
      <c r="J59" s="1"/>
      <c r="K59" s="1"/>
      <c r="L59" s="1"/>
      <c r="M59" s="9"/>
      <c r="N59" s="9"/>
    </row>
    <row r="60" spans="1:14">
      <c r="A60" s="1"/>
      <c r="B60" s="519" t="s">
        <v>1766</v>
      </c>
      <c r="C60" s="1"/>
      <c r="D60" s="377">
        <v>0.75</v>
      </c>
      <c r="E60" s="204" t="s">
        <v>1767</v>
      </c>
      <c r="F60" s="1"/>
      <c r="G60" s="1"/>
      <c r="H60" s="1"/>
      <c r="I60" s="377">
        <v>0.25</v>
      </c>
      <c r="J60" s="1"/>
      <c r="K60" s="1"/>
      <c r="L60" s="1"/>
      <c r="M60" s="9"/>
      <c r="N60" s="9"/>
    </row>
    <row r="61" spans="1:14">
      <c r="A61" s="1"/>
      <c r="B61" s="519"/>
      <c r="C61" s="204" t="s">
        <v>1768</v>
      </c>
      <c r="D61" s="1"/>
      <c r="E61" s="1"/>
      <c r="F61" s="1"/>
      <c r="G61" s="1"/>
      <c r="H61" s="1"/>
      <c r="I61" s="1"/>
      <c r="J61" s="1"/>
      <c r="K61" s="1"/>
      <c r="L61" s="1"/>
      <c r="M61" s="9"/>
      <c r="N61" s="9"/>
    </row>
    <row r="62" spans="1:14">
      <c r="A62" s="1"/>
      <c r="B62" s="519" t="s">
        <v>1769</v>
      </c>
      <c r="C62" s="1"/>
      <c r="D62" s="1"/>
      <c r="E62" s="1"/>
      <c r="F62" s="485">
        <v>-1E-3</v>
      </c>
      <c r="G62" s="1"/>
      <c r="H62" s="1"/>
      <c r="I62" s="1"/>
      <c r="J62" s="1"/>
      <c r="K62" s="1"/>
      <c r="L62" s="1"/>
      <c r="M62" s="9"/>
      <c r="N62" s="9"/>
    </row>
    <row r="63" spans="1:14">
      <c r="A63" s="1"/>
      <c r="B63" s="519" t="s">
        <v>1334</v>
      </c>
      <c r="C63" s="1"/>
      <c r="D63" s="1"/>
      <c r="E63" s="1"/>
      <c r="F63" s="377">
        <v>0.06</v>
      </c>
      <c r="G63" s="1"/>
      <c r="H63" s="1"/>
      <c r="I63" s="1"/>
      <c r="J63" s="1"/>
      <c r="K63" s="1"/>
      <c r="L63" s="1"/>
      <c r="M63" s="9"/>
      <c r="N63" s="9"/>
    </row>
    <row r="64" spans="1:14">
      <c r="A64" s="1"/>
      <c r="B64" s="519" t="s">
        <v>1770</v>
      </c>
      <c r="C64" s="1"/>
      <c r="D64" s="1"/>
      <c r="E64" s="1"/>
      <c r="F64" s="485">
        <v>-1.2E-2</v>
      </c>
      <c r="G64" s="1"/>
      <c r="H64" s="1"/>
      <c r="I64" s="1"/>
      <c r="J64" s="1"/>
      <c r="K64" s="1"/>
      <c r="L64" s="1"/>
      <c r="M64" s="9"/>
      <c r="N64" s="9"/>
    </row>
    <row r="65" spans="1:14">
      <c r="A65" s="1"/>
      <c r="B65" s="519" t="s">
        <v>1771</v>
      </c>
      <c r="C65" s="1"/>
      <c r="D65" s="1"/>
      <c r="E65" s="1"/>
      <c r="F65" s="377">
        <v>7.0000000000000007E-2</v>
      </c>
      <c r="G65" s="1"/>
      <c r="H65" s="1"/>
      <c r="I65" s="1"/>
      <c r="J65" s="1"/>
      <c r="K65" s="1"/>
      <c r="L65" s="1"/>
      <c r="M65" s="9"/>
      <c r="N65" s="9"/>
    </row>
    <row r="66" spans="1:14">
      <c r="A66" s="1"/>
      <c r="B66" s="519" t="s">
        <v>1772</v>
      </c>
      <c r="C66" s="1"/>
      <c r="D66" s="1"/>
      <c r="E66" s="1"/>
      <c r="F66" s="377">
        <v>0.05</v>
      </c>
      <c r="G66" s="1"/>
      <c r="H66" s="1"/>
      <c r="I66" s="1"/>
      <c r="J66" s="1"/>
      <c r="K66" s="1"/>
      <c r="L66" s="1"/>
      <c r="M66" s="9"/>
      <c r="N66" s="9"/>
    </row>
    <row r="67" spans="1:14">
      <c r="A67" s="1"/>
      <c r="B67" s="519" t="s">
        <v>1773</v>
      </c>
      <c r="C67" s="1"/>
      <c r="D67" s="1"/>
      <c r="E67" s="1"/>
      <c r="F67" s="377">
        <v>0.23</v>
      </c>
      <c r="G67" s="1"/>
      <c r="H67" s="1"/>
      <c r="I67" s="1"/>
      <c r="J67" s="1"/>
      <c r="K67" s="1"/>
      <c r="L67" s="1"/>
      <c r="M67" s="9"/>
      <c r="N67" s="9"/>
    </row>
    <row r="68" spans="1:14">
      <c r="A68" s="1"/>
      <c r="B68" s="519" t="s">
        <v>1774</v>
      </c>
      <c r="C68" s="1"/>
      <c r="D68" s="1"/>
      <c r="E68" s="1"/>
      <c r="F68" s="377">
        <v>0.04</v>
      </c>
      <c r="G68" s="1"/>
      <c r="H68" s="1"/>
      <c r="I68" s="1"/>
      <c r="J68" s="1"/>
      <c r="K68" s="1"/>
      <c r="L68" s="1"/>
      <c r="M68" s="9"/>
      <c r="N68" s="9"/>
    </row>
    <row r="69" spans="1:14">
      <c r="A69" s="1"/>
      <c r="B69" s="1"/>
      <c r="C69" s="1"/>
      <c r="D69" s="1"/>
      <c r="E69" s="1"/>
      <c r="F69" s="1"/>
      <c r="G69" s="1"/>
      <c r="H69" s="1"/>
      <c r="I69" s="1"/>
      <c r="J69" s="1"/>
      <c r="K69" s="1"/>
      <c r="L69" s="1"/>
      <c r="M69" s="9"/>
      <c r="N69" s="9"/>
    </row>
    <row r="70" spans="1:14" ht="31.2">
      <c r="A70" s="1"/>
      <c r="B70" s="373" t="s">
        <v>49</v>
      </c>
      <c r="C70" s="373" t="s">
        <v>47</v>
      </c>
      <c r="D70" s="4" t="s">
        <v>1775</v>
      </c>
      <c r="E70" s="373" t="s">
        <v>131</v>
      </c>
      <c r="F70" s="1"/>
      <c r="G70" s="1"/>
      <c r="H70" s="1"/>
      <c r="I70" s="1"/>
      <c r="J70" s="1"/>
      <c r="K70" s="1"/>
      <c r="L70" s="1"/>
      <c r="M70" s="9"/>
      <c r="N70" s="9"/>
    </row>
    <row r="71" spans="1:14">
      <c r="A71" s="1"/>
      <c r="B71" s="32">
        <v>2018</v>
      </c>
      <c r="C71" s="92">
        <v>15804847</v>
      </c>
      <c r="D71" s="6">
        <v>1.0640000000000001</v>
      </c>
      <c r="E71" s="92">
        <v>8703669</v>
      </c>
      <c r="F71" s="1"/>
      <c r="G71" s="1"/>
      <c r="H71" s="1"/>
      <c r="I71" s="1"/>
      <c r="J71" s="1"/>
      <c r="K71" s="1"/>
      <c r="L71" s="1"/>
      <c r="M71" s="9"/>
      <c r="N71" s="9"/>
    </row>
    <row r="72" spans="1:14">
      <c r="A72" s="1"/>
      <c r="B72" s="32">
        <v>2019</v>
      </c>
      <c r="C72" s="92">
        <v>15333428</v>
      </c>
      <c r="D72" s="6">
        <v>1.1060000000000001</v>
      </c>
      <c r="E72" s="92">
        <v>9184011</v>
      </c>
      <c r="F72" s="1"/>
      <c r="G72" s="1"/>
      <c r="H72" s="1"/>
      <c r="I72" s="1"/>
      <c r="J72" s="1"/>
      <c r="K72" s="1"/>
      <c r="L72" s="1"/>
      <c r="M72" s="9"/>
      <c r="N72" s="9"/>
    </row>
    <row r="73" spans="1:14">
      <c r="A73" s="1"/>
      <c r="B73" s="32">
        <v>2020</v>
      </c>
      <c r="C73" s="92">
        <v>15526085</v>
      </c>
      <c r="D73" s="6">
        <v>1.1040000000000001</v>
      </c>
      <c r="E73" s="92">
        <v>9602493</v>
      </c>
      <c r="F73" s="1"/>
      <c r="G73" s="1"/>
      <c r="H73" s="1"/>
      <c r="I73" s="1"/>
      <c r="J73" s="1"/>
      <c r="K73" s="1"/>
      <c r="L73" s="1"/>
      <c r="M73" s="9"/>
      <c r="N73" s="9"/>
    </row>
    <row r="74" spans="1:14">
      <c r="A74" s="1"/>
      <c r="B74" s="32">
        <v>2021</v>
      </c>
      <c r="C74" s="92">
        <v>16625910</v>
      </c>
      <c r="D74" s="6">
        <v>1.0489999999999999</v>
      </c>
      <c r="E74" s="92">
        <v>10401614</v>
      </c>
      <c r="F74" s="1"/>
      <c r="G74" s="1"/>
      <c r="H74" s="1"/>
      <c r="I74" s="1"/>
      <c r="J74" s="1"/>
      <c r="K74" s="1"/>
      <c r="L74" s="1"/>
      <c r="M74" s="9"/>
      <c r="N74" s="9"/>
    </row>
    <row r="75" spans="1:14">
      <c r="A75" s="1"/>
      <c r="B75" s="32">
        <v>2022</v>
      </c>
      <c r="C75" s="92">
        <v>17102494</v>
      </c>
      <c r="D75" s="6">
        <v>1.026</v>
      </c>
      <c r="E75" s="92">
        <v>11309041</v>
      </c>
      <c r="F75" s="1"/>
      <c r="G75" s="1"/>
      <c r="H75" s="1"/>
      <c r="I75" s="1"/>
      <c r="J75" s="1"/>
      <c r="K75" s="1"/>
      <c r="L75" s="1"/>
      <c r="M75" s="9"/>
      <c r="N75" s="9"/>
    </row>
    <row r="76" spans="1:14">
      <c r="A76" s="14"/>
      <c r="B76" s="14"/>
      <c r="C76" s="14"/>
      <c r="D76" s="14"/>
      <c r="E76" s="14"/>
      <c r="F76" s="14"/>
      <c r="G76" s="1"/>
      <c r="H76" s="1"/>
      <c r="I76" s="1"/>
      <c r="J76" s="1"/>
      <c r="K76" s="1"/>
      <c r="L76" s="1"/>
      <c r="M76" s="9"/>
      <c r="N76" s="9"/>
    </row>
    <row r="78" spans="1:14">
      <c r="A78" s="17" t="s">
        <v>133</v>
      </c>
      <c r="B78" s="1" t="s">
        <v>1776</v>
      </c>
      <c r="C78" s="1"/>
      <c r="D78" s="1"/>
      <c r="E78" s="1"/>
      <c r="F78" s="1"/>
      <c r="G78" s="1"/>
      <c r="H78" s="1"/>
      <c r="I78" s="1"/>
      <c r="J78" s="1"/>
      <c r="K78" s="1"/>
      <c r="L78" s="1"/>
    </row>
    <row r="79" spans="1:14">
      <c r="A79" s="3"/>
      <c r="B79" s="3"/>
      <c r="C79" s="3"/>
      <c r="D79" s="3"/>
      <c r="E79" s="3"/>
      <c r="F79" s="3"/>
      <c r="G79" s="3"/>
      <c r="H79" s="3"/>
      <c r="I79" s="3"/>
      <c r="J79" s="3"/>
      <c r="K79" s="3"/>
      <c r="L79" s="3"/>
    </row>
    <row r="80" spans="1:14">
      <c r="A80" s="3" t="s">
        <v>20</v>
      </c>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t="s">
        <v>1777</v>
      </c>
      <c r="D82" s="3"/>
      <c r="E82" s="443">
        <f>DATE(B97,7,1)</f>
        <v>44743</v>
      </c>
      <c r="G82" s="3"/>
      <c r="H82" s="3"/>
      <c r="I82" s="3"/>
      <c r="J82" s="3"/>
      <c r="K82" s="3"/>
      <c r="L82" s="3"/>
    </row>
    <row r="83" spans="1:12">
      <c r="A83" s="3"/>
      <c r="B83" s="3" t="s">
        <v>873</v>
      </c>
      <c r="D83" s="3"/>
      <c r="E83" s="443">
        <v>45170</v>
      </c>
      <c r="G83" s="3"/>
      <c r="H83" s="3"/>
      <c r="I83" s="3"/>
      <c r="J83" s="3"/>
      <c r="K83" s="3"/>
      <c r="L83" s="3"/>
    </row>
    <row r="84" spans="1:12">
      <c r="A84" s="3"/>
      <c r="B84" s="3" t="s">
        <v>1778</v>
      </c>
      <c r="C84" s="3"/>
      <c r="F84" s="615" t="s">
        <v>1779</v>
      </c>
      <c r="G84" s="3"/>
      <c r="H84" s="3"/>
      <c r="I84" s="3"/>
      <c r="J84" s="3"/>
      <c r="K84" s="3"/>
      <c r="L84" s="3"/>
    </row>
    <row r="85" spans="1:12">
      <c r="A85" s="3"/>
      <c r="B85" s="100" t="s">
        <v>1780</v>
      </c>
      <c r="E85" s="443">
        <f>DATE(1+YEAR(E83),MONTH(E83),1)</f>
        <v>45536</v>
      </c>
      <c r="F85" s="94">
        <f>(12*YEAR(E85)+MONTH(E85))-(12*YEAR($E$82)+MONTH($E$82))</f>
        <v>26</v>
      </c>
      <c r="H85" s="3"/>
      <c r="I85" s="3"/>
      <c r="J85" s="3"/>
      <c r="K85" s="3"/>
      <c r="L85" s="3"/>
    </row>
    <row r="86" spans="1:12">
      <c r="A86" s="3"/>
      <c r="B86" s="616" t="s">
        <v>1781</v>
      </c>
      <c r="C86" s="319"/>
      <c r="D86" s="319"/>
      <c r="E86" s="445">
        <f>DATE((YEAR(E83)),(9+MONTH(E83)),1)</f>
        <v>45444</v>
      </c>
      <c r="F86" s="107">
        <f>(12*YEAR(E86)+MONTH(E86))-(12*YEAR($E$82)+MONTH($E$82))</f>
        <v>23</v>
      </c>
      <c r="H86" s="3"/>
      <c r="I86" s="3"/>
      <c r="J86" s="3"/>
      <c r="K86" s="3"/>
      <c r="L86" s="3"/>
    </row>
    <row r="87" spans="1:12">
      <c r="A87" s="3"/>
      <c r="B87" s="3" t="s">
        <v>336</v>
      </c>
      <c r="D87" s="3"/>
      <c r="F87" s="94">
        <f>F85*D60+I60*F86</f>
        <v>25.25</v>
      </c>
      <c r="H87" s="3"/>
      <c r="I87" s="3"/>
      <c r="J87" s="3"/>
      <c r="K87" s="3"/>
      <c r="L87" s="3"/>
    </row>
    <row r="88" spans="1:12">
      <c r="A88" s="3"/>
      <c r="C88" s="3"/>
      <c r="D88" s="3"/>
      <c r="F88" s="94"/>
      <c r="H88" s="3"/>
      <c r="I88" s="3"/>
      <c r="J88" s="3"/>
      <c r="K88" s="3"/>
      <c r="L88" s="3"/>
    </row>
    <row r="89" spans="1:12">
      <c r="A89" s="3"/>
      <c r="B89" s="3" t="s">
        <v>1782</v>
      </c>
      <c r="C89" s="62"/>
      <c r="D89" s="62"/>
      <c r="E89" s="62"/>
      <c r="F89" s="617">
        <f>(1+D35)*(1+F62)-1</f>
        <v>1.7971999999999433E-3</v>
      </c>
      <c r="H89" s="3"/>
      <c r="I89" s="3"/>
      <c r="J89" s="3"/>
      <c r="K89" s="3"/>
      <c r="L89" s="3"/>
    </row>
    <row r="90" spans="1:12">
      <c r="A90" s="3"/>
      <c r="B90" s="3" t="s">
        <v>1590</v>
      </c>
      <c r="C90" s="62"/>
      <c r="D90" s="3"/>
      <c r="E90" s="62"/>
      <c r="F90" s="617">
        <f>(1+F64)*(1+F63)-1</f>
        <v>4.7279999999999989E-2</v>
      </c>
      <c r="H90" s="3"/>
      <c r="I90" s="3"/>
      <c r="J90" s="3"/>
      <c r="K90" s="3"/>
      <c r="L90" s="3"/>
    </row>
    <row r="91" spans="1:12">
      <c r="A91" s="3"/>
      <c r="C91" s="618"/>
      <c r="D91" s="618"/>
      <c r="E91" s="618"/>
      <c r="F91" s="619"/>
      <c r="G91" s="619"/>
      <c r="H91" s="618"/>
      <c r="I91" s="619"/>
      <c r="J91" s="619"/>
      <c r="K91" s="619"/>
      <c r="L91" s="3"/>
    </row>
    <row r="92" spans="1:12" ht="62.4">
      <c r="B92" s="107" t="s">
        <v>49</v>
      </c>
      <c r="C92" s="93" t="s">
        <v>47</v>
      </c>
      <c r="D92" s="93" t="s">
        <v>591</v>
      </c>
      <c r="E92" s="93" t="s">
        <v>1775</v>
      </c>
      <c r="F92" s="93" t="s">
        <v>1783</v>
      </c>
      <c r="G92" s="93" t="s">
        <v>1784</v>
      </c>
      <c r="H92" s="93" t="s">
        <v>131</v>
      </c>
      <c r="I92" s="93" t="s">
        <v>1785</v>
      </c>
      <c r="J92" s="93" t="s">
        <v>587</v>
      </c>
      <c r="K92" s="93" t="s">
        <v>839</v>
      </c>
      <c r="L92" s="3"/>
    </row>
    <row r="93" spans="1:12">
      <c r="B93" s="94">
        <f>B71</f>
        <v>2018</v>
      </c>
      <c r="C93" s="106">
        <f t="shared" ref="C93:C97" si="6">C71</f>
        <v>15804847</v>
      </c>
      <c r="D93" s="94">
        <f t="shared" ref="D93:D95" si="7">D94+12</f>
        <v>73.25</v>
      </c>
      <c r="E93" s="332">
        <f>D71</f>
        <v>1.0640000000000001</v>
      </c>
      <c r="F93" s="126">
        <f>(1+$F$89)^(D93/12)</f>
        <v>1.0110208491392527</v>
      </c>
      <c r="G93" s="106">
        <f>F93*E93*C93</f>
        <v>17001687.743861154</v>
      </c>
      <c r="H93" s="106">
        <f>E71</f>
        <v>8703669</v>
      </c>
      <c r="I93" s="126">
        <f>(1+$F$90)^(D93/12)</f>
        <v>1.3257655666335675</v>
      </c>
      <c r="J93" s="106">
        <f>I93*H93</f>
        <v>11539024.663576016</v>
      </c>
      <c r="K93" s="95">
        <f>J93/G93</f>
        <v>0.67869877611076834</v>
      </c>
      <c r="L93" s="3"/>
    </row>
    <row r="94" spans="1:12">
      <c r="B94" s="94">
        <f t="shared" ref="B94:B97" si="8">B72</f>
        <v>2019</v>
      </c>
      <c r="C94" s="106">
        <f t="shared" si="6"/>
        <v>15333428</v>
      </c>
      <c r="D94" s="94">
        <f t="shared" si="7"/>
        <v>61.25</v>
      </c>
      <c r="E94" s="332">
        <f>D72</f>
        <v>1.1060000000000001</v>
      </c>
      <c r="F94" s="126">
        <f>(1+$F$89)^(D94/12)</f>
        <v>1.0092071021352953</v>
      </c>
      <c r="G94" s="106">
        <f>F94*E94*C94</f>
        <v>17114912.508074299</v>
      </c>
      <c r="H94" s="106">
        <f>E72</f>
        <v>9184011</v>
      </c>
      <c r="I94" s="126">
        <f>(1+$F$90)^(D94/12)</f>
        <v>1.2659131909647539</v>
      </c>
      <c r="J94" s="106">
        <f>I94*H94</f>
        <v>11626160.6708654</v>
      </c>
      <c r="K94" s="95">
        <f>J94/G94</f>
        <v>0.6793000352984877</v>
      </c>
      <c r="L94" s="3"/>
    </row>
    <row r="95" spans="1:12">
      <c r="B95" s="94">
        <f t="shared" si="8"/>
        <v>2020</v>
      </c>
      <c r="C95" s="106">
        <f t="shared" si="6"/>
        <v>15526085</v>
      </c>
      <c r="D95" s="94">
        <f t="shared" si="7"/>
        <v>49.25</v>
      </c>
      <c r="E95" s="332">
        <f>D73</f>
        <v>1.1040000000000001</v>
      </c>
      <c r="F95" s="126">
        <f>(1+$F$89)^(D95/12)</f>
        <v>1.0073966089496909</v>
      </c>
      <c r="G95" s="106">
        <f>F95*E95*C95</f>
        <v>17267581.618708186</v>
      </c>
      <c r="H95" s="106">
        <f>E73</f>
        <v>9602493</v>
      </c>
      <c r="I95" s="126">
        <f>(1+$F$90)^(D95/12)</f>
        <v>1.2087628819081371</v>
      </c>
      <c r="J95" s="106">
        <f>I95*H95</f>
        <v>11607137.112182712</v>
      </c>
      <c r="K95" s="95">
        <f>J95/G95</f>
        <v>0.67219239894063754</v>
      </c>
      <c r="L95" s="3"/>
    </row>
    <row r="96" spans="1:12">
      <c r="B96" s="94">
        <f t="shared" si="8"/>
        <v>2021</v>
      </c>
      <c r="C96" s="106">
        <f t="shared" si="6"/>
        <v>16625910</v>
      </c>
      <c r="D96" s="94">
        <f>D97+12</f>
        <v>37.25</v>
      </c>
      <c r="E96" s="332">
        <f>D74</f>
        <v>1.0489999999999999</v>
      </c>
      <c r="F96" s="126">
        <f>(1+$F$89)^(D96/12)</f>
        <v>1.0055893637451681</v>
      </c>
      <c r="G96" s="106">
        <f>F96*E96*C96</f>
        <v>17538061.333255064</v>
      </c>
      <c r="H96" s="106">
        <f>E74</f>
        <v>10401614</v>
      </c>
      <c r="I96" s="126">
        <f>(1+$F$90)^(D96/12)</f>
        <v>1.1541926532619138</v>
      </c>
      <c r="J96" s="106">
        <f>I96*H96</f>
        <v>12005466.460866269</v>
      </c>
      <c r="K96" s="95">
        <f>J96/G96</f>
        <v>0.68453783076365005</v>
      </c>
      <c r="L96" s="3"/>
    </row>
    <row r="97" spans="1:13">
      <c r="B97" s="107">
        <f t="shared" si="8"/>
        <v>2022</v>
      </c>
      <c r="C97" s="110">
        <f t="shared" si="6"/>
        <v>17102494</v>
      </c>
      <c r="D97" s="107">
        <f>F87</f>
        <v>25.25</v>
      </c>
      <c r="E97" s="335">
        <f>D75</f>
        <v>1.026</v>
      </c>
      <c r="F97" s="129">
        <f>(1+$F$89)^(D97/12)</f>
        <v>1.0037853606949272</v>
      </c>
      <c r="G97" s="110">
        <f>F97*E97*C97</f>
        <v>17613581.169395722</v>
      </c>
      <c r="H97" s="110">
        <f>E75</f>
        <v>11309041</v>
      </c>
      <c r="I97" s="129">
        <f>(1+$F$90)^(D97/12)</f>
        <v>1.1020860259547722</v>
      </c>
      <c r="J97" s="110">
        <f>I97*H97</f>
        <v>12463536.053049583</v>
      </c>
      <c r="K97" s="111">
        <f>J97/G97</f>
        <v>0.70760942554404882</v>
      </c>
      <c r="L97" s="3"/>
    </row>
    <row r="98" spans="1:13">
      <c r="B98" s="3"/>
      <c r="C98" s="3"/>
      <c r="D98" s="3"/>
      <c r="E98" s="3"/>
      <c r="F98" s="3"/>
      <c r="G98" s="3"/>
      <c r="H98" s="3"/>
      <c r="I98" s="3" t="s">
        <v>336</v>
      </c>
      <c r="J98" s="3"/>
      <c r="K98" s="112">
        <f>AVERAGE(K93:K97)</f>
        <v>0.68446769333151847</v>
      </c>
      <c r="L98" s="3"/>
    </row>
    <row r="99" spans="1:13">
      <c r="F99" s="3"/>
      <c r="G99" s="3"/>
      <c r="H99" s="3"/>
      <c r="I99" s="2" t="s">
        <v>1786</v>
      </c>
      <c r="K99" s="112">
        <f>AVERAGE(K95:K97)</f>
        <v>0.68811321841611217</v>
      </c>
      <c r="L99" s="3"/>
    </row>
    <row r="100" spans="1:13">
      <c r="B100" s="3"/>
      <c r="C100" s="3"/>
      <c r="D100" s="3"/>
      <c r="E100" s="3"/>
      <c r="F100" s="3"/>
      <c r="G100" s="3"/>
      <c r="H100" s="3"/>
      <c r="I100" s="3" t="s">
        <v>797</v>
      </c>
      <c r="J100" s="3"/>
      <c r="K100" s="112">
        <f>K99</f>
        <v>0.68811321841611217</v>
      </c>
      <c r="L100" s="3"/>
    </row>
    <row r="101" spans="1:13">
      <c r="B101" s="3" t="s">
        <v>1787</v>
      </c>
      <c r="C101" s="3"/>
      <c r="D101" s="3"/>
      <c r="E101" s="3"/>
      <c r="F101" s="3"/>
      <c r="G101" s="3"/>
      <c r="H101" s="3"/>
      <c r="I101" s="3"/>
      <c r="J101" s="3"/>
      <c r="K101" s="3"/>
      <c r="L101" s="3"/>
    </row>
    <row r="102" spans="1:13">
      <c r="B102" s="3"/>
      <c r="C102" s="3"/>
      <c r="D102" s="3"/>
      <c r="E102" s="3"/>
      <c r="F102" s="3"/>
      <c r="G102" s="3"/>
      <c r="H102" s="3"/>
      <c r="I102" s="3"/>
      <c r="J102" s="3"/>
      <c r="K102" s="3"/>
      <c r="L102" s="3"/>
    </row>
    <row r="103" spans="1:13">
      <c r="B103" s="3" t="s">
        <v>841</v>
      </c>
      <c r="C103" s="62"/>
      <c r="D103" s="259">
        <f>(K100*(1+F65)+F66)/(1-F67-F68)-1</f>
        <v>7.7097457130465896E-2</v>
      </c>
      <c r="E103" s="3"/>
      <c r="F103" s="3"/>
      <c r="G103" s="3"/>
      <c r="H103" s="3"/>
      <c r="I103" s="3"/>
      <c r="J103" s="3"/>
      <c r="K103" s="3"/>
      <c r="M103" s="3"/>
    </row>
    <row r="105" spans="1:13">
      <c r="A105" s="17" t="s">
        <v>18</v>
      </c>
      <c r="B105" s="1" t="s">
        <v>1788</v>
      </c>
      <c r="C105" s="1"/>
      <c r="D105" s="1"/>
      <c r="E105" s="1"/>
      <c r="F105" s="1"/>
      <c r="G105" s="1"/>
      <c r="H105" s="1"/>
      <c r="I105" s="1"/>
      <c r="J105" s="1"/>
      <c r="K105" s="1"/>
      <c r="L105" s="1"/>
    </row>
    <row r="106" spans="1:13">
      <c r="A106" s="3"/>
      <c r="B106" s="3"/>
      <c r="C106" s="3"/>
      <c r="D106" s="3"/>
      <c r="E106" s="3"/>
      <c r="F106" s="3"/>
      <c r="G106" s="3"/>
      <c r="H106" s="3"/>
      <c r="I106" s="3"/>
      <c r="J106" s="3"/>
      <c r="K106" s="3"/>
      <c r="L106" s="3"/>
    </row>
    <row r="107" spans="1:13">
      <c r="A107" s="3" t="s">
        <v>20</v>
      </c>
      <c r="B107" s="3"/>
      <c r="C107" s="3"/>
      <c r="D107" s="3"/>
      <c r="E107" s="3"/>
      <c r="F107" s="3"/>
      <c r="G107" s="3"/>
      <c r="H107" s="3"/>
      <c r="I107" s="3"/>
      <c r="J107" s="3"/>
      <c r="K107" s="3"/>
      <c r="L107" s="3"/>
    </row>
    <row r="108" spans="1:13">
      <c r="A108" s="3"/>
      <c r="B108" s="3" t="s">
        <v>1789</v>
      </c>
      <c r="C108" s="3"/>
      <c r="D108" s="3"/>
      <c r="E108" s="3"/>
      <c r="F108" s="3"/>
      <c r="G108" s="3"/>
      <c r="H108" s="3"/>
      <c r="I108" s="3"/>
      <c r="J108" s="3"/>
      <c r="K108" s="3"/>
      <c r="L108" s="3"/>
    </row>
    <row r="110" spans="1:13">
      <c r="A110" s="14"/>
      <c r="B110" s="14"/>
      <c r="C110" s="14"/>
      <c r="D110" s="14"/>
      <c r="E110" s="14"/>
      <c r="F110" s="14"/>
      <c r="G110" s="1"/>
      <c r="H110" s="1"/>
      <c r="I110" s="1"/>
      <c r="J110" s="1"/>
      <c r="K110" s="1"/>
      <c r="L110" s="1"/>
    </row>
    <row r="111" spans="1:13">
      <c r="A111" s="1" t="s">
        <v>1790</v>
      </c>
      <c r="B111" s="14"/>
      <c r="C111" s="14"/>
      <c r="D111" s="14"/>
      <c r="E111" s="14"/>
      <c r="F111" s="14"/>
      <c r="G111" s="377">
        <v>0.06</v>
      </c>
      <c r="H111" s="1"/>
      <c r="I111" s="1"/>
      <c r="J111" s="1"/>
      <c r="K111" s="1"/>
      <c r="L111" s="1"/>
    </row>
    <row r="112" spans="1:13">
      <c r="A112" s="1" t="s">
        <v>1791</v>
      </c>
      <c r="B112" s="14"/>
      <c r="C112" s="14"/>
      <c r="D112" s="14"/>
      <c r="E112" s="377">
        <v>0.03</v>
      </c>
      <c r="F112" s="14"/>
      <c r="G112" s="1"/>
      <c r="H112" s="1"/>
      <c r="I112" s="1"/>
      <c r="J112" s="1"/>
      <c r="K112" s="1"/>
      <c r="L112" s="1"/>
    </row>
    <row r="113" spans="1:12">
      <c r="A113" s="1"/>
      <c r="B113" s="14"/>
      <c r="C113" s="14"/>
      <c r="D113" s="14"/>
      <c r="E113" s="14"/>
      <c r="F113" s="14"/>
      <c r="G113" s="1"/>
      <c r="H113" s="1"/>
      <c r="I113" s="1"/>
      <c r="J113" s="1"/>
      <c r="K113" s="1"/>
      <c r="L113" s="1"/>
    </row>
    <row r="115" spans="1:12">
      <c r="A115" s="17" t="s">
        <v>25</v>
      </c>
      <c r="B115" s="1" t="s">
        <v>1792</v>
      </c>
      <c r="C115" s="1"/>
      <c r="D115" s="1"/>
      <c r="E115" s="1"/>
      <c r="F115" s="1"/>
      <c r="G115" s="1"/>
      <c r="H115" s="1"/>
      <c r="I115" s="1"/>
      <c r="J115" s="1"/>
      <c r="K115" s="1"/>
      <c r="L115" s="1"/>
    </row>
    <row r="116" spans="1:12">
      <c r="A116" s="14"/>
      <c r="B116" s="14"/>
      <c r="C116" s="14"/>
      <c r="D116" s="14"/>
      <c r="E116" s="14"/>
      <c r="F116" s="14"/>
      <c r="G116" s="1"/>
      <c r="H116" s="1"/>
      <c r="I116" s="1"/>
      <c r="J116" s="1"/>
      <c r="K116" s="1"/>
      <c r="L116" s="1"/>
    </row>
    <row r="117" spans="1:12">
      <c r="A117" s="3"/>
      <c r="B117" s="3"/>
      <c r="C117" s="3"/>
      <c r="D117" s="3"/>
      <c r="E117" s="3"/>
      <c r="F117" s="3"/>
      <c r="G117" s="3"/>
      <c r="H117" s="3"/>
      <c r="I117" s="3"/>
      <c r="J117" s="3"/>
      <c r="K117" s="3"/>
      <c r="L117" s="3"/>
    </row>
    <row r="118" spans="1:12">
      <c r="A118" s="3" t="s">
        <v>20</v>
      </c>
      <c r="B118" s="3"/>
      <c r="C118" s="3"/>
      <c r="D118" s="3"/>
      <c r="E118" s="3"/>
      <c r="F118" s="3"/>
      <c r="G118" s="3"/>
      <c r="H118" s="3"/>
      <c r="I118" s="3"/>
      <c r="J118" s="3"/>
      <c r="K118" s="3"/>
      <c r="L118" s="3"/>
    </row>
    <row r="119" spans="1:12">
      <c r="A119" s="3"/>
      <c r="B119" s="2" t="s">
        <v>1793</v>
      </c>
      <c r="E119" s="157">
        <f>(1+G111)*(1-F67-F68)-F66</f>
        <v>0.7238</v>
      </c>
      <c r="F119" s="3"/>
      <c r="G119" s="3"/>
      <c r="H119" s="3"/>
      <c r="I119" s="3"/>
      <c r="J119" s="3"/>
      <c r="K119" s="3"/>
      <c r="L119" s="3"/>
    </row>
    <row r="120" spans="1:12">
      <c r="B120" s="2" t="s">
        <v>1794</v>
      </c>
      <c r="E120" s="157">
        <f>1-F67-(E119+F66)/(1+E112)</f>
        <v>1.8737864077669864E-2</v>
      </c>
    </row>
    <row r="122" spans="1:12">
      <c r="A122" s="17" t="s">
        <v>147</v>
      </c>
      <c r="B122" s="1" t="s">
        <v>1795</v>
      </c>
      <c r="C122" s="1"/>
      <c r="D122" s="1"/>
      <c r="E122" s="1"/>
      <c r="F122" s="1"/>
      <c r="G122" s="1"/>
      <c r="H122" s="1"/>
      <c r="I122" s="1"/>
      <c r="J122" s="1"/>
      <c r="K122" s="1"/>
      <c r="L122" s="1"/>
    </row>
    <row r="123" spans="1:12">
      <c r="A123" s="14"/>
      <c r="B123" s="14"/>
      <c r="C123" s="14"/>
      <c r="D123" s="14"/>
      <c r="E123" s="14"/>
      <c r="F123" s="14"/>
      <c r="G123" s="1"/>
      <c r="H123" s="1"/>
      <c r="I123" s="1"/>
      <c r="J123" s="1"/>
      <c r="K123" s="1"/>
      <c r="L123" s="1"/>
    </row>
    <row r="124" spans="1:12">
      <c r="A124" s="3"/>
      <c r="B124" s="3"/>
      <c r="C124" s="3"/>
      <c r="D124" s="3"/>
      <c r="E124" s="3"/>
      <c r="F124" s="3"/>
      <c r="G124" s="3"/>
      <c r="H124" s="3"/>
      <c r="I124" s="3"/>
      <c r="J124" s="3"/>
      <c r="K124" s="3"/>
      <c r="L124" s="3"/>
    </row>
    <row r="125" spans="1:12">
      <c r="A125" s="3" t="s">
        <v>20</v>
      </c>
      <c r="B125" s="3"/>
      <c r="C125" s="3"/>
      <c r="D125" s="3"/>
      <c r="E125" s="3"/>
      <c r="F125" s="3"/>
      <c r="G125" s="3"/>
      <c r="H125" s="3"/>
      <c r="I125" s="3"/>
      <c r="J125" s="3"/>
      <c r="K125" s="3"/>
      <c r="L125" s="3"/>
    </row>
    <row r="126" spans="1:12">
      <c r="A126" s="3"/>
      <c r="B126" s="3"/>
      <c r="C126" s="3"/>
      <c r="D126" s="3"/>
      <c r="E126" s="3"/>
      <c r="F126" s="3"/>
      <c r="G126" s="3"/>
      <c r="H126" s="3"/>
      <c r="I126" s="3"/>
      <c r="J126" s="3"/>
      <c r="K126" s="3"/>
      <c r="L126" s="3"/>
    </row>
    <row r="127" spans="1:12">
      <c r="A127" s="3"/>
      <c r="B127" s="3" t="s">
        <v>1796</v>
      </c>
      <c r="C127" s="3"/>
      <c r="D127" s="3"/>
      <c r="E127" s="3"/>
      <c r="F127" s="3"/>
      <c r="G127" s="3"/>
      <c r="H127" s="3"/>
      <c r="I127" s="3"/>
      <c r="J127" s="3"/>
      <c r="K127" s="3"/>
      <c r="L127" s="3"/>
    </row>
    <row r="128" spans="1:12">
      <c r="B128" s="2" t="s">
        <v>1797</v>
      </c>
    </row>
  </sheetData>
  <mergeCells count="11">
    <mergeCell ref="B10:C10"/>
    <mergeCell ref="D5:G5"/>
    <mergeCell ref="B6:C6"/>
    <mergeCell ref="B7:C7"/>
    <mergeCell ref="B8:C8"/>
    <mergeCell ref="B9:C9"/>
    <mergeCell ref="B11:C11"/>
    <mergeCell ref="B12:C12"/>
    <mergeCell ref="B13:C13"/>
    <mergeCell ref="B14:C14"/>
    <mergeCell ref="B15:C15"/>
  </mergeCells>
  <hyperlinks>
    <hyperlink ref="O1" location="TOC!A1" display="Table of Contents" xr:uid="{150FD9A7-483F-4EAE-BAC4-380C8656DC8A}"/>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315A-B049-4CD0-8262-5569DBD9878D}">
  <dimension ref="A1:R55"/>
  <sheetViews>
    <sheetView zoomScaleNormal="100" workbookViewId="0"/>
  </sheetViews>
  <sheetFormatPr defaultColWidth="8.88671875" defaultRowHeight="15.6"/>
  <cols>
    <col min="1" max="1" width="8.88671875" style="2" customWidth="1"/>
    <col min="2" max="5" width="13.6640625" style="2" customWidth="1"/>
    <col min="6" max="6" width="15.109375" style="2" customWidth="1"/>
    <col min="7" max="7" width="10.5546875" style="2" customWidth="1"/>
    <col min="8" max="8" width="11" style="2" customWidth="1"/>
    <col min="9" max="11" width="12.77734375" style="2" customWidth="1"/>
    <col min="12" max="16384" width="8.88671875" style="2"/>
  </cols>
  <sheetData>
    <row r="1" spans="1:18" ht="17.399999999999999">
      <c r="A1" s="13" t="s">
        <v>1950</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1798</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91</v>
      </c>
      <c r="B6" s="1" t="s">
        <v>1799</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t="s">
        <v>1800</v>
      </c>
      <c r="B10" s="3"/>
      <c r="C10" s="3"/>
      <c r="D10" s="3"/>
      <c r="E10" s="3"/>
      <c r="F10" s="3"/>
      <c r="G10" s="3"/>
      <c r="H10" s="3"/>
      <c r="I10" s="3"/>
      <c r="J10" s="3"/>
      <c r="K10" s="3"/>
      <c r="L10" s="3"/>
      <c r="M10" s="3"/>
      <c r="N10" s="9"/>
    </row>
    <row r="11" spans="1:18">
      <c r="M11" s="9"/>
      <c r="N11" s="9"/>
    </row>
    <row r="12" spans="1:18">
      <c r="A12" s="14"/>
      <c r="B12" s="14"/>
      <c r="C12" s="14"/>
      <c r="D12" s="14"/>
      <c r="E12" s="14"/>
      <c r="F12" s="14"/>
      <c r="G12" s="1"/>
      <c r="H12" s="1"/>
      <c r="I12" s="1"/>
      <c r="J12" s="1"/>
      <c r="K12" s="1"/>
      <c r="L12" s="1"/>
      <c r="M12" s="9"/>
      <c r="N12" s="9"/>
    </row>
    <row r="13" spans="1:18">
      <c r="A13" s="1" t="s">
        <v>1801</v>
      </c>
      <c r="B13" s="1"/>
      <c r="C13" s="1"/>
      <c r="D13" s="1"/>
      <c r="E13" s="1"/>
      <c r="F13" s="1"/>
      <c r="G13" s="1"/>
      <c r="H13" s="1"/>
      <c r="I13" s="1"/>
      <c r="J13" s="1"/>
      <c r="K13" s="1"/>
      <c r="L13" s="1"/>
      <c r="M13" s="9"/>
      <c r="N13" s="9"/>
    </row>
    <row r="14" spans="1:18">
      <c r="A14" s="1"/>
      <c r="B14" s="1"/>
      <c r="C14" s="1"/>
      <c r="D14" s="1"/>
      <c r="E14" s="1"/>
      <c r="F14" s="1"/>
      <c r="G14" s="1"/>
      <c r="H14" s="1"/>
      <c r="I14" s="1"/>
      <c r="J14" s="1"/>
      <c r="K14" s="1"/>
      <c r="L14" s="1"/>
      <c r="M14" s="9"/>
      <c r="N14" s="9"/>
    </row>
    <row r="15" spans="1:18" ht="62.4">
      <c r="A15" s="1"/>
      <c r="B15" s="4" t="s">
        <v>49</v>
      </c>
      <c r="C15" s="4" t="s">
        <v>201</v>
      </c>
      <c r="D15" s="4" t="s">
        <v>324</v>
      </c>
      <c r="E15" s="4" t="s">
        <v>1802</v>
      </c>
      <c r="F15" s="1"/>
      <c r="G15" s="1"/>
      <c r="H15" s="1"/>
      <c r="I15" s="1"/>
      <c r="J15" s="1"/>
      <c r="K15" s="1"/>
      <c r="L15" s="1"/>
      <c r="M15" s="9"/>
      <c r="N15" s="9"/>
    </row>
    <row r="16" spans="1:18">
      <c r="A16" s="1"/>
      <c r="B16" s="32">
        <v>2017</v>
      </c>
      <c r="C16" s="92">
        <v>14304922</v>
      </c>
      <c r="D16" s="92">
        <v>8573426</v>
      </c>
      <c r="E16" s="32">
        <v>1.048</v>
      </c>
      <c r="F16" s="1"/>
      <c r="G16" s="1"/>
      <c r="H16" s="1"/>
      <c r="I16" s="1"/>
      <c r="J16" s="1"/>
      <c r="K16" s="1"/>
      <c r="L16" s="1"/>
      <c r="M16" s="9"/>
      <c r="N16" s="9"/>
    </row>
    <row r="17" spans="1:14">
      <c r="A17" s="1"/>
      <c r="B17" s="32">
        <v>2018</v>
      </c>
      <c r="C17" s="92">
        <v>14662414</v>
      </c>
      <c r="D17" s="92">
        <v>8699818</v>
      </c>
      <c r="E17" s="32">
        <v>1.097</v>
      </c>
      <c r="F17" s="1"/>
      <c r="G17" s="1"/>
      <c r="H17" s="1"/>
      <c r="I17" s="1"/>
      <c r="J17" s="1"/>
      <c r="K17" s="1"/>
      <c r="L17" s="1"/>
      <c r="M17" s="9"/>
      <c r="N17" s="9"/>
    </row>
    <row r="18" spans="1:14">
      <c r="A18" s="1"/>
      <c r="B18" s="32">
        <v>2019</v>
      </c>
      <c r="C18" s="92">
        <v>14826526</v>
      </c>
      <c r="D18" s="92">
        <v>7732920</v>
      </c>
      <c r="E18" s="32">
        <v>1.3260000000000001</v>
      </c>
      <c r="F18" s="1"/>
      <c r="G18" s="1"/>
      <c r="H18" s="1"/>
      <c r="I18" s="1"/>
      <c r="J18" s="1"/>
      <c r="K18" s="1"/>
      <c r="L18" s="1"/>
      <c r="M18" s="9"/>
      <c r="N18" s="9"/>
    </row>
    <row r="19" spans="1:14">
      <c r="A19" s="1"/>
      <c r="B19" s="32">
        <v>2020</v>
      </c>
      <c r="C19" s="92">
        <v>15064165</v>
      </c>
      <c r="D19" s="92">
        <v>5857706</v>
      </c>
      <c r="E19" s="32">
        <v>1.847</v>
      </c>
      <c r="F19" s="1"/>
      <c r="G19" s="1"/>
      <c r="H19" s="1"/>
      <c r="I19" s="1"/>
      <c r="J19" s="1"/>
      <c r="K19" s="1"/>
      <c r="L19" s="1"/>
      <c r="M19" s="9"/>
      <c r="N19" s="9"/>
    </row>
    <row r="20" spans="1:14">
      <c r="A20" s="1"/>
      <c r="B20" s="32">
        <v>2021</v>
      </c>
      <c r="C20" s="92">
        <v>15448284</v>
      </c>
      <c r="D20" s="92">
        <v>3561183</v>
      </c>
      <c r="E20" s="32">
        <v>3.1459999999999999</v>
      </c>
      <c r="F20" s="1"/>
      <c r="G20" s="1"/>
      <c r="H20" s="1"/>
      <c r="I20" s="1"/>
      <c r="J20" s="1"/>
      <c r="K20" s="1"/>
      <c r="L20" s="1"/>
      <c r="M20" s="9"/>
      <c r="N20" s="9"/>
    </row>
    <row r="21" spans="1:14">
      <c r="A21" s="1"/>
      <c r="B21" s="32">
        <v>2022</v>
      </c>
      <c r="C21" s="92">
        <v>15630481</v>
      </c>
      <c r="D21" s="92">
        <v>1395852</v>
      </c>
      <c r="E21" s="32">
        <v>9.4730000000000008</v>
      </c>
      <c r="F21" s="1"/>
      <c r="G21" s="1"/>
      <c r="H21" s="1"/>
      <c r="I21" s="1"/>
      <c r="J21" s="1"/>
      <c r="K21" s="1"/>
      <c r="L21" s="1"/>
      <c r="M21" s="9"/>
      <c r="N21" s="9"/>
    </row>
    <row r="22" spans="1:14">
      <c r="A22" s="1"/>
      <c r="B22" s="1"/>
      <c r="C22" s="1"/>
      <c r="D22" s="1"/>
      <c r="E22" s="1"/>
      <c r="F22" s="1"/>
      <c r="G22" s="1"/>
      <c r="H22" s="1"/>
      <c r="I22" s="1"/>
      <c r="J22" s="1"/>
      <c r="K22" s="1"/>
      <c r="L22" s="1"/>
      <c r="M22" s="9"/>
      <c r="N22" s="9"/>
    </row>
    <row r="23" spans="1:14">
      <c r="A23" s="1"/>
      <c r="B23" s="519" t="s">
        <v>1803</v>
      </c>
      <c r="C23" s="1"/>
      <c r="D23" s="485">
        <v>0.05</v>
      </c>
      <c r="E23" s="1"/>
      <c r="F23" s="1"/>
      <c r="G23" s="1"/>
      <c r="H23" s="1"/>
      <c r="I23" s="1"/>
      <c r="J23" s="1"/>
      <c r="K23" s="1"/>
      <c r="L23" s="1"/>
      <c r="M23" s="9"/>
      <c r="N23" s="9"/>
    </row>
    <row r="24" spans="1:14">
      <c r="A24" s="14"/>
      <c r="B24" s="519" t="s">
        <v>1804</v>
      </c>
      <c r="C24" s="14"/>
      <c r="D24" s="14"/>
      <c r="E24" s="377">
        <v>0.2</v>
      </c>
      <c r="F24" s="519" t="s">
        <v>1805</v>
      </c>
      <c r="G24" s="1"/>
      <c r="H24" s="1"/>
      <c r="I24" s="1"/>
      <c r="J24" s="474">
        <v>43922</v>
      </c>
      <c r="K24" s="1"/>
      <c r="L24" s="1"/>
      <c r="M24" s="9"/>
      <c r="N24" s="9"/>
    </row>
    <row r="25" spans="1:14">
      <c r="A25" s="14"/>
      <c r="B25" s="14"/>
      <c r="C25" s="14"/>
      <c r="D25" s="14"/>
      <c r="E25" s="14"/>
      <c r="F25" s="14"/>
      <c r="G25" s="1"/>
      <c r="H25" s="1"/>
      <c r="I25" s="1"/>
      <c r="J25" s="1"/>
      <c r="K25" s="1"/>
      <c r="L25" s="1"/>
      <c r="M25" s="9"/>
      <c r="N25" s="9"/>
    </row>
    <row r="27" spans="1:14">
      <c r="A27" s="17" t="s">
        <v>133</v>
      </c>
      <c r="B27" s="1" t="s">
        <v>1806</v>
      </c>
      <c r="C27" s="1"/>
      <c r="D27" s="1"/>
      <c r="E27" s="1"/>
      <c r="F27" s="1"/>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c r="B30" s="18"/>
      <c r="C30" s="18"/>
      <c r="D30" s="18"/>
      <c r="E30" s="18"/>
      <c r="F30" s="18"/>
      <c r="G30" s="18"/>
      <c r="H30" s="18"/>
      <c r="I30" s="18"/>
      <c r="J30" s="18"/>
      <c r="K30" s="18"/>
      <c r="L30" s="18"/>
      <c r="M30" s="18"/>
    </row>
    <row r="31" spans="1:14" ht="46.8">
      <c r="A31" s="36" t="s">
        <v>49</v>
      </c>
      <c r="B31" s="36" t="s">
        <v>201</v>
      </c>
      <c r="C31" s="35" t="s">
        <v>909</v>
      </c>
      <c r="D31" s="36" t="s">
        <v>649</v>
      </c>
      <c r="E31" s="36" t="s">
        <v>1807</v>
      </c>
      <c r="F31" s="36" t="s">
        <v>1183</v>
      </c>
      <c r="G31" s="36" t="s">
        <v>1785</v>
      </c>
      <c r="H31" s="36" t="s">
        <v>1808</v>
      </c>
      <c r="I31" s="36" t="s">
        <v>209</v>
      </c>
      <c r="J31" s="36" t="s">
        <v>138</v>
      </c>
      <c r="K31" s="36" t="s">
        <v>131</v>
      </c>
      <c r="L31" s="3"/>
    </row>
    <row r="32" spans="1:14">
      <c r="A32" s="34">
        <f t="shared" ref="A32:B37" si="0">B16</f>
        <v>2017</v>
      </c>
      <c r="B32" s="83">
        <f t="shared" si="0"/>
        <v>14304922</v>
      </c>
      <c r="C32" s="160">
        <f t="shared" ref="C32:C37" si="1">E16</f>
        <v>1.048</v>
      </c>
      <c r="D32" s="177">
        <f>1/C32</f>
        <v>0.95419847328244267</v>
      </c>
      <c r="E32" s="83">
        <f>D32*B32</f>
        <v>13649734.732824426</v>
      </c>
      <c r="F32" s="83">
        <f t="shared" ref="F32:F37" si="2">D16</f>
        <v>8573426</v>
      </c>
      <c r="G32" s="82">
        <f t="shared" ref="G32:G35" si="3">G33*(1+$D$23)</f>
        <v>1.2762815625000004</v>
      </c>
      <c r="H32" s="160">
        <f t="shared" ref="H32:H33" si="4">1-$E$24</f>
        <v>0.8</v>
      </c>
      <c r="I32" s="83">
        <f>G32*F32*H32</f>
        <v>8753684.4250065032</v>
      </c>
      <c r="J32" s="83">
        <f t="shared" ref="J32:J37" si="5">$I$40*B32/(G32*H32)</f>
        <v>9438073.9443665575</v>
      </c>
      <c r="K32" s="83">
        <f>F32+J32*(1-D32)</f>
        <v>9005704.1959251873</v>
      </c>
      <c r="L32" s="3"/>
    </row>
    <row r="33" spans="1:12">
      <c r="A33" s="34">
        <f t="shared" si="0"/>
        <v>2018</v>
      </c>
      <c r="B33" s="83">
        <f t="shared" si="0"/>
        <v>14662414</v>
      </c>
      <c r="C33" s="160">
        <f t="shared" si="1"/>
        <v>1.097</v>
      </c>
      <c r="D33" s="177">
        <f t="shared" ref="D33:D37" si="6">1/C33</f>
        <v>0.91157702825888787</v>
      </c>
      <c r="E33" s="83">
        <f t="shared" ref="E33:E37" si="7">D33*B33</f>
        <v>13365919.781221513</v>
      </c>
      <c r="F33" s="83">
        <f t="shared" si="2"/>
        <v>8699818</v>
      </c>
      <c r="G33" s="82">
        <f t="shared" si="3"/>
        <v>1.2155062500000002</v>
      </c>
      <c r="H33" s="160">
        <f t="shared" si="4"/>
        <v>0.8</v>
      </c>
      <c r="I33" s="83">
        <f t="shared" ref="I33:I37" si="8">G33*F33*H33</f>
        <v>8459746.5222900026</v>
      </c>
      <c r="J33" s="83">
        <f t="shared" si="5"/>
        <v>10157636.295511518</v>
      </c>
      <c r="K33" s="83">
        <f t="shared" ref="K33:K37" si="9">F33+J33*(1-D33)</f>
        <v>9597986.3871145099</v>
      </c>
      <c r="L33" s="3"/>
    </row>
    <row r="34" spans="1:12">
      <c r="A34" s="34">
        <f t="shared" si="0"/>
        <v>2019</v>
      </c>
      <c r="B34" s="83">
        <f t="shared" si="0"/>
        <v>14826526</v>
      </c>
      <c r="C34" s="160">
        <f t="shared" si="1"/>
        <v>1.3260000000000001</v>
      </c>
      <c r="D34" s="177">
        <f t="shared" si="6"/>
        <v>0.75414781297134237</v>
      </c>
      <c r="E34" s="83">
        <f t="shared" si="7"/>
        <v>11181392.156862745</v>
      </c>
      <c r="F34" s="83">
        <f t="shared" si="2"/>
        <v>7732920</v>
      </c>
      <c r="G34" s="82">
        <f t="shared" si="3"/>
        <v>1.1576250000000001</v>
      </c>
      <c r="H34" s="160">
        <f>1-$E$24</f>
        <v>0.8</v>
      </c>
      <c r="I34" s="83">
        <f t="shared" si="8"/>
        <v>7161457.2120000012</v>
      </c>
      <c r="J34" s="83">
        <f t="shared" si="5"/>
        <v>10784894.053983366</v>
      </c>
      <c r="K34" s="83">
        <f t="shared" si="9"/>
        <v>10384409.790044175</v>
      </c>
      <c r="L34" s="3"/>
    </row>
    <row r="35" spans="1:12">
      <c r="A35" s="34">
        <f t="shared" si="0"/>
        <v>2020</v>
      </c>
      <c r="B35" s="83">
        <f t="shared" si="0"/>
        <v>15064165</v>
      </c>
      <c r="C35" s="160">
        <f t="shared" si="1"/>
        <v>1.847</v>
      </c>
      <c r="D35" s="177">
        <f t="shared" si="6"/>
        <v>0.54141851651326478</v>
      </c>
      <c r="E35" s="83">
        <f t="shared" si="7"/>
        <v>8156017.8668110454</v>
      </c>
      <c r="F35" s="83">
        <f t="shared" si="2"/>
        <v>5857706</v>
      </c>
      <c r="G35" s="82">
        <f t="shared" si="3"/>
        <v>1.1025</v>
      </c>
      <c r="H35" s="160">
        <f>0.25*H34+0.75</f>
        <v>0.95</v>
      </c>
      <c r="I35" s="83">
        <f t="shared" si="8"/>
        <v>6135214.8217500001</v>
      </c>
      <c r="J35" s="83">
        <f t="shared" si="5"/>
        <v>9688961.3692057543</v>
      </c>
      <c r="K35" s="83">
        <f t="shared" si="9"/>
        <v>10300884.278136045</v>
      </c>
      <c r="L35" s="3"/>
    </row>
    <row r="36" spans="1:12">
      <c r="A36" s="34">
        <f t="shared" si="0"/>
        <v>2021</v>
      </c>
      <c r="B36" s="83">
        <f t="shared" si="0"/>
        <v>15448284</v>
      </c>
      <c r="C36" s="160">
        <f t="shared" si="1"/>
        <v>3.1459999999999999</v>
      </c>
      <c r="D36" s="177">
        <f t="shared" si="6"/>
        <v>0.31786395422759062</v>
      </c>
      <c r="E36" s="83">
        <f t="shared" si="7"/>
        <v>4910452.6382708205</v>
      </c>
      <c r="F36" s="83">
        <f t="shared" si="2"/>
        <v>3561183</v>
      </c>
      <c r="G36" s="82">
        <f>G37*(1+$D$23)</f>
        <v>1.05</v>
      </c>
      <c r="H36" s="160">
        <v>1</v>
      </c>
      <c r="I36" s="83">
        <f t="shared" si="8"/>
        <v>3739242.1500000004</v>
      </c>
      <c r="J36" s="83">
        <f t="shared" si="5"/>
        <v>9911178.7695685774</v>
      </c>
      <c r="K36" s="83">
        <f t="shared" si="9"/>
        <v>10321955.294816963</v>
      </c>
      <c r="L36" s="3"/>
    </row>
    <row r="37" spans="1:12">
      <c r="A37" s="35">
        <f t="shared" si="0"/>
        <v>2022</v>
      </c>
      <c r="B37" s="86">
        <f t="shared" si="0"/>
        <v>15630481</v>
      </c>
      <c r="C37" s="175">
        <f t="shared" si="1"/>
        <v>9.4730000000000008</v>
      </c>
      <c r="D37" s="179">
        <f t="shared" si="6"/>
        <v>0.10556317956296843</v>
      </c>
      <c r="E37" s="86">
        <f t="shared" si="7"/>
        <v>1650003.2724585664</v>
      </c>
      <c r="F37" s="86">
        <f t="shared" si="2"/>
        <v>1395852</v>
      </c>
      <c r="G37" s="85">
        <v>1</v>
      </c>
      <c r="H37" s="175">
        <v>1</v>
      </c>
      <c r="I37" s="86">
        <f t="shared" si="8"/>
        <v>1395852</v>
      </c>
      <c r="J37" s="86">
        <f t="shared" si="5"/>
        <v>10529474.731148928</v>
      </c>
      <c r="K37" s="86">
        <f t="shared" si="9"/>
        <v>10813801.899400916</v>
      </c>
      <c r="L37" s="3"/>
    </row>
    <row r="38" spans="1:12">
      <c r="E38" s="83">
        <f>SUM(E32:E37)</f>
        <v>52913520.448449112</v>
      </c>
      <c r="F38" s="83">
        <f>SUM(F32:F37)</f>
        <v>35820905</v>
      </c>
      <c r="I38" s="83">
        <f>SUM(I32:I37)</f>
        <v>35645197.131046511</v>
      </c>
      <c r="J38" s="83">
        <f>SUM(J32:J37)</f>
        <v>60510219.163784698</v>
      </c>
      <c r="K38" s="83">
        <f>SUM(K32:K37)</f>
        <v>60424741.845437795</v>
      </c>
      <c r="L38" s="3"/>
    </row>
    <row r="39" spans="1:12">
      <c r="L39" s="3"/>
    </row>
    <row r="40" spans="1:12">
      <c r="F40" s="2" t="s">
        <v>211</v>
      </c>
      <c r="I40" s="177">
        <f>I38/E38</f>
        <v>0.67365007712487723</v>
      </c>
      <c r="L40" s="3"/>
    </row>
    <row r="42" spans="1:12">
      <c r="A42" s="14"/>
      <c r="B42" s="14"/>
      <c r="C42" s="14"/>
      <c r="D42" s="14"/>
      <c r="E42" s="14"/>
      <c r="F42" s="14"/>
      <c r="G42" s="1"/>
      <c r="H42" s="1"/>
      <c r="I42" s="1"/>
      <c r="J42" s="1"/>
      <c r="K42" s="1"/>
      <c r="L42" s="1"/>
    </row>
    <row r="43" spans="1:12" ht="16.2">
      <c r="A43" s="1" t="s">
        <v>1809</v>
      </c>
      <c r="B43" s="14"/>
      <c r="C43" s="14"/>
      <c r="D43" s="14"/>
      <c r="E43" s="14"/>
      <c r="F43" s="14"/>
      <c r="G43" s="1"/>
      <c r="H43" s="1"/>
      <c r="I43" s="1"/>
      <c r="J43" s="1"/>
      <c r="K43" s="1"/>
      <c r="L43" s="1"/>
    </row>
    <row r="44" spans="1:12">
      <c r="A44" s="14"/>
      <c r="B44" s="14"/>
      <c r="C44" s="14"/>
      <c r="D44" s="14"/>
      <c r="E44" s="14"/>
      <c r="F44" s="14"/>
      <c r="G44" s="1"/>
      <c r="H44" s="1"/>
      <c r="I44" s="1"/>
      <c r="J44" s="1"/>
      <c r="K44" s="1"/>
      <c r="L44" s="1"/>
    </row>
    <row r="46" spans="1:12">
      <c r="A46" s="17" t="s">
        <v>18</v>
      </c>
      <c r="B46" s="1" t="s">
        <v>1810</v>
      </c>
      <c r="C46" s="1"/>
      <c r="D46" s="1"/>
      <c r="E46" s="1"/>
      <c r="F46" s="1"/>
      <c r="G46" s="1"/>
      <c r="H46" s="1"/>
      <c r="I46" s="1"/>
      <c r="J46" s="1"/>
      <c r="K46" s="1"/>
      <c r="L46" s="1"/>
    </row>
    <row r="47" spans="1:12">
      <c r="A47" s="3"/>
      <c r="B47" s="3"/>
      <c r="C47" s="3"/>
      <c r="D47" s="3"/>
      <c r="E47" s="3"/>
      <c r="F47" s="3"/>
      <c r="G47" s="3"/>
      <c r="H47" s="3"/>
      <c r="I47" s="3"/>
      <c r="J47" s="3"/>
      <c r="K47" s="3"/>
      <c r="L47" s="3"/>
    </row>
    <row r="48" spans="1:12">
      <c r="A48" s="3" t="s">
        <v>20</v>
      </c>
      <c r="B48" s="3"/>
      <c r="C48" s="3"/>
      <c r="D48" s="3"/>
      <c r="E48" s="3"/>
      <c r="F48" s="3"/>
      <c r="G48" s="3"/>
      <c r="H48" s="3"/>
      <c r="I48" s="3"/>
      <c r="J48" s="3"/>
      <c r="K48" s="3"/>
      <c r="L48" s="3"/>
    </row>
    <row r="49" spans="1:14">
      <c r="A49" s="3"/>
      <c r="B49" s="3"/>
      <c r="C49" s="3"/>
      <c r="D49" s="3"/>
      <c r="E49" s="3"/>
      <c r="F49" s="3"/>
      <c r="G49" s="3"/>
      <c r="H49" s="3"/>
      <c r="I49" s="3"/>
      <c r="J49" s="3"/>
      <c r="K49" s="3"/>
      <c r="L49" s="3"/>
    </row>
    <row r="50" spans="1:14">
      <c r="A50" s="3" t="s">
        <v>775</v>
      </c>
      <c r="B50" s="3"/>
      <c r="C50" s="3"/>
      <c r="D50" s="3"/>
      <c r="E50" s="3"/>
      <c r="F50" s="3"/>
      <c r="G50" s="3"/>
      <c r="H50" s="3"/>
      <c r="I50" s="3"/>
      <c r="J50" s="3"/>
      <c r="K50" s="3"/>
      <c r="L50" s="3"/>
    </row>
    <row r="51" spans="1:14">
      <c r="A51" s="2" t="s">
        <v>1811</v>
      </c>
    </row>
    <row r="52" spans="1:14">
      <c r="A52" s="2" t="s">
        <v>1812</v>
      </c>
    </row>
    <row r="53" spans="1:14">
      <c r="A53" s="2" t="s">
        <v>1813</v>
      </c>
      <c r="M53" s="3"/>
      <c r="N53" s="3"/>
    </row>
    <row r="54" spans="1:14">
      <c r="A54" s="2" t="s">
        <v>1814</v>
      </c>
      <c r="M54" s="3"/>
      <c r="N54" s="3"/>
    </row>
    <row r="55" spans="1:14">
      <c r="M55" s="3"/>
      <c r="N55" s="3"/>
    </row>
  </sheetData>
  <hyperlinks>
    <hyperlink ref="O1" location="TOC!A1" display="Table of Contents" xr:uid="{2201DCB3-C5AC-47CB-8777-FC90568C4F92}"/>
  </hyperlink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82CDC-9ACA-4823-9F1F-897C7CDF9688}">
  <dimension ref="A1:R58"/>
  <sheetViews>
    <sheetView zoomScaleNormal="100" workbookViewId="0"/>
  </sheetViews>
  <sheetFormatPr defaultColWidth="8.88671875" defaultRowHeight="15.6"/>
  <cols>
    <col min="1" max="6" width="8.88671875" style="2" customWidth="1"/>
    <col min="7" max="7" width="8.88671875" style="2"/>
    <col min="8" max="8" width="8.88671875" style="2" customWidth="1"/>
    <col min="9" max="9" width="16.6640625" style="2" customWidth="1"/>
    <col min="10" max="16384" width="8.88671875" style="2"/>
  </cols>
  <sheetData>
    <row r="1" spans="1:15" ht="17.399999999999999">
      <c r="A1" s="13" t="s">
        <v>1951</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831" t="s">
        <v>1815</v>
      </c>
      <c r="B3" s="831"/>
      <c r="C3" s="831"/>
      <c r="D3" s="831"/>
      <c r="E3" s="831"/>
      <c r="F3" s="831"/>
      <c r="G3" s="831"/>
      <c r="H3" s="831"/>
      <c r="I3" s="831"/>
      <c r="J3" s="831"/>
      <c r="K3" s="831"/>
      <c r="L3" s="14"/>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c r="A6" s="43"/>
      <c r="B6" s="544" t="s">
        <v>1816</v>
      </c>
      <c r="C6" s="243"/>
      <c r="D6" s="243"/>
      <c r="E6" s="243"/>
      <c r="F6" s="243"/>
      <c r="G6" s="243"/>
      <c r="H6" s="376"/>
      <c r="I6" s="620">
        <v>450000</v>
      </c>
      <c r="J6" s="1"/>
      <c r="K6" s="1"/>
      <c r="L6" s="1"/>
    </row>
    <row r="7" spans="1:15">
      <c r="A7" s="43"/>
      <c r="B7" s="544" t="s">
        <v>1817</v>
      </c>
      <c r="C7" s="243"/>
      <c r="D7" s="243"/>
      <c r="E7" s="243"/>
      <c r="F7" s="243"/>
      <c r="G7" s="243"/>
      <c r="H7" s="376"/>
      <c r="I7" s="621">
        <v>44743</v>
      </c>
      <c r="J7" s="1"/>
      <c r="K7" s="1"/>
      <c r="L7" s="1"/>
    </row>
    <row r="8" spans="1:15">
      <c r="A8" s="43"/>
      <c r="B8" s="544" t="s">
        <v>1818</v>
      </c>
      <c r="C8" s="243"/>
      <c r="D8" s="243"/>
      <c r="E8" s="243"/>
      <c r="F8" s="243"/>
      <c r="G8" s="243"/>
      <c r="H8" s="376"/>
      <c r="I8" s="621">
        <v>44593</v>
      </c>
      <c r="J8" s="1"/>
      <c r="K8" s="1"/>
      <c r="L8" s="1"/>
    </row>
    <row r="9" spans="1:15">
      <c r="A9" s="1"/>
      <c r="B9" s="544" t="s">
        <v>1819</v>
      </c>
      <c r="C9" s="243"/>
      <c r="D9" s="243"/>
      <c r="E9" s="243"/>
      <c r="F9" s="243"/>
      <c r="G9" s="243"/>
      <c r="H9" s="376"/>
      <c r="I9" s="620">
        <v>15450000</v>
      </c>
      <c r="J9" s="1"/>
      <c r="K9" s="1"/>
      <c r="L9" s="1"/>
    </row>
    <row r="10" spans="1:15">
      <c r="A10" s="1"/>
      <c r="B10" s="544" t="s">
        <v>1820</v>
      </c>
      <c r="C10" s="243"/>
      <c r="D10" s="243"/>
      <c r="E10" s="243"/>
      <c r="F10" s="243"/>
      <c r="G10" s="243"/>
      <c r="H10" s="376"/>
      <c r="I10" s="622">
        <v>0.01</v>
      </c>
      <c r="J10" s="1"/>
      <c r="K10" s="1"/>
      <c r="L10" s="1"/>
    </row>
    <row r="11" spans="1:15">
      <c r="A11" s="43"/>
      <c r="B11" s="544" t="s">
        <v>1821</v>
      </c>
      <c r="C11" s="243"/>
      <c r="D11" s="243"/>
      <c r="E11" s="243"/>
      <c r="F11" s="243"/>
      <c r="G11" s="243"/>
      <c r="H11" s="376"/>
      <c r="I11" s="622">
        <v>0.06</v>
      </c>
      <c r="J11" s="1"/>
      <c r="K11" s="1"/>
      <c r="L11" s="1"/>
    </row>
    <row r="12" spans="1:15">
      <c r="A12" s="1"/>
      <c r="B12" s="544" t="s">
        <v>1822</v>
      </c>
      <c r="C12" s="243"/>
      <c r="D12" s="243"/>
      <c r="E12" s="243"/>
      <c r="F12" s="243"/>
      <c r="G12" s="243"/>
      <c r="H12" s="376"/>
      <c r="I12" s="621">
        <v>45200</v>
      </c>
      <c r="J12" s="1"/>
      <c r="K12" s="1"/>
      <c r="L12" s="1"/>
    </row>
    <row r="13" spans="1:15">
      <c r="A13" s="1"/>
      <c r="B13" s="1"/>
      <c r="C13" s="1"/>
      <c r="D13" s="1"/>
      <c r="E13" s="1"/>
      <c r="F13" s="1"/>
      <c r="G13" s="1"/>
      <c r="H13" s="1"/>
      <c r="I13" s="1"/>
      <c r="J13" s="1"/>
      <c r="K13" s="1"/>
      <c r="L13" s="1"/>
    </row>
    <row r="14" spans="1:15">
      <c r="A14" s="1" t="s">
        <v>1823</v>
      </c>
      <c r="B14" s="1"/>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91</v>
      </c>
      <c r="B17" s="831" t="s">
        <v>1824</v>
      </c>
      <c r="C17" s="831"/>
      <c r="D17" s="831"/>
      <c r="E17" s="831"/>
      <c r="F17" s="831"/>
      <c r="G17" s="831"/>
      <c r="H17" s="831"/>
      <c r="I17" s="831"/>
      <c r="J17" s="831"/>
      <c r="K17" s="831"/>
      <c r="L17" s="831"/>
      <c r="M17" s="9"/>
      <c r="N17" s="9"/>
      <c r="O17" s="9"/>
      <c r="P17" s="9"/>
      <c r="Q17" s="9"/>
      <c r="R17" s="9"/>
    </row>
    <row r="18" spans="1:18">
      <c r="A18" s="14"/>
      <c r="B18" s="831"/>
      <c r="C18" s="831"/>
      <c r="D18" s="831"/>
      <c r="E18" s="831"/>
      <c r="F18" s="831"/>
      <c r="G18" s="831"/>
      <c r="H18" s="831"/>
      <c r="I18" s="831"/>
      <c r="J18" s="831"/>
      <c r="K18" s="831"/>
      <c r="L18" s="831"/>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c r="A22" s="3"/>
      <c r="B22" s="3" t="s">
        <v>1825</v>
      </c>
      <c r="C22" s="3"/>
      <c r="D22" s="3"/>
      <c r="E22" s="3"/>
      <c r="F22" s="3"/>
      <c r="G22" s="3"/>
      <c r="H22" s="3"/>
      <c r="I22" s="3"/>
      <c r="J22" s="3"/>
      <c r="K22" s="3"/>
      <c r="L22" s="3"/>
      <c r="M22" s="3"/>
      <c r="N22" s="9"/>
    </row>
    <row r="23" spans="1:18">
      <c r="M23" s="9"/>
      <c r="N23" s="9"/>
    </row>
    <row r="24" spans="1:18">
      <c r="B24" s="2" t="s">
        <v>1826</v>
      </c>
      <c r="M24" s="9"/>
      <c r="N24" s="9"/>
    </row>
    <row r="26" spans="1:18">
      <c r="A26" s="17" t="s">
        <v>133</v>
      </c>
      <c r="B26" s="1" t="s">
        <v>1827</v>
      </c>
      <c r="C26" s="1"/>
      <c r="D26" s="1"/>
      <c r="E26" s="1"/>
      <c r="F26" s="1"/>
      <c r="G26" s="1"/>
      <c r="H26" s="1"/>
      <c r="I26" s="1"/>
      <c r="J26" s="1"/>
      <c r="K26" s="1"/>
      <c r="L26" s="1"/>
    </row>
    <row r="27" spans="1:18">
      <c r="A27" s="3"/>
      <c r="B27" s="3"/>
      <c r="C27" s="3"/>
      <c r="D27" s="3"/>
      <c r="E27" s="3"/>
      <c r="F27" s="3"/>
      <c r="G27" s="3"/>
      <c r="H27" s="3"/>
      <c r="I27" s="3"/>
      <c r="J27" s="3"/>
      <c r="K27" s="3"/>
      <c r="L27" s="3"/>
    </row>
    <row r="28" spans="1:18">
      <c r="A28" s="3" t="s">
        <v>20</v>
      </c>
      <c r="B28" s="3"/>
      <c r="C28" s="3"/>
      <c r="D28" s="3"/>
      <c r="E28" s="3"/>
      <c r="F28" s="3"/>
      <c r="G28" s="3"/>
      <c r="H28" s="3"/>
      <c r="I28" s="3"/>
      <c r="J28" s="3"/>
      <c r="K28" s="3"/>
      <c r="L28" s="3"/>
    </row>
    <row r="29" spans="1:18">
      <c r="A29" s="3"/>
      <c r="C29" s="18"/>
      <c r="D29" s="18"/>
      <c r="E29" s="18"/>
      <c r="F29" s="18"/>
      <c r="G29" s="18"/>
      <c r="H29" s="18"/>
      <c r="J29" s="3"/>
      <c r="K29" s="3"/>
      <c r="L29" s="3"/>
    </row>
    <row r="30" spans="1:18">
      <c r="A30" s="3"/>
      <c r="B30" s="2" t="s">
        <v>1828</v>
      </c>
      <c r="C30" s="18"/>
      <c r="D30" s="18"/>
      <c r="E30" s="18"/>
      <c r="F30" s="18"/>
      <c r="G30" s="18"/>
      <c r="H30" s="18"/>
      <c r="I30" s="386">
        <f>DATE(YEAR(I12)+1,MONTH(I12),DAY(I12))</f>
        <v>45566</v>
      </c>
      <c r="J30" s="3"/>
      <c r="K30" s="3"/>
      <c r="L30" s="3"/>
    </row>
    <row r="31" spans="1:18">
      <c r="A31" s="3"/>
      <c r="B31" s="2" t="s">
        <v>1829</v>
      </c>
      <c r="C31" s="18"/>
      <c r="D31" s="18"/>
      <c r="E31" s="18"/>
      <c r="F31" s="18"/>
      <c r="G31" s="18"/>
      <c r="H31" s="18"/>
      <c r="I31" s="98">
        <f>(12*YEAR(I7)+MONTH(I7))-(12*YEAR(I8)+MONTH(I8))</f>
        <v>5</v>
      </c>
      <c r="J31" s="3"/>
      <c r="K31" s="3"/>
      <c r="L31" s="3"/>
    </row>
    <row r="32" spans="1:18">
      <c r="A32" s="3"/>
      <c r="B32" s="2" t="s">
        <v>817</v>
      </c>
      <c r="C32" s="18"/>
      <c r="D32" s="18"/>
      <c r="E32" s="18"/>
      <c r="F32" s="18"/>
      <c r="G32" s="18"/>
      <c r="H32" s="18"/>
      <c r="I32" s="387">
        <f>(1+$I$10)^(I31/12)</f>
        <v>1.0041545776172602</v>
      </c>
      <c r="J32" s="3"/>
      <c r="K32" s="3"/>
      <c r="L32" s="3"/>
    </row>
    <row r="33" spans="1:12">
      <c r="A33" s="3"/>
      <c r="B33" s="2" t="s">
        <v>1830</v>
      </c>
      <c r="C33" s="18"/>
      <c r="D33" s="18"/>
      <c r="E33" s="18"/>
      <c r="F33" s="18"/>
      <c r="G33" s="18"/>
      <c r="H33" s="18"/>
      <c r="I33" s="98">
        <f>(12*(YEAR(I30))+MONTH(I30))-(12*YEAR(I7)+MONTH(I7))</f>
        <v>27</v>
      </c>
      <c r="J33" s="3"/>
      <c r="K33" s="3"/>
      <c r="L33" s="3"/>
    </row>
    <row r="34" spans="1:12">
      <c r="A34" s="3"/>
      <c r="B34" s="2" t="s">
        <v>1831</v>
      </c>
      <c r="C34" s="18"/>
      <c r="D34" s="18"/>
      <c r="E34" s="18"/>
      <c r="F34" s="18"/>
      <c r="G34" s="18"/>
      <c r="H34" s="18"/>
      <c r="I34" s="387">
        <f>(1+$I$11)^(I33/12)</f>
        <v>1.1400875335551057</v>
      </c>
      <c r="J34" s="3"/>
      <c r="K34" s="3"/>
      <c r="L34" s="3"/>
    </row>
    <row r="35" spans="1:12">
      <c r="A35" s="3"/>
      <c r="B35" s="2" t="s">
        <v>1832</v>
      </c>
      <c r="C35" s="18"/>
      <c r="D35" s="18"/>
      <c r="E35" s="18"/>
      <c r="F35" s="18"/>
      <c r="G35" s="18"/>
      <c r="H35" s="18"/>
      <c r="I35" s="388">
        <f>I6*I32*I34</f>
        <v>515170.85206667898</v>
      </c>
      <c r="J35" s="3"/>
      <c r="K35" s="3"/>
      <c r="L35" s="3"/>
    </row>
    <row r="36" spans="1:12">
      <c r="A36" s="3"/>
      <c r="B36" s="2" t="s">
        <v>1833</v>
      </c>
      <c r="C36" s="18"/>
      <c r="D36" s="18"/>
      <c r="E36" s="18"/>
      <c r="F36" s="18"/>
      <c r="G36" s="18"/>
      <c r="H36" s="18"/>
      <c r="I36" s="623">
        <f>I35/I9</f>
        <v>3.3344391719526148E-2</v>
      </c>
      <c r="J36" s="3"/>
      <c r="K36" s="3"/>
      <c r="L36" s="3"/>
    </row>
    <row r="38" spans="1:12">
      <c r="A38" s="17" t="s">
        <v>18</v>
      </c>
      <c r="B38" s="831" t="s">
        <v>1834</v>
      </c>
      <c r="C38" s="831"/>
      <c r="D38" s="831"/>
      <c r="E38" s="831"/>
      <c r="F38" s="831"/>
      <c r="G38" s="831"/>
      <c r="H38" s="831"/>
      <c r="I38" s="831"/>
      <c r="J38" s="831"/>
      <c r="K38" s="831"/>
      <c r="L38" s="831"/>
    </row>
    <row r="39" spans="1:12">
      <c r="A39" s="17"/>
      <c r="B39" s="831"/>
      <c r="C39" s="831"/>
      <c r="D39" s="831"/>
      <c r="E39" s="831"/>
      <c r="F39" s="831"/>
      <c r="G39" s="831"/>
      <c r="H39" s="831"/>
      <c r="I39" s="831"/>
      <c r="J39" s="831"/>
      <c r="K39" s="831"/>
      <c r="L39" s="83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3"/>
      <c r="B43" s="3" t="s">
        <v>1835</v>
      </c>
      <c r="C43" s="3"/>
      <c r="D43" s="3"/>
      <c r="E43" s="3"/>
      <c r="F43" s="3"/>
      <c r="G43" s="3"/>
      <c r="H43" s="3"/>
      <c r="I43" s="3"/>
      <c r="J43" s="3"/>
      <c r="K43" s="3"/>
      <c r="L43" s="3"/>
    </row>
    <row r="45" spans="1:12">
      <c r="A45" s="14"/>
      <c r="B45" s="14"/>
      <c r="C45" s="14"/>
      <c r="D45" s="14"/>
      <c r="E45" s="14"/>
      <c r="F45" s="14"/>
      <c r="G45" s="1"/>
      <c r="H45" s="1"/>
      <c r="I45" s="1"/>
      <c r="J45" s="1"/>
      <c r="K45" s="1"/>
      <c r="L45" s="1"/>
    </row>
    <row r="46" spans="1:12">
      <c r="A46" s="1" t="s">
        <v>1836</v>
      </c>
      <c r="B46" s="14"/>
      <c r="C46" s="14"/>
      <c r="D46" s="14"/>
      <c r="E46" s="14"/>
      <c r="F46" s="14"/>
      <c r="G46" s="1"/>
      <c r="H46" s="1"/>
      <c r="I46" s="1"/>
      <c r="J46" s="1"/>
      <c r="K46" s="1"/>
      <c r="L46" s="1"/>
    </row>
    <row r="47" spans="1:12">
      <c r="A47" s="14"/>
      <c r="B47" s="14"/>
      <c r="C47" s="14"/>
      <c r="D47" s="14"/>
      <c r="E47" s="14"/>
      <c r="F47" s="14"/>
      <c r="G47" s="1"/>
      <c r="H47" s="1"/>
      <c r="I47" s="1"/>
      <c r="J47" s="1"/>
      <c r="K47" s="1"/>
      <c r="L47" s="1"/>
    </row>
    <row r="49" spans="1:13">
      <c r="A49" s="17" t="s">
        <v>25</v>
      </c>
      <c r="B49" s="831" t="s">
        <v>1837</v>
      </c>
      <c r="C49" s="831"/>
      <c r="D49" s="831"/>
      <c r="E49" s="831"/>
      <c r="F49" s="831"/>
      <c r="G49" s="831"/>
      <c r="H49" s="831"/>
      <c r="I49" s="831"/>
      <c r="J49" s="831"/>
      <c r="K49" s="831"/>
      <c r="L49" s="831"/>
    </row>
    <row r="50" spans="1:13">
      <c r="A50" s="14"/>
      <c r="B50" s="831"/>
      <c r="C50" s="831"/>
      <c r="D50" s="831"/>
      <c r="E50" s="831"/>
      <c r="F50" s="831"/>
      <c r="G50" s="831"/>
      <c r="H50" s="831"/>
      <c r="I50" s="831"/>
      <c r="J50" s="831"/>
      <c r="K50" s="831"/>
      <c r="L50" s="831"/>
    </row>
    <row r="51" spans="1:13">
      <c r="A51" s="3"/>
      <c r="B51" s="3"/>
      <c r="C51" s="3"/>
      <c r="D51" s="3"/>
      <c r="E51" s="3"/>
      <c r="F51" s="3"/>
      <c r="G51" s="3"/>
      <c r="H51" s="3"/>
      <c r="I51" s="3"/>
      <c r="J51" s="3"/>
      <c r="K51" s="3"/>
      <c r="L51" s="3"/>
    </row>
    <row r="52" spans="1:13">
      <c r="A52" s="3" t="s">
        <v>20</v>
      </c>
      <c r="B52" s="3"/>
      <c r="C52" s="3"/>
      <c r="D52" s="3"/>
      <c r="E52" s="3"/>
      <c r="F52" s="3"/>
      <c r="G52" s="3"/>
      <c r="H52" s="3"/>
      <c r="I52" s="3"/>
      <c r="J52" s="3"/>
      <c r="K52" s="3"/>
      <c r="L52" s="3"/>
    </row>
    <row r="53" spans="1:13">
      <c r="A53" s="3"/>
      <c r="B53" s="3"/>
      <c r="C53" s="3"/>
      <c r="D53" s="3"/>
      <c r="E53" s="3"/>
      <c r="F53" s="3"/>
      <c r="G53" s="3"/>
      <c r="H53" s="3"/>
      <c r="I53" s="3"/>
      <c r="J53" s="3"/>
      <c r="K53" s="3"/>
      <c r="L53" s="3"/>
    </row>
    <row r="54" spans="1:13">
      <c r="A54" s="3"/>
      <c r="B54" s="3" t="s">
        <v>1838</v>
      </c>
      <c r="C54" s="3"/>
      <c r="D54" s="3"/>
      <c r="E54" s="3"/>
      <c r="F54" s="3"/>
      <c r="G54" s="3"/>
      <c r="H54" s="3"/>
      <c r="I54" s="3"/>
      <c r="J54" s="3"/>
      <c r="K54" s="3"/>
      <c r="L54" s="3"/>
    </row>
    <row r="55" spans="1:13">
      <c r="B55" s="2" t="s">
        <v>1839</v>
      </c>
    </row>
    <row r="57" spans="1:13">
      <c r="M57" s="3"/>
    </row>
    <row r="58" spans="1:13">
      <c r="M58" s="3"/>
    </row>
  </sheetData>
  <mergeCells count="4">
    <mergeCell ref="A3:K4"/>
    <mergeCell ref="B17:L18"/>
    <mergeCell ref="B38:L39"/>
    <mergeCell ref="B49:L50"/>
  </mergeCells>
  <hyperlinks>
    <hyperlink ref="O1" location="TOC!A1" display="Table of Contents" xr:uid="{A97EAD4B-5A90-4A98-B9EC-1E8A358BA24F}"/>
  </hyperlinks>
  <pageMargins left="0.7" right="0.7" top="0.75" bottom="0.75" header="0.3" footer="0.3"/>
  <pageSetup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AD50-757C-4C25-BF44-CA610080F672}">
  <dimension ref="A1:R84"/>
  <sheetViews>
    <sheetView zoomScaleNormal="100" workbookViewId="0"/>
  </sheetViews>
  <sheetFormatPr defaultColWidth="8.88671875" defaultRowHeight="15.6"/>
  <cols>
    <col min="1" max="1" width="8.88671875" style="2" customWidth="1"/>
    <col min="2" max="2" width="14.6640625" style="2" customWidth="1"/>
    <col min="3" max="3" width="16.109375" style="2" customWidth="1"/>
    <col min="4" max="5" width="14.6640625" style="2" customWidth="1"/>
    <col min="6" max="6" width="21.77734375" style="2" customWidth="1"/>
    <col min="7" max="7" width="9.88671875" style="2" bestFit="1" customWidth="1"/>
    <col min="8" max="8" width="8.88671875" style="2" customWidth="1"/>
    <col min="9" max="12" width="9.6640625" style="2" customWidth="1"/>
    <col min="13" max="16384" width="8.88671875" style="2"/>
  </cols>
  <sheetData>
    <row r="1" spans="1:15" ht="17.399999999999999">
      <c r="A1" s="13" t="s">
        <v>1952</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831" t="s">
        <v>1840</v>
      </c>
      <c r="B3" s="831"/>
      <c r="C3" s="831"/>
      <c r="D3" s="831"/>
      <c r="E3" s="831"/>
      <c r="F3" s="831"/>
      <c r="G3" s="831"/>
      <c r="H3" s="831"/>
      <c r="I3" s="831"/>
      <c r="J3" s="831"/>
      <c r="K3" s="831"/>
      <c r="L3" s="14"/>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ht="46.8">
      <c r="A6" s="43"/>
      <c r="B6" s="4" t="s">
        <v>786</v>
      </c>
      <c r="C6" s="4" t="s">
        <v>4</v>
      </c>
      <c r="D6" s="4" t="s">
        <v>1841</v>
      </c>
      <c r="E6" s="1"/>
      <c r="F6" s="1"/>
      <c r="G6" s="1"/>
      <c r="H6" s="1"/>
      <c r="I6" s="1"/>
      <c r="J6" s="1"/>
      <c r="K6" s="1"/>
      <c r="L6" s="1"/>
    </row>
    <row r="7" spans="1:15">
      <c r="A7" s="43"/>
      <c r="B7" s="32">
        <v>2017</v>
      </c>
      <c r="C7" s="92">
        <v>23286</v>
      </c>
      <c r="D7" s="92">
        <v>8297960</v>
      </c>
      <c r="E7" s="1"/>
      <c r="F7" s="1"/>
      <c r="G7" s="1"/>
      <c r="H7" s="1"/>
      <c r="I7" s="1"/>
      <c r="J7" s="1"/>
      <c r="K7" s="1"/>
      <c r="L7" s="1"/>
    </row>
    <row r="8" spans="1:15">
      <c r="A8" s="43"/>
      <c r="B8" s="32">
        <v>2018</v>
      </c>
      <c r="C8" s="92">
        <v>23595</v>
      </c>
      <c r="D8" s="92">
        <v>9230643</v>
      </c>
      <c r="E8" s="1"/>
      <c r="F8" s="1"/>
      <c r="G8" s="1"/>
      <c r="H8" s="1"/>
      <c r="I8" s="1"/>
      <c r="J8" s="1"/>
      <c r="K8" s="1"/>
      <c r="L8" s="1"/>
    </row>
    <row r="9" spans="1:15">
      <c r="A9" s="43"/>
      <c r="B9" s="32">
        <v>2019</v>
      </c>
      <c r="C9" s="92">
        <v>23886</v>
      </c>
      <c r="D9" s="92">
        <v>10390684</v>
      </c>
      <c r="E9" s="1"/>
      <c r="F9" s="1"/>
      <c r="G9" s="1"/>
      <c r="H9" s="1"/>
      <c r="I9" s="1"/>
      <c r="J9" s="1"/>
      <c r="K9" s="1"/>
      <c r="L9" s="1"/>
    </row>
    <row r="10" spans="1:15">
      <c r="A10" s="1"/>
      <c r="B10" s="32">
        <v>2020</v>
      </c>
      <c r="C10" s="92">
        <v>24423</v>
      </c>
      <c r="D10" s="92">
        <v>11357111</v>
      </c>
      <c r="E10" s="1"/>
      <c r="F10" s="1"/>
      <c r="G10" s="1"/>
      <c r="H10" s="1"/>
      <c r="I10" s="1"/>
      <c r="J10" s="1"/>
      <c r="K10" s="1"/>
      <c r="L10" s="1"/>
    </row>
    <row r="11" spans="1:15">
      <c r="A11" s="1"/>
      <c r="B11" s="32">
        <v>2021</v>
      </c>
      <c r="C11" s="92">
        <v>24490</v>
      </c>
      <c r="D11" s="92">
        <v>12811927</v>
      </c>
      <c r="E11" s="1"/>
      <c r="F11" s="1"/>
      <c r="G11" s="1"/>
      <c r="H11" s="1"/>
      <c r="I11" s="1"/>
      <c r="J11" s="1"/>
      <c r="K11" s="1"/>
      <c r="L11" s="1"/>
    </row>
    <row r="12" spans="1:15">
      <c r="A12" s="43"/>
      <c r="B12" s="32">
        <v>2022</v>
      </c>
      <c r="C12" s="92">
        <v>25103</v>
      </c>
      <c r="D12" s="92">
        <v>14531428</v>
      </c>
      <c r="E12" s="1"/>
      <c r="F12" s="1"/>
      <c r="G12" s="1"/>
      <c r="H12" s="1"/>
      <c r="I12" s="1"/>
      <c r="J12" s="1"/>
      <c r="K12" s="1"/>
      <c r="L12" s="1"/>
    </row>
    <row r="13" spans="1:15">
      <c r="A13" s="1"/>
      <c r="B13" s="1"/>
      <c r="C13" s="1"/>
      <c r="D13" s="1"/>
      <c r="E13" s="1"/>
      <c r="F13" s="1"/>
      <c r="G13" s="1"/>
      <c r="H13" s="1"/>
      <c r="I13" s="1"/>
      <c r="J13" s="1"/>
      <c r="K13" s="1"/>
      <c r="L13" s="1"/>
    </row>
    <row r="14" spans="1:15" ht="31.2">
      <c r="A14" s="1"/>
      <c r="B14" s="4" t="s">
        <v>1842</v>
      </c>
      <c r="C14" s="828" t="s">
        <v>1843</v>
      </c>
      <c r="D14" s="828"/>
      <c r="E14" s="1"/>
      <c r="F14" s="1"/>
      <c r="G14" s="1"/>
      <c r="H14" s="1"/>
      <c r="I14" s="1"/>
      <c r="J14" s="1"/>
      <c r="K14" s="1"/>
      <c r="L14" s="1"/>
    </row>
    <row r="15" spans="1:15">
      <c r="A15" s="1"/>
      <c r="B15" s="32">
        <v>12</v>
      </c>
      <c r="C15" s="934">
        <v>2.306</v>
      </c>
      <c r="D15" s="934"/>
      <c r="E15" s="1"/>
      <c r="F15" s="1"/>
      <c r="G15" s="1"/>
      <c r="H15" s="1"/>
      <c r="I15" s="1"/>
      <c r="J15" s="1"/>
      <c r="K15" s="1"/>
      <c r="L15" s="1"/>
    </row>
    <row r="16" spans="1:15">
      <c r="A16" s="1"/>
      <c r="B16" s="32">
        <v>24</v>
      </c>
      <c r="C16" s="934">
        <v>1.4790000000000001</v>
      </c>
      <c r="D16" s="934"/>
      <c r="E16" s="1"/>
      <c r="F16" s="1"/>
      <c r="G16" s="1"/>
      <c r="H16" s="1"/>
      <c r="I16" s="1"/>
      <c r="J16" s="1"/>
      <c r="K16" s="1"/>
      <c r="L16" s="1"/>
    </row>
    <row r="17" spans="1:18">
      <c r="A17" s="1"/>
      <c r="B17" s="32">
        <v>36</v>
      </c>
      <c r="C17" s="934">
        <v>1.137</v>
      </c>
      <c r="D17" s="934"/>
      <c r="E17" s="1"/>
      <c r="F17" s="1"/>
      <c r="G17" s="1"/>
      <c r="H17" s="1"/>
      <c r="I17" s="1"/>
      <c r="J17" s="1"/>
      <c r="K17" s="1"/>
      <c r="L17" s="1"/>
    </row>
    <row r="18" spans="1:18">
      <c r="A18" s="1"/>
      <c r="B18" s="32">
        <v>48</v>
      </c>
      <c r="C18" s="934">
        <v>1.0229999999999999</v>
      </c>
      <c r="D18" s="934"/>
      <c r="E18" s="1"/>
      <c r="F18" s="1"/>
      <c r="G18" s="1"/>
      <c r="H18" s="1"/>
      <c r="I18" s="1"/>
      <c r="J18" s="1"/>
      <c r="K18" s="1"/>
      <c r="L18" s="1"/>
    </row>
    <row r="19" spans="1:18">
      <c r="A19" s="1"/>
      <c r="B19" s="32">
        <v>60</v>
      </c>
      <c r="C19" s="934">
        <v>1</v>
      </c>
      <c r="D19" s="934"/>
      <c r="E19" s="1"/>
      <c r="F19" s="1"/>
      <c r="G19" s="1"/>
      <c r="H19" s="1"/>
      <c r="I19" s="1"/>
      <c r="J19" s="1"/>
      <c r="K19" s="1"/>
      <c r="L19" s="1"/>
    </row>
    <row r="20" spans="1:18">
      <c r="A20" s="1"/>
      <c r="B20" s="1"/>
      <c r="C20" s="1"/>
      <c r="D20" s="1"/>
      <c r="E20" s="1"/>
      <c r="F20" s="1"/>
      <c r="G20" s="1"/>
      <c r="H20" s="1"/>
      <c r="I20" s="1"/>
      <c r="J20" s="1"/>
      <c r="K20" s="1"/>
      <c r="L20" s="1"/>
    </row>
    <row r="21" spans="1:18" ht="46.8">
      <c r="A21" s="1"/>
      <c r="B21" s="4" t="s">
        <v>3</v>
      </c>
      <c r="C21" s="4" t="s">
        <v>5</v>
      </c>
      <c r="D21" s="4" t="s">
        <v>1187</v>
      </c>
      <c r="E21" s="4" t="s">
        <v>1188</v>
      </c>
      <c r="F21" s="1"/>
      <c r="G21" s="1"/>
      <c r="H21" s="1"/>
      <c r="I21" s="1"/>
      <c r="J21" s="1"/>
      <c r="K21" s="1"/>
      <c r="L21" s="1"/>
    </row>
    <row r="22" spans="1:18">
      <c r="A22" s="1"/>
      <c r="B22" s="32">
        <v>2019</v>
      </c>
      <c r="C22" s="92">
        <v>725000</v>
      </c>
      <c r="D22" s="7">
        <v>8950624</v>
      </c>
      <c r="E22" s="7">
        <v>9323021</v>
      </c>
      <c r="F22" s="1"/>
      <c r="G22" s="1"/>
      <c r="H22" s="1"/>
      <c r="I22" s="1"/>
      <c r="J22" s="1"/>
      <c r="K22" s="1"/>
      <c r="L22" s="1"/>
    </row>
    <row r="23" spans="1:18">
      <c r="A23" s="1"/>
      <c r="B23" s="32">
        <v>2020</v>
      </c>
      <c r="C23" s="92">
        <v>825176</v>
      </c>
      <c r="D23" s="7">
        <v>9921833</v>
      </c>
      <c r="E23" s="7">
        <v>10304355</v>
      </c>
      <c r="F23" s="1"/>
      <c r="G23" s="1"/>
      <c r="H23" s="1"/>
      <c r="I23" s="1"/>
      <c r="J23" s="1"/>
      <c r="K23" s="1"/>
      <c r="L23" s="1"/>
    </row>
    <row r="24" spans="1:18">
      <c r="A24" s="1"/>
      <c r="B24" s="32">
        <v>2021</v>
      </c>
      <c r="C24" s="92">
        <v>935423</v>
      </c>
      <c r="D24" s="7">
        <v>11058159</v>
      </c>
      <c r="E24" s="6" t="s">
        <v>1844</v>
      </c>
      <c r="F24" s="1"/>
      <c r="G24" s="1"/>
      <c r="H24" s="1"/>
      <c r="I24" s="1"/>
      <c r="J24" s="1"/>
      <c r="K24" s="1"/>
      <c r="L24" s="1"/>
    </row>
    <row r="25" spans="1:18">
      <c r="A25" s="1"/>
      <c r="B25" s="32">
        <v>2022</v>
      </c>
      <c r="C25" s="92">
        <v>1062610</v>
      </c>
      <c r="D25" s="7">
        <v>12393344</v>
      </c>
      <c r="E25" s="6" t="s">
        <v>1844</v>
      </c>
      <c r="F25" s="1"/>
      <c r="G25" s="1"/>
      <c r="H25" s="1"/>
      <c r="I25" s="1"/>
      <c r="J25" s="1"/>
      <c r="K25" s="1"/>
      <c r="L25" s="1"/>
    </row>
    <row r="26" spans="1:18">
      <c r="A26" s="1"/>
      <c r="B26" s="1"/>
      <c r="C26" s="1"/>
      <c r="D26" s="1"/>
      <c r="E26" s="1"/>
      <c r="F26" s="1"/>
      <c r="G26" s="1"/>
      <c r="H26" s="1"/>
      <c r="I26" s="1"/>
      <c r="J26" s="1"/>
      <c r="K26" s="1"/>
      <c r="L26" s="1"/>
    </row>
    <row r="27" spans="1:18">
      <c r="A27" s="3"/>
      <c r="B27" s="3"/>
      <c r="C27" s="3"/>
      <c r="D27" s="3"/>
      <c r="E27" s="3"/>
      <c r="F27" s="3"/>
      <c r="G27" s="3"/>
      <c r="H27" s="3"/>
      <c r="I27" s="3"/>
      <c r="J27" s="3"/>
      <c r="K27" s="3"/>
      <c r="L27" s="3"/>
    </row>
    <row r="28" spans="1:18">
      <c r="A28" s="17" t="s">
        <v>91</v>
      </c>
      <c r="B28" s="1" t="s">
        <v>1845</v>
      </c>
      <c r="C28" s="1"/>
      <c r="D28" s="1"/>
      <c r="E28" s="1"/>
      <c r="F28" s="1"/>
      <c r="G28" s="1"/>
      <c r="H28" s="1"/>
      <c r="I28" s="1"/>
      <c r="J28" s="1"/>
      <c r="K28" s="1"/>
      <c r="L28" s="1"/>
      <c r="M28" s="9"/>
      <c r="N28" s="9"/>
      <c r="O28" s="9"/>
      <c r="P28" s="9"/>
      <c r="Q28" s="9"/>
      <c r="R28" s="9"/>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c r="A32" s="3"/>
      <c r="B32" s="3" t="s">
        <v>1846</v>
      </c>
      <c r="C32" s="3"/>
      <c r="D32" s="3"/>
      <c r="E32" s="3"/>
      <c r="F32" s="3"/>
      <c r="G32" s="3"/>
      <c r="H32" s="3"/>
      <c r="I32" s="3"/>
      <c r="J32" s="3"/>
      <c r="K32" s="3"/>
      <c r="L32" s="3"/>
      <c r="M32" s="3"/>
      <c r="N32" s="9"/>
    </row>
    <row r="33" spans="1:14">
      <c r="B33" s="3" t="s">
        <v>1847</v>
      </c>
      <c r="M33" s="9"/>
      <c r="N33" s="9"/>
    </row>
    <row r="35" spans="1:14">
      <c r="A35" s="17" t="s">
        <v>133</v>
      </c>
      <c r="B35" s="1" t="s">
        <v>1848</v>
      </c>
      <c r="C35" s="1"/>
      <c r="D35" s="1"/>
      <c r="E35" s="1"/>
      <c r="F35" s="1"/>
      <c r="G35" s="1"/>
      <c r="H35" s="1"/>
      <c r="I35" s="1"/>
      <c r="J35" s="1"/>
      <c r="K35" s="1"/>
      <c r="L35" s="1"/>
    </row>
    <row r="36" spans="1:14">
      <c r="A36" s="3"/>
      <c r="B36" s="3"/>
      <c r="C36" s="3"/>
      <c r="D36" s="3"/>
      <c r="E36" s="3"/>
      <c r="F36" s="3"/>
      <c r="G36" s="3"/>
      <c r="H36" s="3"/>
      <c r="I36" s="3"/>
      <c r="J36" s="3"/>
      <c r="K36" s="3"/>
      <c r="L36" s="3"/>
    </row>
    <row r="37" spans="1:14">
      <c r="A37" s="3" t="s">
        <v>20</v>
      </c>
      <c r="B37" s="3"/>
      <c r="C37" s="3"/>
      <c r="E37" s="3"/>
      <c r="F37" s="3"/>
      <c r="G37" s="3"/>
      <c r="H37" s="3"/>
      <c r="I37" s="3"/>
      <c r="J37" s="3"/>
      <c r="K37" s="3"/>
      <c r="L37" s="3"/>
    </row>
    <row r="38" spans="1:14">
      <c r="B38" s="545" t="s">
        <v>978</v>
      </c>
      <c r="C38" s="18"/>
      <c r="H38" s="3"/>
      <c r="I38" s="3"/>
      <c r="J38" s="3"/>
      <c r="K38" s="3"/>
      <c r="L38" s="3"/>
    </row>
    <row r="39" spans="1:14">
      <c r="B39" s="415" t="s">
        <v>1849</v>
      </c>
      <c r="C39" s="18"/>
      <c r="D39" s="624"/>
      <c r="H39" s="3"/>
      <c r="I39" s="3"/>
      <c r="J39" s="3"/>
      <c r="K39" s="3"/>
      <c r="L39" s="3"/>
    </row>
    <row r="40" spans="1:14">
      <c r="B40" s="18"/>
      <c r="C40" s="18"/>
      <c r="D40" s="624"/>
      <c r="H40" s="3"/>
      <c r="I40" s="3"/>
      <c r="J40" s="3"/>
      <c r="K40" s="3"/>
      <c r="L40" s="3"/>
    </row>
    <row r="41" spans="1:14">
      <c r="B41" s="2" t="s">
        <v>1850</v>
      </c>
      <c r="H41" s="3"/>
      <c r="I41" s="3"/>
      <c r="J41" s="3"/>
      <c r="K41" s="3"/>
      <c r="L41" s="3"/>
    </row>
    <row r="42" spans="1:14">
      <c r="B42" s="625"/>
      <c r="D42" s="935" t="s">
        <v>1851</v>
      </c>
      <c r="E42" s="935"/>
      <c r="F42" s="935"/>
      <c r="G42" s="935"/>
      <c r="H42" s="935"/>
      <c r="I42" s="3"/>
      <c r="J42" s="3"/>
      <c r="K42" s="3"/>
      <c r="L42" s="3"/>
    </row>
    <row r="43" spans="1:14">
      <c r="B43" s="625"/>
      <c r="D43" s="627">
        <v>12</v>
      </c>
      <c r="E43" s="627">
        <f>D43+12</f>
        <v>24</v>
      </c>
      <c r="F43" s="627">
        <f t="shared" ref="F43:H43" si="0">E43+12</f>
        <v>36</v>
      </c>
      <c r="G43" s="627">
        <f t="shared" si="0"/>
        <v>48</v>
      </c>
      <c r="H43" s="627">
        <f t="shared" si="0"/>
        <v>60</v>
      </c>
    </row>
    <row r="44" spans="1:14">
      <c r="B44" s="230" t="s">
        <v>1852</v>
      </c>
      <c r="D44" s="628">
        <f>C15</f>
        <v>2.306</v>
      </c>
      <c r="E44" s="628">
        <f>C16</f>
        <v>1.4790000000000001</v>
      </c>
      <c r="F44" s="628">
        <f>C17</f>
        <v>1.137</v>
      </c>
      <c r="G44" s="160">
        <f>C18</f>
        <v>1.0229999999999999</v>
      </c>
      <c r="H44" s="160">
        <f>C19</f>
        <v>1</v>
      </c>
    </row>
    <row r="45" spans="1:14">
      <c r="B45" s="230" t="s">
        <v>1853</v>
      </c>
      <c r="D45" s="629">
        <f>1/D44</f>
        <v>0.43365134431916735</v>
      </c>
      <c r="E45" s="629">
        <f t="shared" ref="E45:H45" si="1">1/E44</f>
        <v>0.67613252197430695</v>
      </c>
      <c r="F45" s="629">
        <f t="shared" si="1"/>
        <v>0.87950747581354438</v>
      </c>
      <c r="G45" s="629">
        <f t="shared" si="1"/>
        <v>0.97751710654936474</v>
      </c>
      <c r="H45" s="629">
        <f t="shared" si="1"/>
        <v>1</v>
      </c>
    </row>
    <row r="46" spans="1:14">
      <c r="B46" s="230" t="s">
        <v>1854</v>
      </c>
      <c r="D46" s="630">
        <f>D45</f>
        <v>0.43365134431916735</v>
      </c>
      <c r="E46" s="630">
        <f>E45-D45</f>
        <v>0.2424811776551396</v>
      </c>
      <c r="F46" s="630">
        <f t="shared" ref="F46:H46" si="2">F45-E45</f>
        <v>0.20337495383923743</v>
      </c>
      <c r="G46" s="630">
        <f t="shared" si="2"/>
        <v>9.8009630735820363E-2</v>
      </c>
      <c r="H46" s="630">
        <f t="shared" si="2"/>
        <v>2.2482893450635255E-2</v>
      </c>
    </row>
    <row r="47" spans="1:14">
      <c r="B47" s="18"/>
      <c r="C47" s="18"/>
      <c r="H47" s="3"/>
    </row>
    <row r="48" spans="1:14" ht="15.6" customHeight="1">
      <c r="B48" s="18"/>
      <c r="C48" s="18"/>
      <c r="D48" s="631" t="s">
        <v>1855</v>
      </c>
      <c r="E48" s="632"/>
      <c r="F48" s="18"/>
      <c r="H48" s="3"/>
      <c r="I48" s="3"/>
      <c r="J48" s="3"/>
      <c r="K48" s="3"/>
      <c r="L48" s="3"/>
    </row>
    <row r="49" spans="2:12" ht="31.2">
      <c r="B49" s="93" t="s">
        <v>1856</v>
      </c>
      <c r="C49" s="93" t="s">
        <v>1857</v>
      </c>
      <c r="D49" s="626">
        <v>2021</v>
      </c>
      <c r="E49" s="626">
        <v>2022</v>
      </c>
      <c r="F49" s="18"/>
      <c r="H49" s="3"/>
      <c r="I49" s="3"/>
      <c r="J49" s="3"/>
      <c r="K49" s="3"/>
      <c r="L49" s="3"/>
    </row>
    <row r="50" spans="2:12">
      <c r="B50" s="625">
        <f t="shared" ref="B50:B55" si="3">B7</f>
        <v>2017</v>
      </c>
      <c r="C50" s="633">
        <f t="shared" ref="C50:C55" si="4">D7</f>
        <v>8297960</v>
      </c>
      <c r="D50" s="633">
        <f>C50*H46</f>
        <v>186562.15053763331</v>
      </c>
      <c r="E50" s="633"/>
      <c r="F50" s="18"/>
      <c r="H50" s="3"/>
      <c r="I50" s="3"/>
      <c r="J50" s="3"/>
      <c r="K50" s="3"/>
      <c r="L50" s="3"/>
    </row>
    <row r="51" spans="2:12">
      <c r="B51" s="625">
        <f t="shared" si="3"/>
        <v>2018</v>
      </c>
      <c r="C51" s="633">
        <f t="shared" si="4"/>
        <v>9230643</v>
      </c>
      <c r="D51" s="633">
        <f>C51*G46</f>
        <v>904691.91188418504</v>
      </c>
      <c r="E51" s="633">
        <f>C51*H46</f>
        <v>207531.56304985215</v>
      </c>
      <c r="F51" s="18"/>
      <c r="H51" s="3"/>
      <c r="I51" s="3"/>
      <c r="J51" s="3"/>
      <c r="K51" s="3"/>
      <c r="L51" s="3"/>
    </row>
    <row r="52" spans="2:12" ht="15.6" customHeight="1">
      <c r="B52" s="625">
        <f t="shared" si="3"/>
        <v>2019</v>
      </c>
      <c r="C52" s="633">
        <f t="shared" si="4"/>
        <v>10390684</v>
      </c>
      <c r="D52" s="633">
        <f>C52*F46</f>
        <v>2113204.878858103</v>
      </c>
      <c r="E52" s="633">
        <f>C52*G46</f>
        <v>1018387.1019325969</v>
      </c>
      <c r="F52" s="18"/>
      <c r="H52" s="3"/>
      <c r="I52" s="3"/>
      <c r="J52" s="3"/>
      <c r="K52" s="3"/>
      <c r="L52" s="3"/>
    </row>
    <row r="53" spans="2:12">
      <c r="B53" s="625">
        <f t="shared" si="3"/>
        <v>2020</v>
      </c>
      <c r="C53" s="633">
        <f t="shared" si="4"/>
        <v>11357111</v>
      </c>
      <c r="D53" s="633">
        <f>C53*E46</f>
        <v>2753885.6500401404</v>
      </c>
      <c r="E53" s="633">
        <f>C53*F46</f>
        <v>2309751.9253720958</v>
      </c>
      <c r="F53" s="18"/>
      <c r="H53" s="3"/>
      <c r="I53" s="3"/>
      <c r="J53" s="3"/>
      <c r="K53" s="3"/>
      <c r="L53" s="3"/>
    </row>
    <row r="54" spans="2:12">
      <c r="B54" s="625">
        <f t="shared" si="3"/>
        <v>2021</v>
      </c>
      <c r="C54" s="633">
        <f t="shared" si="4"/>
        <v>12811927</v>
      </c>
      <c r="D54" s="633">
        <f>C54*D46</f>
        <v>5555909.366869037</v>
      </c>
      <c r="E54" s="633">
        <f>C54*E46</f>
        <v>3106651.1469916799</v>
      </c>
      <c r="F54" s="18"/>
      <c r="H54" s="3"/>
      <c r="I54" s="3"/>
      <c r="J54" s="3"/>
      <c r="K54" s="3"/>
      <c r="L54" s="3"/>
    </row>
    <row r="55" spans="2:12">
      <c r="B55" s="626">
        <f t="shared" si="3"/>
        <v>2022</v>
      </c>
      <c r="C55" s="634">
        <f t="shared" si="4"/>
        <v>14531428</v>
      </c>
      <c r="D55" s="634"/>
      <c r="E55" s="634">
        <f>C55*D46</f>
        <v>6301573.2870771894</v>
      </c>
      <c r="F55" s="18"/>
      <c r="H55" s="3"/>
      <c r="I55" s="3"/>
      <c r="J55" s="3"/>
      <c r="K55" s="3"/>
      <c r="L55" s="3"/>
    </row>
    <row r="56" spans="2:12">
      <c r="B56" s="34" t="s">
        <v>132</v>
      </c>
      <c r="D56" s="635">
        <f>SUM(D50:D55)</f>
        <v>11514253.9581891</v>
      </c>
      <c r="E56" s="635">
        <f>SUM(E50:E55)</f>
        <v>12943895.024423413</v>
      </c>
      <c r="F56" s="3"/>
      <c r="H56" s="3"/>
      <c r="I56" s="3"/>
      <c r="J56" s="3"/>
      <c r="K56" s="3"/>
      <c r="L56" s="3"/>
    </row>
    <row r="57" spans="2:12">
      <c r="H57" s="3"/>
      <c r="I57" s="3"/>
      <c r="J57" s="3"/>
      <c r="K57" s="3"/>
      <c r="L57" s="3"/>
    </row>
    <row r="58" spans="2:12">
      <c r="F58" s="34" t="s">
        <v>1858</v>
      </c>
      <c r="G58" s="18"/>
      <c r="H58" s="3"/>
      <c r="I58" s="3"/>
      <c r="J58" s="3"/>
      <c r="K58" s="3"/>
      <c r="L58" s="3"/>
    </row>
    <row r="59" spans="2:12">
      <c r="B59" s="34"/>
      <c r="C59" s="34" t="s">
        <v>66</v>
      </c>
      <c r="D59" s="815" t="s">
        <v>138</v>
      </c>
      <c r="E59" s="815"/>
      <c r="F59" s="34" t="s">
        <v>1859</v>
      </c>
      <c r="G59" s="18"/>
      <c r="H59" s="3"/>
      <c r="I59" s="3"/>
      <c r="J59" s="3"/>
      <c r="K59" s="3"/>
      <c r="L59" s="3"/>
    </row>
    <row r="60" spans="2:12">
      <c r="B60" s="93" t="s">
        <v>3</v>
      </c>
      <c r="C60" s="35" t="s">
        <v>1172</v>
      </c>
      <c r="D60" s="35" t="s">
        <v>66</v>
      </c>
      <c r="E60" s="35" t="s">
        <v>65</v>
      </c>
      <c r="F60" s="35" t="s">
        <v>1860</v>
      </c>
      <c r="G60" s="18"/>
      <c r="H60" s="3"/>
      <c r="I60" s="3"/>
      <c r="J60" s="3"/>
      <c r="K60" s="3"/>
      <c r="L60" s="3"/>
    </row>
    <row r="61" spans="2:12">
      <c r="B61" s="636">
        <f t="shared" ref="B61:B63" si="5">B52</f>
        <v>2019</v>
      </c>
      <c r="C61" s="599">
        <f>C22</f>
        <v>725000</v>
      </c>
      <c r="D61" s="106">
        <f>D22</f>
        <v>8950624</v>
      </c>
      <c r="E61" s="106">
        <f>E22</f>
        <v>9323021</v>
      </c>
      <c r="F61" s="177">
        <f>C61/AVERAGE(D61:E61)</f>
        <v>7.934924860365844E-2</v>
      </c>
      <c r="G61" s="18"/>
      <c r="H61" s="3"/>
      <c r="I61" s="3"/>
      <c r="J61" s="3"/>
      <c r="K61" s="3"/>
      <c r="L61" s="3"/>
    </row>
    <row r="62" spans="2:12">
      <c r="B62" s="34">
        <f t="shared" si="5"/>
        <v>2020</v>
      </c>
      <c r="C62" s="599">
        <f t="shared" ref="C62:E64" si="6">C23</f>
        <v>825176</v>
      </c>
      <c r="D62" s="106">
        <f t="shared" si="6"/>
        <v>9921833</v>
      </c>
      <c r="E62" s="106">
        <f t="shared" si="6"/>
        <v>10304355</v>
      </c>
      <c r="F62" s="95">
        <f>C62/AVERAGE(D62:E62)</f>
        <v>8.1594811637269463E-2</v>
      </c>
      <c r="H62" s="3"/>
      <c r="I62" s="3"/>
      <c r="J62" s="3"/>
      <c r="K62" s="3"/>
      <c r="L62" s="3"/>
    </row>
    <row r="63" spans="2:12">
      <c r="B63" s="34">
        <f t="shared" si="5"/>
        <v>2021</v>
      </c>
      <c r="C63" s="599">
        <f t="shared" si="6"/>
        <v>935423</v>
      </c>
      <c r="D63" s="106">
        <f t="shared" si="6"/>
        <v>11058159</v>
      </c>
      <c r="E63" s="106">
        <f>D56</f>
        <v>11514253.9581891</v>
      </c>
      <c r="F63" s="95">
        <f>C63/AVERAGE(D63:E63)</f>
        <v>8.2881967624168926E-2</v>
      </c>
      <c r="G63" s="18"/>
      <c r="H63" s="3"/>
      <c r="I63" s="3"/>
      <c r="J63" s="3"/>
      <c r="K63" s="3"/>
      <c r="L63" s="3"/>
    </row>
    <row r="64" spans="2:12">
      <c r="B64" s="107">
        <f>B55</f>
        <v>2022</v>
      </c>
      <c r="C64" s="600">
        <f t="shared" si="6"/>
        <v>1062610</v>
      </c>
      <c r="D64" s="110">
        <f t="shared" si="6"/>
        <v>12393344</v>
      </c>
      <c r="E64" s="110">
        <f>E56</f>
        <v>12943895.024423413</v>
      </c>
      <c r="F64" s="111">
        <f>C64/AVERAGE(D64:E64)</f>
        <v>8.3877331620522244E-2</v>
      </c>
      <c r="G64" s="18"/>
      <c r="H64" s="3"/>
      <c r="I64" s="3"/>
      <c r="J64" s="3"/>
      <c r="K64" s="3"/>
      <c r="L64" s="3"/>
    </row>
    <row r="65" spans="1:12">
      <c r="B65" s="34" t="s">
        <v>132</v>
      </c>
      <c r="C65" s="83">
        <f>SUM(C61:C64)</f>
        <v>3548209</v>
      </c>
      <c r="D65" s="83">
        <f>SUM(D61:D64)</f>
        <v>42323960</v>
      </c>
      <c r="E65" s="106">
        <f>SUM(E61:E64)</f>
        <v>44085524.982612513</v>
      </c>
      <c r="F65" s="95">
        <f>C65/AVERAGE(D65:E65)</f>
        <v>8.2125451869409408E-2</v>
      </c>
      <c r="G65" s="18"/>
      <c r="H65" s="3"/>
      <c r="I65" s="3"/>
      <c r="J65" s="3"/>
      <c r="K65" s="3"/>
      <c r="L65" s="3"/>
    </row>
    <row r="67" spans="1:12">
      <c r="A67" s="17" t="s">
        <v>18</v>
      </c>
      <c r="B67" s="1" t="s">
        <v>1861</v>
      </c>
      <c r="C67" s="1"/>
      <c r="D67" s="1"/>
      <c r="E67" s="1"/>
      <c r="F67" s="1"/>
      <c r="G67" s="1"/>
      <c r="H67" s="1"/>
      <c r="I67" s="1"/>
      <c r="J67" s="1"/>
      <c r="K67" s="1"/>
      <c r="L67" s="1"/>
    </row>
    <row r="68" spans="1:12">
      <c r="A68" s="3"/>
      <c r="B68" s="3"/>
      <c r="C68" s="3"/>
      <c r="D68" s="3"/>
      <c r="E68" s="3"/>
      <c r="F68" s="3"/>
      <c r="G68" s="3"/>
      <c r="H68" s="3"/>
      <c r="I68" s="3"/>
      <c r="J68" s="3"/>
      <c r="K68" s="3"/>
      <c r="L68" s="3"/>
    </row>
    <row r="69" spans="1:12">
      <c r="A69" s="3" t="s">
        <v>20</v>
      </c>
      <c r="B69" s="3"/>
      <c r="C69" s="3"/>
      <c r="D69" s="3"/>
      <c r="E69" s="3"/>
      <c r="F69" s="3"/>
      <c r="G69" s="3"/>
      <c r="H69" s="3"/>
      <c r="I69" s="3"/>
      <c r="J69" s="3"/>
      <c r="K69" s="3"/>
      <c r="L69" s="3"/>
    </row>
    <row r="70" spans="1:12">
      <c r="A70" s="3"/>
      <c r="B70" s="3" t="s">
        <v>543</v>
      </c>
      <c r="C70" s="3"/>
      <c r="D70" s="10">
        <f>AVERAGE(F62:F64)</f>
        <v>8.2784703627320211E-2</v>
      </c>
      <c r="E70" s="3"/>
      <c r="F70" s="3"/>
      <c r="G70" s="3"/>
      <c r="H70" s="3"/>
      <c r="I70" s="3"/>
      <c r="J70" s="3"/>
      <c r="K70" s="3"/>
      <c r="L70" s="3"/>
    </row>
    <row r="71" spans="1:12">
      <c r="A71" s="3"/>
      <c r="B71" s="3" t="s">
        <v>1862</v>
      </c>
      <c r="C71" s="3"/>
      <c r="D71" s="3"/>
      <c r="E71" s="3"/>
      <c r="F71" s="3"/>
      <c r="G71" s="3"/>
      <c r="H71" s="3"/>
      <c r="I71" s="3"/>
      <c r="J71" s="3"/>
      <c r="K71" s="3"/>
      <c r="L71" s="3"/>
    </row>
    <row r="73" spans="1:12">
      <c r="A73" s="14"/>
      <c r="B73" s="14"/>
      <c r="C73" s="14"/>
      <c r="D73" s="14"/>
      <c r="E73" s="14"/>
      <c r="F73" s="14"/>
      <c r="G73" s="1"/>
      <c r="H73" s="1"/>
      <c r="I73" s="1"/>
      <c r="J73" s="1"/>
      <c r="K73" s="1"/>
      <c r="L73" s="1"/>
    </row>
    <row r="74" spans="1:12">
      <c r="A74" s="260" t="s">
        <v>1863</v>
      </c>
      <c r="B74" s="1"/>
      <c r="C74" s="1"/>
      <c r="D74" s="1"/>
      <c r="E74" s="14"/>
      <c r="F74" s="14"/>
      <c r="G74" s="1"/>
      <c r="H74" s="1"/>
      <c r="I74" s="1"/>
      <c r="J74" s="1"/>
      <c r="K74" s="1"/>
      <c r="L74" s="1"/>
    </row>
    <row r="75" spans="1:12">
      <c r="A75" s="1"/>
      <c r="B75" s="519" t="s">
        <v>1864</v>
      </c>
      <c r="C75" s="637">
        <v>0.4</v>
      </c>
      <c r="D75" s="204" t="s">
        <v>1865</v>
      </c>
      <c r="E75" s="14"/>
      <c r="F75" s="14"/>
      <c r="G75" s="1"/>
      <c r="H75" s="377">
        <v>0.6</v>
      </c>
      <c r="I75" s="1" t="s">
        <v>1866</v>
      </c>
      <c r="J75" s="1"/>
      <c r="K75" s="1"/>
      <c r="L75" s="1"/>
    </row>
    <row r="76" spans="1:12">
      <c r="A76" s="1"/>
      <c r="B76" s="519" t="s">
        <v>1867</v>
      </c>
      <c r="C76" s="231">
        <v>13974912</v>
      </c>
      <c r="D76" s="1"/>
      <c r="E76" s="14"/>
      <c r="F76" s="14"/>
      <c r="G76" s="1"/>
      <c r="H76" s="1"/>
      <c r="I76" s="1"/>
      <c r="J76" s="1"/>
      <c r="K76" s="1"/>
      <c r="L76" s="1"/>
    </row>
    <row r="77" spans="1:12">
      <c r="A77" s="1"/>
      <c r="B77" s="519" t="s">
        <v>1868</v>
      </c>
      <c r="C77" s="1"/>
      <c r="D77" s="231">
        <v>4965557</v>
      </c>
      <c r="E77" s="14"/>
      <c r="F77" s="14"/>
      <c r="G77" s="1"/>
      <c r="H77" s="1"/>
      <c r="I77" s="1"/>
      <c r="J77" s="1"/>
      <c r="K77" s="1"/>
      <c r="L77" s="1"/>
    </row>
    <row r="78" spans="1:12">
      <c r="A78" s="14"/>
      <c r="B78" s="14"/>
      <c r="C78" s="14"/>
      <c r="D78" s="14"/>
      <c r="E78" s="14"/>
      <c r="F78" s="14"/>
      <c r="G78" s="1"/>
      <c r="H78" s="1"/>
      <c r="I78" s="1"/>
      <c r="J78" s="1"/>
      <c r="K78" s="1"/>
      <c r="L78" s="1"/>
    </row>
    <row r="80" spans="1:12">
      <c r="A80" s="17" t="s">
        <v>25</v>
      </c>
      <c r="B80" s="1" t="s">
        <v>1869</v>
      </c>
      <c r="C80" s="1"/>
      <c r="D80" s="1"/>
      <c r="E80" s="1"/>
      <c r="F80" s="1"/>
      <c r="G80" s="1"/>
      <c r="H80" s="1"/>
      <c r="I80" s="1"/>
      <c r="J80" s="1"/>
      <c r="K80" s="1"/>
      <c r="L80" s="1"/>
    </row>
    <row r="81" spans="1:13">
      <c r="A81" s="3"/>
      <c r="B81" s="3"/>
      <c r="C81" s="3"/>
      <c r="D81" s="3"/>
      <c r="E81" s="3"/>
      <c r="F81" s="3"/>
      <c r="G81" s="3"/>
      <c r="H81" s="3"/>
      <c r="I81" s="3"/>
      <c r="J81" s="3"/>
      <c r="K81" s="3"/>
      <c r="L81" s="3"/>
    </row>
    <row r="82" spans="1:13">
      <c r="A82" s="3" t="s">
        <v>20</v>
      </c>
      <c r="B82" s="3"/>
      <c r="C82" s="3"/>
      <c r="D82" s="3"/>
      <c r="E82" s="3"/>
      <c r="F82" s="3"/>
      <c r="G82" s="3"/>
      <c r="H82" s="3"/>
      <c r="I82" s="3"/>
      <c r="J82" s="3"/>
      <c r="K82" s="3"/>
      <c r="L82" s="3"/>
    </row>
    <row r="83" spans="1:13">
      <c r="C83" s="18"/>
      <c r="D83" s="18"/>
      <c r="M83" s="3"/>
    </row>
    <row r="84" spans="1:13">
      <c r="B84" s="2" t="s">
        <v>547</v>
      </c>
      <c r="C84" s="18"/>
      <c r="D84" s="11">
        <f>D70*(D77*(1-C75)+C76)</f>
        <v>1403552.2468916199</v>
      </c>
      <c r="M84" s="3"/>
    </row>
  </sheetData>
  <mergeCells count="9">
    <mergeCell ref="C19:D19"/>
    <mergeCell ref="D42:H42"/>
    <mergeCell ref="D59:E59"/>
    <mergeCell ref="A3:K4"/>
    <mergeCell ref="C14:D14"/>
    <mergeCell ref="C15:D15"/>
    <mergeCell ref="C16:D16"/>
    <mergeCell ref="C17:D17"/>
    <mergeCell ref="C18:D18"/>
  </mergeCells>
  <hyperlinks>
    <hyperlink ref="O1" location="TOC!A1" display="Table of Contents" xr:uid="{5ADC965B-9532-49D3-8B46-D8DC761A4C5B}"/>
  </hyperlinks>
  <pageMargins left="0.7" right="0.7" top="0.75" bottom="0.75" header="0.3" footer="0.3"/>
  <pageSetup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7334-6666-473D-BC58-DFA5D3134F09}">
  <dimension ref="A1:R96"/>
  <sheetViews>
    <sheetView zoomScaleNormal="100" workbookViewId="0"/>
  </sheetViews>
  <sheetFormatPr defaultColWidth="8.88671875" defaultRowHeight="15.6"/>
  <cols>
    <col min="1" max="1" width="8.88671875" style="2" customWidth="1"/>
    <col min="2" max="9" width="10.6640625" style="2" customWidth="1"/>
    <col min="10" max="16384" width="8.88671875" style="2"/>
  </cols>
  <sheetData>
    <row r="1" spans="1:15" ht="17.399999999999999">
      <c r="A1" s="13" t="s">
        <v>1953</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1870</v>
      </c>
      <c r="B3" s="1"/>
      <c r="C3" s="1"/>
      <c r="D3" s="1"/>
      <c r="E3" s="1"/>
      <c r="F3" s="1"/>
      <c r="G3" s="1"/>
      <c r="H3" s="1"/>
      <c r="I3" s="1"/>
      <c r="J3" s="1"/>
      <c r="K3" s="1"/>
      <c r="L3" s="14"/>
    </row>
    <row r="4" spans="1:15">
      <c r="A4" s="1"/>
      <c r="B4" s="1"/>
      <c r="C4" s="1"/>
      <c r="D4" s="1"/>
      <c r="E4" s="1"/>
      <c r="F4" s="1"/>
      <c r="G4" s="1"/>
      <c r="H4" s="1"/>
      <c r="I4" s="1"/>
      <c r="J4" s="1"/>
      <c r="K4" s="1"/>
      <c r="L4" s="1"/>
    </row>
    <row r="5" spans="1:15">
      <c r="A5" s="1"/>
      <c r="B5" s="164" t="s">
        <v>53</v>
      </c>
      <c r="C5" s="841" t="s">
        <v>551</v>
      </c>
      <c r="D5" s="841"/>
      <c r="E5" s="841"/>
      <c r="F5" s="841"/>
      <c r="G5" s="841"/>
      <c r="H5" s="841"/>
      <c r="I5" s="192" t="s">
        <v>276</v>
      </c>
      <c r="J5" s="1"/>
      <c r="K5" s="1"/>
      <c r="L5" s="1"/>
    </row>
    <row r="6" spans="1:15">
      <c r="A6" s="1"/>
      <c r="B6" s="165" t="s">
        <v>55</v>
      </c>
      <c r="C6" s="27">
        <v>12</v>
      </c>
      <c r="D6" s="27">
        <v>24</v>
      </c>
      <c r="E6" s="27">
        <v>36</v>
      </c>
      <c r="F6" s="27">
        <v>48</v>
      </c>
      <c r="G6" s="27">
        <v>60</v>
      </c>
      <c r="H6" s="27">
        <v>72</v>
      </c>
      <c r="I6" s="194" t="s">
        <v>304</v>
      </c>
      <c r="J6" s="1"/>
      <c r="K6" s="1"/>
      <c r="L6" s="1"/>
    </row>
    <row r="7" spans="1:15">
      <c r="A7" s="1"/>
      <c r="B7" s="32">
        <v>2017</v>
      </c>
      <c r="C7" s="32">
        <v>399</v>
      </c>
      <c r="D7" s="32">
        <v>730</v>
      </c>
      <c r="E7" s="92">
        <v>1007</v>
      </c>
      <c r="F7" s="92">
        <v>1215</v>
      </c>
      <c r="G7" s="92">
        <v>1359</v>
      </c>
      <c r="H7" s="92">
        <v>1365</v>
      </c>
      <c r="I7" s="92">
        <v>1371</v>
      </c>
      <c r="J7" s="1"/>
      <c r="K7" s="1"/>
      <c r="L7" s="1"/>
    </row>
    <row r="8" spans="1:15">
      <c r="A8" s="1"/>
      <c r="B8" s="32">
        <v>2018</v>
      </c>
      <c r="C8" s="32">
        <v>417</v>
      </c>
      <c r="D8" s="32">
        <v>763</v>
      </c>
      <c r="E8" s="92">
        <v>1063</v>
      </c>
      <c r="F8" s="92">
        <v>1278</v>
      </c>
      <c r="G8" s="92">
        <v>1318</v>
      </c>
      <c r="H8" s="32"/>
      <c r="I8" s="92">
        <v>1330</v>
      </c>
      <c r="J8" s="1"/>
      <c r="K8" s="1"/>
      <c r="L8" s="1"/>
    </row>
    <row r="9" spans="1:15">
      <c r="A9" s="1"/>
      <c r="B9" s="32">
        <v>2019</v>
      </c>
      <c r="C9" s="32">
        <v>449</v>
      </c>
      <c r="D9" s="32">
        <v>811</v>
      </c>
      <c r="E9" s="92">
        <v>1084</v>
      </c>
      <c r="F9" s="92">
        <v>1213</v>
      </c>
      <c r="G9" s="32"/>
      <c r="H9" s="32"/>
      <c r="I9" s="92">
        <v>1315</v>
      </c>
      <c r="J9" s="1"/>
      <c r="K9" s="1"/>
      <c r="L9" s="1"/>
    </row>
    <row r="10" spans="1:15">
      <c r="A10" s="1"/>
      <c r="B10" s="32">
        <v>2020</v>
      </c>
      <c r="C10" s="32">
        <v>459</v>
      </c>
      <c r="D10" s="32">
        <v>836</v>
      </c>
      <c r="E10" s="92">
        <v>1077</v>
      </c>
      <c r="F10" s="32"/>
      <c r="G10" s="32"/>
      <c r="H10" s="32"/>
      <c r="I10" s="92">
        <v>1373</v>
      </c>
      <c r="J10" s="1"/>
      <c r="K10" s="1"/>
      <c r="L10" s="1"/>
    </row>
    <row r="11" spans="1:15">
      <c r="A11" s="1"/>
      <c r="B11" s="32">
        <v>2021</v>
      </c>
      <c r="C11" s="32">
        <v>498</v>
      </c>
      <c r="D11" s="32">
        <v>826</v>
      </c>
      <c r="E11" s="32"/>
      <c r="F11" s="32"/>
      <c r="G11" s="32"/>
      <c r="H11" s="32"/>
      <c r="I11" s="92">
        <v>1421</v>
      </c>
      <c r="J11" s="1"/>
      <c r="K11" s="1"/>
      <c r="L11" s="1"/>
    </row>
    <row r="12" spans="1:15">
      <c r="A12" s="1"/>
      <c r="B12" s="32">
        <v>2022</v>
      </c>
      <c r="C12" s="32">
        <v>459</v>
      </c>
      <c r="D12" s="32"/>
      <c r="E12" s="32"/>
      <c r="F12" s="32"/>
      <c r="G12" s="32"/>
      <c r="H12" s="32"/>
      <c r="I12" s="92">
        <v>1413</v>
      </c>
      <c r="J12" s="1"/>
      <c r="K12" s="1"/>
      <c r="L12" s="1"/>
    </row>
    <row r="13" spans="1:15">
      <c r="A13" s="1"/>
      <c r="B13" s="1"/>
      <c r="C13" s="1"/>
      <c r="D13" s="1"/>
      <c r="E13" s="1"/>
      <c r="F13" s="1"/>
      <c r="G13" s="1"/>
      <c r="H13" s="1"/>
      <c r="I13" s="1"/>
      <c r="J13" s="1"/>
      <c r="K13" s="1"/>
      <c r="L13" s="1"/>
    </row>
    <row r="14" spans="1:15">
      <c r="A14" s="1"/>
      <c r="B14" s="519" t="s">
        <v>1871</v>
      </c>
      <c r="C14" s="1"/>
      <c r="D14" s="1"/>
      <c r="E14" s="1"/>
      <c r="F14" s="1"/>
      <c r="G14" s="1"/>
      <c r="H14" s="1"/>
      <c r="I14" s="1"/>
      <c r="J14" s="1"/>
      <c r="K14" s="1"/>
      <c r="L14" s="1"/>
    </row>
    <row r="15" spans="1:15">
      <c r="A15" s="1"/>
      <c r="B15" s="519" t="s">
        <v>1334</v>
      </c>
      <c r="C15" s="1"/>
      <c r="D15" s="1"/>
      <c r="E15" s="1"/>
      <c r="F15" s="485">
        <v>0.05</v>
      </c>
      <c r="G15" s="1"/>
      <c r="H15" s="1"/>
      <c r="I15" s="1"/>
      <c r="J15" s="1"/>
      <c r="K15" s="1"/>
      <c r="L15" s="1"/>
    </row>
    <row r="16" spans="1:15">
      <c r="A16" s="1"/>
      <c r="B16" s="519" t="s">
        <v>1333</v>
      </c>
      <c r="C16" s="1"/>
      <c r="D16" s="1"/>
      <c r="E16" s="1"/>
      <c r="F16" s="485">
        <v>2E-3</v>
      </c>
      <c r="G16" s="1"/>
      <c r="H16" s="1"/>
      <c r="I16" s="1"/>
      <c r="J16" s="1"/>
      <c r="K16" s="1"/>
      <c r="L16" s="1"/>
    </row>
    <row r="17" spans="1:18">
      <c r="A17" s="1"/>
      <c r="B17" s="1"/>
      <c r="C17" s="1"/>
      <c r="D17" s="1"/>
      <c r="E17" s="1"/>
      <c r="F17" s="1"/>
      <c r="G17" s="1"/>
      <c r="H17" s="1"/>
      <c r="I17" s="1"/>
      <c r="J17" s="1"/>
      <c r="K17" s="1"/>
      <c r="L17" s="1"/>
    </row>
    <row r="18" spans="1:18">
      <c r="A18" s="1" t="s">
        <v>1872</v>
      </c>
      <c r="B18" s="1"/>
      <c r="C18" s="1"/>
      <c r="D18" s="1"/>
      <c r="E18" s="1"/>
      <c r="F18" s="1"/>
      <c r="G18" s="1"/>
      <c r="H18" s="1"/>
      <c r="I18" s="1"/>
      <c r="J18" s="1"/>
      <c r="K18" s="1"/>
      <c r="L18" s="1"/>
    </row>
    <row r="19" spans="1:18">
      <c r="A19" s="1"/>
      <c r="B19" s="1"/>
      <c r="C19" s="1"/>
      <c r="D19" s="1"/>
      <c r="E19" s="1"/>
      <c r="F19" s="1"/>
      <c r="G19" s="1"/>
      <c r="H19" s="1"/>
      <c r="I19" s="1"/>
      <c r="J19" s="1"/>
      <c r="K19" s="1"/>
      <c r="L19" s="1"/>
    </row>
    <row r="21" spans="1:18">
      <c r="A21" s="17" t="s">
        <v>91</v>
      </c>
      <c r="B21" s="1" t="s">
        <v>1873</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s="3" t="s">
        <v>775</v>
      </c>
      <c r="C24" s="3"/>
      <c r="D24" s="3"/>
      <c r="E24" s="3"/>
      <c r="F24" s="3"/>
      <c r="G24" s="3"/>
      <c r="H24" s="3"/>
      <c r="I24" s="3"/>
      <c r="J24" s="3"/>
      <c r="K24" s="3"/>
      <c r="L24" s="3"/>
      <c r="M24" s="3"/>
      <c r="N24" s="9"/>
    </row>
    <row r="25" spans="1:18">
      <c r="A25" s="3"/>
      <c r="B25" s="3" t="s">
        <v>1874</v>
      </c>
      <c r="C25" s="3"/>
      <c r="D25" s="3"/>
      <c r="E25" s="3"/>
      <c r="F25" s="3"/>
      <c r="G25" s="3"/>
      <c r="H25" s="3"/>
      <c r="I25" s="3"/>
      <c r="J25" s="3"/>
      <c r="K25" s="3"/>
      <c r="L25" s="3"/>
      <c r="M25" s="3"/>
      <c r="N25" s="9"/>
    </row>
    <row r="26" spans="1:18">
      <c r="B26" s="2" t="s">
        <v>1875</v>
      </c>
      <c r="M26" s="9"/>
      <c r="N26" s="9"/>
    </row>
    <row r="27" spans="1:18">
      <c r="B27" s="2" t="s">
        <v>1876</v>
      </c>
      <c r="M27" s="9"/>
      <c r="N27" s="9"/>
    </row>
    <row r="29" spans="1:18">
      <c r="A29" s="17" t="s">
        <v>133</v>
      </c>
      <c r="B29" s="1" t="s">
        <v>1877</v>
      </c>
      <c r="C29" s="1"/>
      <c r="D29" s="1"/>
      <c r="E29" s="1"/>
      <c r="F29" s="1"/>
      <c r="G29" s="1"/>
      <c r="H29" s="1"/>
      <c r="I29" s="1"/>
      <c r="J29" s="1"/>
      <c r="K29" s="1"/>
      <c r="L29" s="1"/>
    </row>
    <row r="30" spans="1:18">
      <c r="A30" s="3"/>
      <c r="B30" s="3"/>
      <c r="C30" s="3"/>
      <c r="D30" s="3"/>
      <c r="E30" s="3"/>
      <c r="F30" s="3"/>
      <c r="G30" s="3"/>
      <c r="H30" s="3"/>
      <c r="I30" s="3"/>
      <c r="J30" s="3"/>
      <c r="K30" s="3"/>
      <c r="L30" s="3"/>
    </row>
    <row r="31" spans="1:18">
      <c r="A31" s="3" t="s">
        <v>20</v>
      </c>
      <c r="B31" s="3"/>
      <c r="C31" s="3"/>
      <c r="D31" s="3"/>
      <c r="E31" s="3"/>
      <c r="F31" s="3"/>
      <c r="G31" s="3"/>
      <c r="H31" s="3"/>
      <c r="I31" s="3"/>
      <c r="J31" s="3"/>
      <c r="K31" s="3"/>
      <c r="L31" s="3"/>
    </row>
    <row r="32" spans="1:18">
      <c r="A32" s="3"/>
      <c r="B32" s="94" t="s">
        <v>53</v>
      </c>
      <c r="C32" s="844" t="s">
        <v>1878</v>
      </c>
      <c r="D32" s="844"/>
      <c r="E32" s="844"/>
      <c r="F32" s="844"/>
      <c r="G32" s="844"/>
      <c r="H32" s="844"/>
      <c r="I32" s="3"/>
      <c r="J32" s="3"/>
      <c r="K32" s="3"/>
      <c r="L32" s="3"/>
    </row>
    <row r="33" spans="1:14">
      <c r="A33" s="3"/>
      <c r="B33" s="107" t="s">
        <v>55</v>
      </c>
      <c r="C33" s="107">
        <v>12</v>
      </c>
      <c r="D33" s="107">
        <f>C33+12</f>
        <v>24</v>
      </c>
      <c r="E33" s="107">
        <f t="shared" ref="E33:H33" si="0">D33+12</f>
        <v>36</v>
      </c>
      <c r="F33" s="107">
        <f t="shared" si="0"/>
        <v>48</v>
      </c>
      <c r="G33" s="107">
        <f t="shared" si="0"/>
        <v>60</v>
      </c>
      <c r="H33" s="107">
        <f t="shared" si="0"/>
        <v>72</v>
      </c>
      <c r="I33" s="3"/>
      <c r="J33" s="3"/>
      <c r="K33" s="3"/>
      <c r="L33" s="3"/>
    </row>
    <row r="34" spans="1:14">
      <c r="A34" s="3"/>
      <c r="B34" s="94">
        <v>2017</v>
      </c>
      <c r="C34" s="311">
        <f>C7/$I7</f>
        <v>0.29102844638949671</v>
      </c>
      <c r="D34" s="311">
        <f t="shared" ref="D34:H34" si="1">D7/$I7</f>
        <v>0.53245805981035743</v>
      </c>
      <c r="E34" s="311">
        <f t="shared" si="1"/>
        <v>0.73450036469730129</v>
      </c>
      <c r="F34" s="311">
        <f t="shared" si="1"/>
        <v>0.88621444201312916</v>
      </c>
      <c r="G34" s="311">
        <f t="shared" si="1"/>
        <v>0.99124726477024072</v>
      </c>
      <c r="H34" s="311">
        <f t="shared" si="1"/>
        <v>0.99562363238512031</v>
      </c>
      <c r="I34" s="3"/>
      <c r="J34" s="3"/>
      <c r="K34" s="3"/>
      <c r="L34" s="3"/>
    </row>
    <row r="35" spans="1:14">
      <c r="A35" s="3"/>
      <c r="B35" s="94">
        <v>2018</v>
      </c>
      <c r="C35" s="311">
        <f t="shared" ref="C35:G39" si="2">C8/$I8</f>
        <v>0.31353383458646616</v>
      </c>
      <c r="D35" s="311">
        <f t="shared" si="2"/>
        <v>0.5736842105263158</v>
      </c>
      <c r="E35" s="311">
        <f t="shared" si="2"/>
        <v>0.79924812030075187</v>
      </c>
      <c r="F35" s="311">
        <f t="shared" si="2"/>
        <v>0.9609022556390977</v>
      </c>
      <c r="G35" s="311">
        <f t="shared" si="2"/>
        <v>0.99097744360902251</v>
      </c>
      <c r="H35" s="311"/>
      <c r="I35" s="3"/>
      <c r="J35" s="3"/>
      <c r="K35" s="3"/>
      <c r="L35" s="3"/>
    </row>
    <row r="36" spans="1:14">
      <c r="A36" s="3"/>
      <c r="B36" s="94">
        <v>2019</v>
      </c>
      <c r="C36" s="311">
        <f t="shared" si="2"/>
        <v>0.34144486692015208</v>
      </c>
      <c r="D36" s="311">
        <f t="shared" si="2"/>
        <v>0.61673003802281368</v>
      </c>
      <c r="E36" s="311">
        <f t="shared" si="2"/>
        <v>0.82433460076045628</v>
      </c>
      <c r="F36" s="311">
        <f t="shared" si="2"/>
        <v>0.92243346007604565</v>
      </c>
      <c r="G36" s="311"/>
      <c r="H36" s="311"/>
      <c r="I36" s="3"/>
      <c r="J36" s="3"/>
      <c r="K36" s="3"/>
      <c r="L36" s="3"/>
    </row>
    <row r="37" spans="1:14">
      <c r="A37" s="3"/>
      <c r="B37" s="94">
        <v>2020</v>
      </c>
      <c r="C37" s="311">
        <f t="shared" si="2"/>
        <v>0.33430444282592864</v>
      </c>
      <c r="D37" s="311">
        <f t="shared" si="2"/>
        <v>0.60888565185724686</v>
      </c>
      <c r="E37" s="311">
        <f t="shared" si="2"/>
        <v>0.78441369264384564</v>
      </c>
      <c r="F37" s="311"/>
      <c r="G37" s="311"/>
      <c r="H37" s="311"/>
      <c r="I37" s="3"/>
      <c r="J37" s="3"/>
      <c r="K37" s="3"/>
      <c r="L37" s="3"/>
    </row>
    <row r="38" spans="1:14">
      <c r="A38" s="3"/>
      <c r="B38" s="94">
        <v>2021</v>
      </c>
      <c r="C38" s="311">
        <f t="shared" si="2"/>
        <v>0.35045742434904997</v>
      </c>
      <c r="D38" s="311">
        <f t="shared" si="2"/>
        <v>0.58128078817733986</v>
      </c>
      <c r="E38" s="311"/>
      <c r="F38" s="311"/>
      <c r="G38" s="311"/>
      <c r="H38" s="311"/>
      <c r="I38" s="3"/>
      <c r="J38" s="3"/>
      <c r="K38" s="3"/>
      <c r="L38" s="3"/>
    </row>
    <row r="39" spans="1:14">
      <c r="A39" s="3"/>
      <c r="B39" s="94">
        <v>2022</v>
      </c>
      <c r="C39" s="311">
        <f t="shared" si="2"/>
        <v>0.32484076433121017</v>
      </c>
      <c r="D39" s="311"/>
      <c r="E39" s="311"/>
      <c r="F39" s="311"/>
      <c r="G39" s="311"/>
      <c r="H39" s="311"/>
      <c r="I39" s="3"/>
      <c r="J39" s="3"/>
      <c r="K39" s="3"/>
      <c r="L39" s="3"/>
    </row>
    <row r="41" spans="1:14">
      <c r="A41" s="17" t="s">
        <v>18</v>
      </c>
      <c r="B41" s="1" t="s">
        <v>1879</v>
      </c>
      <c r="C41" s="1"/>
      <c r="D41" s="1"/>
      <c r="E41" s="1"/>
      <c r="F41" s="1"/>
      <c r="G41" s="1"/>
      <c r="H41" s="1"/>
      <c r="I41" s="1"/>
      <c r="J41" s="1"/>
      <c r="K41" s="1"/>
      <c r="L41" s="1"/>
    </row>
    <row r="42" spans="1:14">
      <c r="A42" s="3"/>
      <c r="B42" s="3"/>
      <c r="C42" s="3"/>
      <c r="D42" s="3"/>
      <c r="E42" s="3"/>
      <c r="F42" s="3"/>
      <c r="G42" s="3"/>
      <c r="H42" s="3"/>
      <c r="I42" s="3"/>
      <c r="J42" s="3"/>
      <c r="K42" s="3"/>
      <c r="L42" s="3"/>
    </row>
    <row r="43" spans="1:14">
      <c r="A43" s="3" t="s">
        <v>20</v>
      </c>
      <c r="B43" s="3"/>
      <c r="C43" s="3"/>
      <c r="D43" s="3"/>
      <c r="E43" s="3"/>
      <c r="F43" s="3"/>
      <c r="G43" s="3"/>
      <c r="H43" s="3"/>
      <c r="I43" s="3"/>
      <c r="J43" s="3"/>
      <c r="K43" s="3"/>
      <c r="L43" s="3"/>
    </row>
    <row r="44" spans="1:14">
      <c r="A44" s="3"/>
      <c r="B44" s="34" t="s">
        <v>53</v>
      </c>
      <c r="C44" s="816" t="s">
        <v>1880</v>
      </c>
      <c r="D44" s="816"/>
      <c r="E44" s="816"/>
      <c r="F44" s="816"/>
      <c r="G44" s="816"/>
      <c r="H44" s="3"/>
      <c r="I44" s="3"/>
      <c r="J44" s="3"/>
      <c r="K44" s="3"/>
      <c r="L44" s="3"/>
    </row>
    <row r="45" spans="1:14">
      <c r="A45" s="3"/>
      <c r="B45" s="35" t="s">
        <v>55</v>
      </c>
      <c r="C45" s="107">
        <v>12</v>
      </c>
      <c r="D45" s="107">
        <f>C45+12</f>
        <v>24</v>
      </c>
      <c r="E45" s="107">
        <f>D45+12</f>
        <v>36</v>
      </c>
      <c r="F45" s="107">
        <f>E45+12</f>
        <v>48</v>
      </c>
      <c r="G45" s="107">
        <f>F45+12</f>
        <v>60</v>
      </c>
      <c r="H45" s="3"/>
      <c r="I45" s="3"/>
      <c r="J45" s="3"/>
      <c r="K45" s="3"/>
      <c r="L45" s="3"/>
    </row>
    <row r="46" spans="1:14">
      <c r="B46" s="34" t="str">
        <f>B34&amp;"-"&amp;B35</f>
        <v>2017-2018</v>
      </c>
      <c r="C46" s="638">
        <f>C35/C34-1</f>
        <v>7.7330544406128077E-2</v>
      </c>
      <c r="D46" s="638">
        <f>D35/D34-1</f>
        <v>7.7426099495313538E-2</v>
      </c>
      <c r="E46" s="638">
        <f>E35/E34-1</f>
        <v>8.8152108175105104E-2</v>
      </c>
      <c r="F46" s="638">
        <f>F35/F34-1</f>
        <v>8.4277360066833618E-2</v>
      </c>
      <c r="G46" s="638">
        <f>G35/G34-1</f>
        <v>-2.7220368802804984E-4</v>
      </c>
    </row>
    <row r="47" spans="1:14">
      <c r="B47" s="34" t="str">
        <f>B35&amp;"-"&amp;B36</f>
        <v>2018-2019</v>
      </c>
      <c r="C47" s="638">
        <f>C36/C35-1</f>
        <v>8.9020798570269122E-2</v>
      </c>
      <c r="D47" s="638">
        <f>D36/D35-1</f>
        <v>7.5034011232427478E-2</v>
      </c>
      <c r="E47" s="638">
        <f>E36/E35-1</f>
        <v>3.1387600198877541E-2</v>
      </c>
      <c r="F47" s="638">
        <f>F36/F35-1</f>
        <v>-4.0034036071094903E-2</v>
      </c>
      <c r="G47" s="638"/>
    </row>
    <row r="48" spans="1:14">
      <c r="B48" s="34" t="str">
        <f>B36&amp;"-"&amp;B37</f>
        <v>2019-2020</v>
      </c>
      <c r="C48" s="638">
        <f>C37/C36-1</f>
        <v>-2.0912377915153324E-2</v>
      </c>
      <c r="D48" s="638">
        <f>D37/D36-1</f>
        <v>-1.2719319121726747E-2</v>
      </c>
      <c r="E48" s="638">
        <f>E37/E36-1</f>
        <v>-4.842803890529801E-2</v>
      </c>
      <c r="F48" s="638"/>
      <c r="G48" s="638"/>
      <c r="M48" s="3"/>
      <c r="N48" s="3"/>
    </row>
    <row r="49" spans="1:14">
      <c r="B49" s="34" t="str">
        <f>B37&amp;"-"&amp;B38</f>
        <v>2020-2021</v>
      </c>
      <c r="C49" s="638">
        <f>C38/C37-1</f>
        <v>4.8318177845851018E-2</v>
      </c>
      <c r="D49" s="638">
        <f>D38/D37-1</f>
        <v>-4.5336695971904706E-2</v>
      </c>
      <c r="E49" s="638"/>
      <c r="F49" s="638"/>
      <c r="G49" s="638"/>
      <c r="M49" s="3"/>
      <c r="N49" s="3"/>
    </row>
    <row r="50" spans="1:14">
      <c r="B50" s="34" t="str">
        <f>B38&amp;"-"&amp;B39</f>
        <v>2021-2022</v>
      </c>
      <c r="C50" s="638">
        <f>C39/C38-1</f>
        <v>-7.3094927480623184E-2</v>
      </c>
      <c r="D50" s="638"/>
      <c r="E50" s="638"/>
      <c r="F50" s="638"/>
      <c r="G50" s="638"/>
      <c r="M50" s="3"/>
      <c r="N50" s="3"/>
    </row>
    <row r="52" spans="1:14">
      <c r="B52" s="2" t="s">
        <v>1881</v>
      </c>
    </row>
    <row r="53" spans="1:14">
      <c r="B53" s="2" t="s">
        <v>1882</v>
      </c>
    </row>
    <row r="55" spans="1:14">
      <c r="A55" s="14"/>
      <c r="B55" s="14"/>
      <c r="C55" s="14"/>
      <c r="D55" s="14"/>
      <c r="E55" s="14"/>
      <c r="F55" s="14"/>
      <c r="G55" s="1"/>
      <c r="H55" s="1"/>
      <c r="I55" s="1"/>
      <c r="J55" s="1"/>
      <c r="K55" s="1"/>
      <c r="L55" s="1"/>
    </row>
    <row r="56" spans="1:14">
      <c r="A56" s="831" t="s">
        <v>1883</v>
      </c>
      <c r="B56" s="831"/>
      <c r="C56" s="831"/>
      <c r="D56" s="831"/>
      <c r="E56" s="831"/>
      <c r="F56" s="831"/>
      <c r="G56" s="831"/>
      <c r="H56" s="831"/>
      <c r="I56" s="831"/>
      <c r="J56" s="831"/>
      <c r="K56" s="831"/>
      <c r="L56" s="1"/>
    </row>
    <row r="57" spans="1:14">
      <c r="A57" s="831"/>
      <c r="B57" s="831"/>
      <c r="C57" s="831"/>
      <c r="D57" s="831"/>
      <c r="E57" s="831"/>
      <c r="F57" s="831"/>
      <c r="G57" s="831"/>
      <c r="H57" s="831"/>
      <c r="I57" s="831"/>
      <c r="J57" s="831"/>
      <c r="K57" s="831"/>
      <c r="L57" s="1"/>
    </row>
    <row r="58" spans="1:14">
      <c r="A58" s="14"/>
      <c r="B58" s="14"/>
      <c r="C58" s="14"/>
      <c r="D58" s="14"/>
      <c r="E58" s="14"/>
      <c r="F58" s="14"/>
      <c r="G58" s="1"/>
      <c r="H58" s="1"/>
      <c r="I58" s="1"/>
      <c r="J58" s="1"/>
      <c r="K58" s="1"/>
      <c r="L58" s="1"/>
    </row>
    <row r="59" spans="1:14">
      <c r="A59" s="14"/>
      <c r="B59" s="841" t="s">
        <v>1884</v>
      </c>
      <c r="C59" s="841"/>
      <c r="D59" s="841"/>
      <c r="E59" s="841"/>
      <c r="F59" s="841"/>
      <c r="G59" s="841"/>
      <c r="H59" s="1"/>
      <c r="I59" s="1"/>
      <c r="J59" s="1"/>
      <c r="K59" s="1"/>
      <c r="L59" s="1"/>
    </row>
    <row r="60" spans="1:14">
      <c r="A60" s="14"/>
      <c r="B60" s="27">
        <v>12</v>
      </c>
      <c r="C60" s="27">
        <v>24</v>
      </c>
      <c r="D60" s="27">
        <v>36</v>
      </c>
      <c r="E60" s="27">
        <v>48</v>
      </c>
      <c r="F60" s="27">
        <v>60</v>
      </c>
      <c r="G60" s="27">
        <v>72</v>
      </c>
      <c r="H60" s="1"/>
      <c r="I60" s="1"/>
      <c r="J60" s="1"/>
      <c r="K60" s="1"/>
      <c r="L60" s="1"/>
    </row>
    <row r="61" spans="1:14">
      <c r="A61" s="14"/>
      <c r="B61" s="92">
        <v>4400</v>
      </c>
      <c r="C61" s="92">
        <v>5400</v>
      </c>
      <c r="D61" s="92">
        <v>5785</v>
      </c>
      <c r="E61" s="92">
        <v>5982</v>
      </c>
      <c r="F61" s="92">
        <v>6000</v>
      </c>
      <c r="G61" s="92">
        <v>6125</v>
      </c>
      <c r="H61" s="1"/>
      <c r="I61" s="1"/>
      <c r="J61" s="1"/>
      <c r="K61" s="1"/>
      <c r="L61" s="1"/>
    </row>
    <row r="62" spans="1:14">
      <c r="A62" s="14"/>
      <c r="B62" s="14"/>
      <c r="C62" s="14"/>
      <c r="D62" s="14"/>
      <c r="E62" s="14"/>
      <c r="F62" s="14"/>
      <c r="G62" s="1"/>
      <c r="H62" s="1"/>
      <c r="I62" s="1"/>
      <c r="J62" s="1"/>
      <c r="K62" s="1"/>
      <c r="L62" s="1"/>
    </row>
    <row r="64" spans="1:14">
      <c r="A64" s="17" t="s">
        <v>25</v>
      </c>
      <c r="B64" s="1" t="s">
        <v>1885</v>
      </c>
      <c r="C64" s="1"/>
      <c r="D64" s="1"/>
      <c r="E64" s="1"/>
      <c r="F64" s="1"/>
      <c r="G64" s="1"/>
      <c r="H64" s="1"/>
      <c r="I64" s="1"/>
      <c r="J64" s="1"/>
      <c r="K64" s="1"/>
      <c r="L64" s="1"/>
    </row>
    <row r="65" spans="1:12">
      <c r="A65" s="3"/>
      <c r="B65" s="3"/>
      <c r="C65" s="3"/>
      <c r="D65" s="3"/>
      <c r="E65" s="3"/>
      <c r="F65" s="3"/>
      <c r="G65" s="3"/>
      <c r="H65" s="3"/>
      <c r="I65" s="3"/>
      <c r="J65" s="3"/>
      <c r="K65" s="3"/>
      <c r="L65" s="3"/>
    </row>
    <row r="66" spans="1:12">
      <c r="A66" s="3" t="s">
        <v>20</v>
      </c>
      <c r="B66" s="3"/>
      <c r="C66" s="3"/>
      <c r="D66" s="3"/>
      <c r="E66" s="3"/>
      <c r="F66" s="3"/>
      <c r="G66" s="3"/>
      <c r="H66" s="3"/>
      <c r="I66" s="3"/>
      <c r="J66" s="3"/>
      <c r="K66" s="3"/>
      <c r="L66" s="3"/>
    </row>
    <row r="67" spans="1:12">
      <c r="A67" s="3"/>
      <c r="B67" s="2" t="s">
        <v>1886</v>
      </c>
      <c r="C67" s="18"/>
      <c r="D67" s="18"/>
      <c r="E67" s="18"/>
      <c r="F67" s="18"/>
      <c r="G67" s="18"/>
      <c r="H67" s="18"/>
      <c r="I67" s="18"/>
      <c r="J67" s="3"/>
      <c r="K67" s="3"/>
      <c r="L67" s="3"/>
    </row>
    <row r="68" spans="1:12">
      <c r="A68" s="3"/>
      <c r="B68" s="18"/>
      <c r="C68" s="107">
        <v>12</v>
      </c>
      <c r="D68" s="107">
        <f>C68+12</f>
        <v>24</v>
      </c>
      <c r="E68" s="107">
        <f t="shared" ref="E68:H68" si="3">D68+12</f>
        <v>36</v>
      </c>
      <c r="F68" s="107">
        <f t="shared" si="3"/>
        <v>48</v>
      </c>
      <c r="G68" s="107">
        <f t="shared" si="3"/>
        <v>60</v>
      </c>
      <c r="H68" s="107">
        <f t="shared" si="3"/>
        <v>72</v>
      </c>
      <c r="I68" s="18"/>
      <c r="J68" s="3"/>
      <c r="K68" s="3"/>
      <c r="L68" s="3"/>
    </row>
    <row r="69" spans="1:12">
      <c r="B69" s="18"/>
      <c r="C69" s="311">
        <f>C39</f>
        <v>0.32484076433121017</v>
      </c>
      <c r="D69" s="311">
        <f>D38</f>
        <v>0.58128078817733986</v>
      </c>
      <c r="E69" s="311">
        <f>E37</f>
        <v>0.78441369264384564</v>
      </c>
      <c r="F69" s="311">
        <f>F36</f>
        <v>0.92243346007604565</v>
      </c>
      <c r="G69" s="311">
        <f>G35</f>
        <v>0.99097744360902251</v>
      </c>
      <c r="H69" s="311">
        <f>H34</f>
        <v>0.99562363238512031</v>
      </c>
      <c r="I69" s="18"/>
    </row>
    <row r="70" spans="1:12">
      <c r="B70" s="18"/>
      <c r="C70" s="18"/>
      <c r="D70" s="18"/>
      <c r="E70" s="18"/>
      <c r="F70" s="18"/>
      <c r="G70" s="18"/>
      <c r="H70" s="18"/>
      <c r="I70" s="18"/>
    </row>
    <row r="71" spans="1:12">
      <c r="B71" s="94" t="s">
        <v>53</v>
      </c>
      <c r="C71" s="844" t="s">
        <v>1166</v>
      </c>
      <c r="D71" s="844"/>
      <c r="E71" s="844"/>
      <c r="F71" s="844"/>
      <c r="G71" s="844"/>
      <c r="H71" s="844"/>
      <c r="I71" s="94" t="s">
        <v>276</v>
      </c>
    </row>
    <row r="72" spans="1:12">
      <c r="B72" s="107" t="s">
        <v>55</v>
      </c>
      <c r="C72" s="107">
        <v>12</v>
      </c>
      <c r="D72" s="107">
        <f>C72+12</f>
        <v>24</v>
      </c>
      <c r="E72" s="107">
        <f t="shared" ref="E72:H72" si="4">D72+12</f>
        <v>36</v>
      </c>
      <c r="F72" s="107">
        <f t="shared" si="4"/>
        <v>48</v>
      </c>
      <c r="G72" s="107">
        <f t="shared" si="4"/>
        <v>60</v>
      </c>
      <c r="H72" s="107">
        <f t="shared" si="4"/>
        <v>72</v>
      </c>
      <c r="I72" s="107" t="s">
        <v>304</v>
      </c>
    </row>
    <row r="73" spans="1:12">
      <c r="B73" s="94">
        <v>2017</v>
      </c>
      <c r="C73" s="106">
        <f>C$69*$I73</f>
        <v>445.35668789808915</v>
      </c>
      <c r="D73" s="106">
        <f t="shared" ref="D73:H77" si="5">D$69*$I73</f>
        <v>796.93596059113293</v>
      </c>
      <c r="E73" s="106">
        <f t="shared" si="5"/>
        <v>1075.4311726147123</v>
      </c>
      <c r="F73" s="106">
        <f t="shared" si="5"/>
        <v>1264.6562737642587</v>
      </c>
      <c r="G73" s="106">
        <f t="shared" si="5"/>
        <v>1358.6300751879699</v>
      </c>
      <c r="H73" s="106">
        <f t="shared" si="5"/>
        <v>1365</v>
      </c>
      <c r="I73" s="106">
        <v>1371</v>
      </c>
    </row>
    <row r="74" spans="1:12">
      <c r="B74" s="94">
        <v>2018</v>
      </c>
      <c r="C74" s="106">
        <f t="shared" ref="C74:C78" si="6">C$69*$I74</f>
        <v>432.03821656050951</v>
      </c>
      <c r="D74" s="106">
        <f t="shared" si="5"/>
        <v>773.10344827586198</v>
      </c>
      <c r="E74" s="106">
        <f t="shared" si="5"/>
        <v>1043.2702112163147</v>
      </c>
      <c r="F74" s="106">
        <f t="shared" si="5"/>
        <v>1226.8365019011408</v>
      </c>
      <c r="G74" s="106">
        <f t="shared" si="5"/>
        <v>1318</v>
      </c>
      <c r="H74" s="106"/>
      <c r="I74" s="106">
        <v>1330</v>
      </c>
    </row>
    <row r="75" spans="1:12">
      <c r="B75" s="94">
        <v>2019</v>
      </c>
      <c r="C75" s="106">
        <f t="shared" si="6"/>
        <v>427.16560509554137</v>
      </c>
      <c r="D75" s="106">
        <f t="shared" si="5"/>
        <v>764.38423645320188</v>
      </c>
      <c r="E75" s="106">
        <f t="shared" si="5"/>
        <v>1031.504005826657</v>
      </c>
      <c r="F75" s="106">
        <f t="shared" si="5"/>
        <v>1213</v>
      </c>
      <c r="G75" s="106"/>
      <c r="H75" s="106"/>
      <c r="I75" s="106">
        <v>1315</v>
      </c>
    </row>
    <row r="76" spans="1:12">
      <c r="B76" s="94">
        <v>2020</v>
      </c>
      <c r="C76" s="106">
        <f t="shared" si="6"/>
        <v>446.00636942675158</v>
      </c>
      <c r="D76" s="106">
        <f t="shared" si="5"/>
        <v>798.09852216748766</v>
      </c>
      <c r="E76" s="106">
        <f t="shared" si="5"/>
        <v>1077</v>
      </c>
      <c r="F76" s="106"/>
      <c r="G76" s="106"/>
      <c r="H76" s="106"/>
      <c r="I76" s="106">
        <v>1373</v>
      </c>
    </row>
    <row r="77" spans="1:12">
      <c r="B77" s="94">
        <v>2021</v>
      </c>
      <c r="C77" s="106">
        <f t="shared" si="6"/>
        <v>461.59872611464965</v>
      </c>
      <c r="D77" s="106">
        <f t="shared" si="5"/>
        <v>825.99999999999989</v>
      </c>
      <c r="E77" s="106"/>
      <c r="F77" s="106"/>
      <c r="G77" s="106"/>
      <c r="H77" s="106"/>
      <c r="I77" s="106">
        <v>1421</v>
      </c>
    </row>
    <row r="78" spans="1:12">
      <c r="B78" s="94">
        <v>2022</v>
      </c>
      <c r="C78" s="106">
        <f t="shared" si="6"/>
        <v>459</v>
      </c>
      <c r="D78" s="106"/>
      <c r="E78" s="106"/>
      <c r="F78" s="106"/>
      <c r="G78" s="106"/>
      <c r="H78" s="106"/>
      <c r="I78" s="106">
        <v>1413</v>
      </c>
    </row>
    <row r="79" spans="1:12">
      <c r="B79" s="18"/>
      <c r="C79" s="106"/>
      <c r="D79" s="106"/>
      <c r="E79" s="106"/>
      <c r="F79" s="106"/>
      <c r="G79" s="106"/>
      <c r="H79" s="106"/>
      <c r="I79" s="18"/>
    </row>
    <row r="80" spans="1:12">
      <c r="B80" s="94" t="s">
        <v>53</v>
      </c>
      <c r="C80" s="844" t="s">
        <v>1887</v>
      </c>
      <c r="D80" s="844"/>
      <c r="E80" s="844"/>
      <c r="F80" s="844"/>
      <c r="G80" s="844"/>
      <c r="H80" s="844"/>
      <c r="I80" s="18"/>
    </row>
    <row r="81" spans="2:9">
      <c r="B81" s="107" t="s">
        <v>55</v>
      </c>
      <c r="C81" s="107">
        <v>12</v>
      </c>
      <c r="D81" s="107">
        <f>C81+12</f>
        <v>24</v>
      </c>
      <c r="E81" s="107">
        <f t="shared" ref="E81:H81" si="7">D81+12</f>
        <v>36</v>
      </c>
      <c r="F81" s="107">
        <f t="shared" si="7"/>
        <v>48</v>
      </c>
      <c r="G81" s="107">
        <f t="shared" si="7"/>
        <v>60</v>
      </c>
      <c r="H81" s="107">
        <f t="shared" si="7"/>
        <v>72</v>
      </c>
      <c r="I81" s="18"/>
    </row>
    <row r="82" spans="2:9">
      <c r="B82" s="94">
        <v>2017</v>
      </c>
      <c r="C82" s="106">
        <f t="shared" ref="C82:F85" si="8">C83/(1+$F$15)</f>
        <v>3447.5151324612189</v>
      </c>
      <c r="D82" s="106">
        <f t="shared" si="8"/>
        <v>4442.5933638761617</v>
      </c>
      <c r="E82" s="106">
        <f t="shared" si="8"/>
        <v>4997.3005075045885</v>
      </c>
      <c r="F82" s="106">
        <f t="shared" si="8"/>
        <v>5425.850340136054</v>
      </c>
      <c r="G82" s="106">
        <f>G83/(1+$F$15)</f>
        <v>5714.2857142857138</v>
      </c>
      <c r="H82" s="106">
        <f>G$61</f>
        <v>6125</v>
      </c>
      <c r="I82" s="18"/>
    </row>
    <row r="83" spans="2:9">
      <c r="B83" s="94">
        <v>2018</v>
      </c>
      <c r="C83" s="106">
        <f t="shared" si="8"/>
        <v>3619.8908890842799</v>
      </c>
      <c r="D83" s="106">
        <f t="shared" si="8"/>
        <v>4664.72303206997</v>
      </c>
      <c r="E83" s="106">
        <f t="shared" si="8"/>
        <v>5247.1655328798179</v>
      </c>
      <c r="F83" s="106">
        <f t="shared" si="8"/>
        <v>5697.1428571428569</v>
      </c>
      <c r="G83" s="106">
        <f>F$61</f>
        <v>6000</v>
      </c>
      <c r="H83" s="106"/>
      <c r="I83" s="18"/>
    </row>
    <row r="84" spans="2:9">
      <c r="B84" s="94">
        <v>2019</v>
      </c>
      <c r="C84" s="106">
        <f t="shared" si="8"/>
        <v>3800.885433538494</v>
      </c>
      <c r="D84" s="106">
        <f t="shared" si="8"/>
        <v>4897.9591836734689</v>
      </c>
      <c r="E84" s="106">
        <f t="shared" si="8"/>
        <v>5509.5238095238092</v>
      </c>
      <c r="F84" s="106">
        <f>E$61</f>
        <v>5982</v>
      </c>
      <c r="G84" s="106"/>
      <c r="H84" s="106"/>
      <c r="I84" s="18"/>
    </row>
    <row r="85" spans="2:9">
      <c r="B85" s="94">
        <v>2020</v>
      </c>
      <c r="C85" s="106">
        <f t="shared" si="8"/>
        <v>3990.9297052154188</v>
      </c>
      <c r="D85" s="106">
        <f t="shared" si="8"/>
        <v>5142.8571428571422</v>
      </c>
      <c r="E85" s="106">
        <f>D$61</f>
        <v>5785</v>
      </c>
      <c r="F85" s="106"/>
      <c r="G85" s="106"/>
      <c r="H85" s="106"/>
      <c r="I85" s="18"/>
    </row>
    <row r="86" spans="2:9">
      <c r="B86" s="94">
        <v>2021</v>
      </c>
      <c r="C86" s="106">
        <f>C87/(1+$F$15)</f>
        <v>4190.4761904761899</v>
      </c>
      <c r="D86" s="106">
        <f>C$61</f>
        <v>5400</v>
      </c>
      <c r="E86" s="106"/>
      <c r="F86" s="106"/>
      <c r="G86" s="106"/>
      <c r="H86" s="106"/>
      <c r="I86" s="18"/>
    </row>
    <row r="87" spans="2:9">
      <c r="B87" s="94">
        <v>2022</v>
      </c>
      <c r="C87" s="106">
        <f>B$61</f>
        <v>4400</v>
      </c>
      <c r="D87" s="106"/>
      <c r="E87" s="106"/>
      <c r="F87" s="106"/>
      <c r="G87" s="106"/>
      <c r="H87" s="106"/>
      <c r="I87" s="18"/>
    </row>
    <row r="88" spans="2:9">
      <c r="B88" s="18"/>
      <c r="C88" s="18"/>
      <c r="D88" s="18"/>
      <c r="E88" s="18"/>
      <c r="F88" s="18"/>
      <c r="G88" s="18"/>
      <c r="H88" s="18"/>
      <c r="I88" s="18"/>
    </row>
    <row r="89" spans="2:9">
      <c r="B89" s="94" t="s">
        <v>53</v>
      </c>
      <c r="C89" s="274" t="s">
        <v>1888</v>
      </c>
      <c r="D89" s="274"/>
      <c r="E89" s="274"/>
      <c r="F89" s="274"/>
      <c r="G89" s="274"/>
      <c r="H89" s="274"/>
      <c r="I89" s="396"/>
    </row>
    <row r="90" spans="2:9">
      <c r="B90" s="107" t="s">
        <v>55</v>
      </c>
      <c r="C90" s="107">
        <v>12</v>
      </c>
      <c r="D90" s="107">
        <f>C90+12</f>
        <v>24</v>
      </c>
      <c r="E90" s="107">
        <f t="shared" ref="E90:H90" si="9">D90+12</f>
        <v>36</v>
      </c>
      <c r="F90" s="107">
        <f t="shared" si="9"/>
        <v>48</v>
      </c>
      <c r="G90" s="107">
        <f t="shared" si="9"/>
        <v>60</v>
      </c>
      <c r="H90" s="107">
        <f t="shared" si="9"/>
        <v>72</v>
      </c>
      <c r="I90" s="18"/>
    </row>
    <row r="91" spans="2:9">
      <c r="B91" s="94">
        <v>2017</v>
      </c>
      <c r="C91" s="106">
        <f>C73*C82</f>
        <v>1535373.9208714706</v>
      </c>
      <c r="D91" s="106">
        <f t="shared" ref="D91:H91" si="10">D73*D82</f>
        <v>3540462.4099564413</v>
      </c>
      <c r="E91" s="106">
        <f t="shared" si="10"/>
        <v>5374252.7446937561</v>
      </c>
      <c r="F91" s="106">
        <f t="shared" si="10"/>
        <v>6861835.6731589977</v>
      </c>
      <c r="G91" s="106">
        <f t="shared" si="10"/>
        <v>7763600.4296455411</v>
      </c>
      <c r="H91" s="106">
        <f t="shared" si="10"/>
        <v>8360625</v>
      </c>
      <c r="I91" s="18"/>
    </row>
    <row r="92" spans="2:9">
      <c r="B92" s="94">
        <v>2018</v>
      </c>
      <c r="C92" s="106">
        <f t="shared" ref="C92:G96" si="11">C74*C83</f>
        <v>1563931.2038636093</v>
      </c>
      <c r="D92" s="106">
        <f t="shared" si="11"/>
        <v>3606313.4613451282</v>
      </c>
      <c r="E92" s="106">
        <f t="shared" si="11"/>
        <v>5474211.4937744942</v>
      </c>
      <c r="F92" s="106">
        <f t="shared" si="11"/>
        <v>6989462.813688213</v>
      </c>
      <c r="G92" s="106">
        <f t="shared" si="11"/>
        <v>7908000</v>
      </c>
      <c r="H92" s="106"/>
      <c r="I92" s="18"/>
    </row>
    <row r="93" spans="2:9">
      <c r="B93" s="94">
        <v>2019</v>
      </c>
      <c r="C93" s="106">
        <f t="shared" si="11"/>
        <v>1623607.5261162999</v>
      </c>
      <c r="D93" s="106">
        <f t="shared" si="11"/>
        <v>3743922.7907911926</v>
      </c>
      <c r="E93" s="106">
        <f t="shared" si="11"/>
        <v>5683095.8797211526</v>
      </c>
      <c r="F93" s="106">
        <f t="shared" si="11"/>
        <v>7256166</v>
      </c>
      <c r="G93" s="106"/>
      <c r="H93" s="106"/>
      <c r="I93" s="18"/>
    </row>
    <row r="94" spans="2:9">
      <c r="B94" s="94">
        <v>2020</v>
      </c>
      <c r="C94" s="106">
        <f t="shared" si="11"/>
        <v>1779980.0684605048</v>
      </c>
      <c r="D94" s="106">
        <f t="shared" si="11"/>
        <v>4104506.6854327931</v>
      </c>
      <c r="E94" s="106">
        <f t="shared" si="11"/>
        <v>6230445</v>
      </c>
      <c r="F94" s="106"/>
      <c r="G94" s="106"/>
      <c r="H94" s="106"/>
      <c r="I94" s="18"/>
    </row>
    <row r="95" spans="2:9">
      <c r="B95" s="94">
        <v>2021</v>
      </c>
      <c r="C95" s="106">
        <f t="shared" si="11"/>
        <v>1934318.4713375792</v>
      </c>
      <c r="D95" s="106">
        <f t="shared" si="11"/>
        <v>4460399.9999999991</v>
      </c>
      <c r="E95" s="106"/>
      <c r="F95" s="106"/>
      <c r="G95" s="106"/>
      <c r="H95" s="106"/>
      <c r="I95" s="18"/>
    </row>
    <row r="96" spans="2:9">
      <c r="B96" s="94">
        <v>2022</v>
      </c>
      <c r="C96" s="106">
        <f t="shared" si="11"/>
        <v>2019600</v>
      </c>
      <c r="D96" s="106"/>
      <c r="E96" s="106"/>
      <c r="F96" s="106"/>
      <c r="G96" s="106"/>
      <c r="H96" s="106"/>
      <c r="I96" s="18"/>
    </row>
  </sheetData>
  <mergeCells count="7">
    <mergeCell ref="C80:H80"/>
    <mergeCell ref="C5:H5"/>
    <mergeCell ref="C32:H32"/>
    <mergeCell ref="C44:G44"/>
    <mergeCell ref="A56:K57"/>
    <mergeCell ref="B59:G59"/>
    <mergeCell ref="C71:H71"/>
  </mergeCells>
  <hyperlinks>
    <hyperlink ref="O1" location="TOC!A1" display="Table of Contents" xr:uid="{82412BF6-8FA5-4FCC-9326-161A8D30AA6F}"/>
  </hyperlinks>
  <pageMargins left="0.7" right="0.7" top="0.75" bottom="0.75" header="0.3" footer="0.3"/>
  <pageSetup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CC62-B926-45CB-A57F-097973BCC0E7}">
  <dimension ref="A1:R133"/>
  <sheetViews>
    <sheetView zoomScaleNormal="100" workbookViewId="0"/>
  </sheetViews>
  <sheetFormatPr defaultColWidth="8.88671875" defaultRowHeight="15.6"/>
  <cols>
    <col min="1" max="1" width="8.88671875" style="2" customWidth="1"/>
    <col min="2" max="9" width="12.6640625" style="2" customWidth="1"/>
    <col min="10" max="16384" width="8.88671875" style="2"/>
  </cols>
  <sheetData>
    <row r="1" spans="1:15" ht="17.399999999999999">
      <c r="A1" s="13" t="s">
        <v>1954</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831" t="s">
        <v>1889</v>
      </c>
      <c r="B3" s="831"/>
      <c r="C3" s="831"/>
      <c r="D3" s="831"/>
      <c r="E3" s="831"/>
      <c r="F3" s="831"/>
      <c r="G3" s="831"/>
      <c r="H3" s="831"/>
      <c r="I3" s="831"/>
      <c r="J3" s="831"/>
      <c r="K3" s="831"/>
      <c r="L3" s="14"/>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c r="A6" s="43"/>
      <c r="B6" s="1"/>
      <c r="C6" s="1"/>
      <c r="D6" s="1"/>
      <c r="E6" s="1"/>
      <c r="F6" s="1"/>
      <c r="G6" s="1"/>
      <c r="H6" s="1"/>
      <c r="I6" s="1"/>
      <c r="J6" s="1"/>
      <c r="K6" s="1"/>
      <c r="L6" s="1"/>
    </row>
    <row r="7" spans="1:15">
      <c r="A7" s="43"/>
      <c r="B7" s="164" t="s">
        <v>53</v>
      </c>
      <c r="C7" s="841" t="s">
        <v>59</v>
      </c>
      <c r="D7" s="841"/>
      <c r="E7" s="841"/>
      <c r="F7" s="841"/>
      <c r="G7" s="841"/>
      <c r="H7" s="841"/>
      <c r="I7" s="192" t="s">
        <v>276</v>
      </c>
      <c r="J7" s="1"/>
      <c r="K7" s="1"/>
      <c r="L7" s="1"/>
    </row>
    <row r="8" spans="1:15">
      <c r="A8" s="43"/>
      <c r="B8" s="165" t="s">
        <v>55</v>
      </c>
      <c r="C8" s="27">
        <v>12</v>
      </c>
      <c r="D8" s="27">
        <v>24</v>
      </c>
      <c r="E8" s="27">
        <v>36</v>
      </c>
      <c r="F8" s="27">
        <v>48</v>
      </c>
      <c r="G8" s="27">
        <v>60</v>
      </c>
      <c r="H8" s="27">
        <v>72</v>
      </c>
      <c r="I8" s="194" t="s">
        <v>124</v>
      </c>
      <c r="J8" s="1"/>
      <c r="K8" s="1"/>
      <c r="L8" s="1"/>
    </row>
    <row r="9" spans="1:15">
      <c r="A9" s="43"/>
      <c r="B9" s="32">
        <v>2017</v>
      </c>
      <c r="C9" s="92">
        <v>4490119</v>
      </c>
      <c r="D9" s="92">
        <v>6618441</v>
      </c>
      <c r="E9" s="92">
        <v>8018024</v>
      </c>
      <c r="F9" s="92">
        <v>9424347</v>
      </c>
      <c r="G9" s="92">
        <v>9996330</v>
      </c>
      <c r="H9" s="92">
        <v>10121653</v>
      </c>
      <c r="I9" s="92">
        <v>10248547</v>
      </c>
      <c r="J9" s="1"/>
      <c r="K9" s="1"/>
      <c r="L9" s="1"/>
    </row>
    <row r="10" spans="1:15">
      <c r="A10" s="43"/>
      <c r="B10" s="32">
        <v>2018</v>
      </c>
      <c r="C10" s="92">
        <v>4892866</v>
      </c>
      <c r="D10" s="92">
        <v>6982903</v>
      </c>
      <c r="E10" s="92">
        <v>8630338</v>
      </c>
      <c r="F10" s="92">
        <v>10114249</v>
      </c>
      <c r="G10" s="92">
        <v>10671269</v>
      </c>
      <c r="H10" s="32"/>
      <c r="I10" s="92">
        <v>10940516</v>
      </c>
      <c r="J10" s="1"/>
      <c r="K10" s="1"/>
      <c r="L10" s="1"/>
    </row>
    <row r="11" spans="1:15">
      <c r="A11" s="43"/>
      <c r="B11" s="32">
        <v>2019</v>
      </c>
      <c r="C11" s="92">
        <v>5116047</v>
      </c>
      <c r="D11" s="92">
        <v>7389572</v>
      </c>
      <c r="E11" s="92">
        <v>9267893</v>
      </c>
      <c r="F11" s="92">
        <v>10572454</v>
      </c>
      <c r="G11" s="32"/>
      <c r="H11" s="32"/>
      <c r="I11" s="92">
        <v>11466607</v>
      </c>
      <c r="J11" s="1"/>
      <c r="K11" s="1"/>
      <c r="L11" s="1"/>
    </row>
    <row r="12" spans="1:15">
      <c r="A12" s="43"/>
      <c r="B12" s="32">
        <v>2020</v>
      </c>
      <c r="C12" s="92">
        <v>5687200</v>
      </c>
      <c r="D12" s="92">
        <v>8006857</v>
      </c>
      <c r="E12" s="92">
        <v>10230447</v>
      </c>
      <c r="F12" s="32"/>
      <c r="G12" s="32"/>
      <c r="H12" s="32"/>
      <c r="I12" s="92">
        <v>12900933</v>
      </c>
      <c r="J12" s="1"/>
      <c r="K12" s="1"/>
      <c r="L12" s="1"/>
    </row>
    <row r="13" spans="1:15">
      <c r="A13" s="43"/>
      <c r="B13" s="32">
        <v>2021</v>
      </c>
      <c r="C13" s="92">
        <v>6277173</v>
      </c>
      <c r="D13" s="92">
        <v>9059236</v>
      </c>
      <c r="E13" s="32"/>
      <c r="F13" s="32"/>
      <c r="G13" s="32"/>
      <c r="H13" s="32"/>
      <c r="I13" s="92">
        <v>14220841</v>
      </c>
      <c r="J13" s="1"/>
      <c r="K13" s="1"/>
      <c r="L13" s="1"/>
    </row>
    <row r="14" spans="1:15">
      <c r="A14" s="43"/>
      <c r="B14" s="32">
        <v>2022</v>
      </c>
      <c r="C14" s="92">
        <v>6920495</v>
      </c>
      <c r="D14" s="32"/>
      <c r="E14" s="32"/>
      <c r="F14" s="32"/>
      <c r="G14" s="32"/>
      <c r="H14" s="32"/>
      <c r="I14" s="92">
        <v>15636155</v>
      </c>
      <c r="J14" s="1"/>
      <c r="K14" s="1"/>
      <c r="L14" s="1"/>
    </row>
    <row r="15" spans="1:15">
      <c r="A15" s="43"/>
      <c r="B15" s="1"/>
      <c r="C15" s="1"/>
      <c r="D15" s="1"/>
      <c r="E15" s="1"/>
      <c r="F15" s="1"/>
      <c r="G15" s="1"/>
      <c r="H15" s="1"/>
      <c r="I15" s="1"/>
      <c r="J15" s="1"/>
      <c r="K15" s="1"/>
      <c r="L15" s="1"/>
    </row>
    <row r="16" spans="1:15">
      <c r="A16" s="43"/>
      <c r="B16" s="164" t="s">
        <v>53</v>
      </c>
      <c r="C16" s="841" t="s">
        <v>324</v>
      </c>
      <c r="D16" s="841"/>
      <c r="E16" s="841"/>
      <c r="F16" s="841"/>
      <c r="G16" s="841"/>
      <c r="H16" s="841"/>
      <c r="I16" s="192" t="s">
        <v>276</v>
      </c>
      <c r="J16" s="1"/>
      <c r="K16" s="1"/>
      <c r="L16" s="1"/>
    </row>
    <row r="17" spans="1:12">
      <c r="A17" s="43"/>
      <c r="B17" s="165" t="s">
        <v>55</v>
      </c>
      <c r="C17" s="27">
        <v>12</v>
      </c>
      <c r="D17" s="27">
        <v>24</v>
      </c>
      <c r="E17" s="27">
        <v>36</v>
      </c>
      <c r="F17" s="27">
        <v>48</v>
      </c>
      <c r="G17" s="27">
        <v>60</v>
      </c>
      <c r="H17" s="27">
        <v>72</v>
      </c>
      <c r="I17" s="194" t="s">
        <v>124</v>
      </c>
      <c r="J17" s="1"/>
      <c r="K17" s="1"/>
      <c r="L17" s="1"/>
    </row>
    <row r="18" spans="1:12">
      <c r="A18" s="43"/>
      <c r="B18" s="32">
        <v>2017</v>
      </c>
      <c r="C18" s="92">
        <v>1950824</v>
      </c>
      <c r="D18" s="92">
        <v>4523911</v>
      </c>
      <c r="E18" s="92">
        <v>6506781</v>
      </c>
      <c r="F18" s="92">
        <v>8594540</v>
      </c>
      <c r="G18" s="92">
        <v>9886911</v>
      </c>
      <c r="H18" s="92">
        <v>10121653</v>
      </c>
      <c r="I18" s="92">
        <v>10361968</v>
      </c>
      <c r="J18" s="1"/>
      <c r="K18" s="1"/>
      <c r="L18" s="1"/>
    </row>
    <row r="19" spans="1:12">
      <c r="A19" s="43"/>
      <c r="B19" s="32">
        <v>2018</v>
      </c>
      <c r="C19" s="92">
        <v>2077925</v>
      </c>
      <c r="D19" s="92">
        <v>4668120</v>
      </c>
      <c r="E19" s="92">
        <v>7007477</v>
      </c>
      <c r="F19" s="92">
        <v>9239820</v>
      </c>
      <c r="G19" s="92">
        <v>10671269</v>
      </c>
      <c r="H19" s="32"/>
      <c r="I19" s="92">
        <v>11184014</v>
      </c>
      <c r="J19" s="1"/>
      <c r="K19" s="1"/>
      <c r="L19" s="1"/>
    </row>
    <row r="20" spans="1:12">
      <c r="A20" s="43"/>
      <c r="B20" s="32">
        <v>2019</v>
      </c>
      <c r="C20" s="92">
        <v>2061272</v>
      </c>
      <c r="D20" s="92">
        <v>4882698</v>
      </c>
      <c r="E20" s="92">
        <v>7493669</v>
      </c>
      <c r="F20" s="92">
        <v>10572454</v>
      </c>
      <c r="G20" s="32"/>
      <c r="H20" s="32"/>
      <c r="I20" s="92">
        <v>12771843</v>
      </c>
      <c r="J20" s="1"/>
      <c r="K20" s="1"/>
      <c r="L20" s="1"/>
    </row>
    <row r="21" spans="1:12">
      <c r="A21" s="43"/>
      <c r="B21" s="32">
        <v>2020</v>
      </c>
      <c r="C21" s="92">
        <v>2431961</v>
      </c>
      <c r="D21" s="92">
        <v>5348691</v>
      </c>
      <c r="E21" s="92">
        <v>8813923</v>
      </c>
      <c r="F21" s="32"/>
      <c r="G21" s="32"/>
      <c r="H21" s="32"/>
      <c r="I21" s="92">
        <v>14375085</v>
      </c>
      <c r="J21" s="1"/>
      <c r="K21" s="1"/>
      <c r="L21" s="1"/>
    </row>
    <row r="22" spans="1:12">
      <c r="A22" s="43"/>
      <c r="B22" s="32">
        <v>2021</v>
      </c>
      <c r="C22" s="92">
        <v>2726683</v>
      </c>
      <c r="D22" s="92">
        <v>6334322</v>
      </c>
      <c r="E22" s="32"/>
      <c r="F22" s="32"/>
      <c r="G22" s="32"/>
      <c r="H22" s="32"/>
      <c r="I22" s="92">
        <v>15811681</v>
      </c>
      <c r="J22" s="1"/>
      <c r="K22" s="1"/>
      <c r="L22" s="1"/>
    </row>
    <row r="23" spans="1:12">
      <c r="A23" s="43"/>
      <c r="B23" s="32">
        <v>2022</v>
      </c>
      <c r="C23" s="92">
        <v>2996405</v>
      </c>
      <c r="D23" s="32"/>
      <c r="E23" s="32"/>
      <c r="F23" s="32"/>
      <c r="G23" s="32"/>
      <c r="H23" s="32"/>
      <c r="I23" s="92">
        <v>17138313</v>
      </c>
      <c r="J23" s="1"/>
      <c r="K23" s="1"/>
      <c r="L23" s="1"/>
    </row>
    <row r="24" spans="1:12">
      <c r="A24" s="43"/>
      <c r="B24" s="1"/>
      <c r="C24" s="1"/>
      <c r="D24" s="1"/>
      <c r="E24" s="1"/>
      <c r="F24" s="1"/>
      <c r="G24" s="1"/>
      <c r="H24" s="1"/>
      <c r="I24" s="1"/>
      <c r="J24" s="1"/>
      <c r="K24" s="1"/>
      <c r="L24" s="1"/>
    </row>
    <row r="25" spans="1:12">
      <c r="A25" s="43"/>
      <c r="B25" s="164" t="s">
        <v>53</v>
      </c>
      <c r="C25" s="841" t="s">
        <v>550</v>
      </c>
      <c r="D25" s="841"/>
      <c r="E25" s="841"/>
      <c r="F25" s="841"/>
      <c r="G25" s="841"/>
      <c r="H25" s="841"/>
      <c r="I25" s="192" t="s">
        <v>276</v>
      </c>
      <c r="J25" s="1"/>
      <c r="K25" s="1"/>
      <c r="L25" s="1"/>
    </row>
    <row r="26" spans="1:12">
      <c r="A26" s="43"/>
      <c r="B26" s="165" t="s">
        <v>55</v>
      </c>
      <c r="C26" s="27">
        <v>12</v>
      </c>
      <c r="D26" s="27">
        <v>24</v>
      </c>
      <c r="E26" s="27">
        <v>36</v>
      </c>
      <c r="F26" s="27">
        <v>48</v>
      </c>
      <c r="G26" s="27">
        <v>60</v>
      </c>
      <c r="H26" s="27">
        <v>72</v>
      </c>
      <c r="I26" s="194" t="s">
        <v>304</v>
      </c>
      <c r="J26" s="1"/>
      <c r="K26" s="1"/>
      <c r="L26" s="1"/>
    </row>
    <row r="27" spans="1:12">
      <c r="A27" s="43"/>
      <c r="B27" s="32">
        <v>2017</v>
      </c>
      <c r="C27" s="92">
        <v>1193</v>
      </c>
      <c r="D27" s="92">
        <v>1488</v>
      </c>
      <c r="E27" s="92">
        <v>1670</v>
      </c>
      <c r="F27" s="92">
        <v>1850</v>
      </c>
      <c r="G27" s="92">
        <v>1921</v>
      </c>
      <c r="H27" s="92">
        <v>1935</v>
      </c>
      <c r="I27" s="92">
        <v>1949</v>
      </c>
      <c r="J27" s="1"/>
      <c r="K27" s="1"/>
      <c r="L27" s="1"/>
    </row>
    <row r="28" spans="1:12">
      <c r="A28" s="43"/>
      <c r="B28" s="32">
        <v>2018</v>
      </c>
      <c r="C28" s="92">
        <v>1204</v>
      </c>
      <c r="D28" s="92">
        <v>1523</v>
      </c>
      <c r="E28" s="92">
        <v>1701</v>
      </c>
      <c r="F28" s="92">
        <v>1864</v>
      </c>
      <c r="G28" s="92">
        <v>1941</v>
      </c>
      <c r="H28" s="32"/>
      <c r="I28" s="92">
        <v>1969</v>
      </c>
      <c r="J28" s="1"/>
      <c r="K28" s="1"/>
      <c r="L28" s="1"/>
    </row>
    <row r="29" spans="1:12">
      <c r="A29" s="43"/>
      <c r="B29" s="32">
        <v>2019</v>
      </c>
      <c r="C29" s="92">
        <v>1229</v>
      </c>
      <c r="D29" s="92">
        <v>1515</v>
      </c>
      <c r="E29" s="92">
        <v>1738</v>
      </c>
      <c r="F29" s="92">
        <v>1874</v>
      </c>
      <c r="G29" s="32"/>
      <c r="H29" s="32"/>
      <c r="I29" s="92">
        <v>1977</v>
      </c>
      <c r="J29" s="1"/>
      <c r="K29" s="1"/>
      <c r="L29" s="1"/>
    </row>
    <row r="30" spans="1:12">
      <c r="A30" s="43"/>
      <c r="B30" s="32">
        <v>2020</v>
      </c>
      <c r="C30" s="92">
        <v>1236</v>
      </c>
      <c r="D30" s="92">
        <v>1554</v>
      </c>
      <c r="E30" s="92">
        <v>1753</v>
      </c>
      <c r="F30" s="32"/>
      <c r="G30" s="32"/>
      <c r="H30" s="32"/>
      <c r="I30" s="92">
        <v>2023</v>
      </c>
      <c r="J30" s="1"/>
      <c r="K30" s="1"/>
      <c r="L30" s="1"/>
    </row>
    <row r="31" spans="1:12">
      <c r="A31" s="43"/>
      <c r="B31" s="32">
        <v>2021</v>
      </c>
      <c r="C31" s="92">
        <v>1278</v>
      </c>
      <c r="D31" s="92">
        <v>1576</v>
      </c>
      <c r="E31" s="32"/>
      <c r="F31" s="32"/>
      <c r="G31" s="32"/>
      <c r="H31" s="32"/>
      <c r="I31" s="92">
        <v>2053</v>
      </c>
      <c r="J31" s="1"/>
      <c r="K31" s="1"/>
      <c r="L31" s="1"/>
    </row>
    <row r="32" spans="1:12">
      <c r="A32" s="43"/>
      <c r="B32" s="32">
        <v>2022</v>
      </c>
      <c r="C32" s="92">
        <v>1273</v>
      </c>
      <c r="D32" s="32"/>
      <c r="E32" s="32"/>
      <c r="F32" s="32"/>
      <c r="G32" s="32"/>
      <c r="H32" s="32"/>
      <c r="I32" s="92">
        <v>2068</v>
      </c>
      <c r="J32" s="1"/>
      <c r="K32" s="1"/>
      <c r="L32" s="1"/>
    </row>
    <row r="33" spans="1:12">
      <c r="A33" s="43"/>
      <c r="B33" s="1"/>
      <c r="C33" s="1"/>
      <c r="D33" s="1"/>
      <c r="E33" s="1"/>
      <c r="F33" s="1"/>
      <c r="G33" s="1"/>
      <c r="H33" s="1"/>
      <c r="I33" s="1"/>
      <c r="J33" s="1"/>
      <c r="K33" s="1"/>
      <c r="L33" s="1"/>
    </row>
    <row r="34" spans="1:12">
      <c r="A34" s="43"/>
      <c r="B34" s="164" t="s">
        <v>53</v>
      </c>
      <c r="C34" s="841" t="s">
        <v>551</v>
      </c>
      <c r="D34" s="841"/>
      <c r="E34" s="841"/>
      <c r="F34" s="841"/>
      <c r="G34" s="841"/>
      <c r="H34" s="841"/>
      <c r="I34" s="192" t="s">
        <v>276</v>
      </c>
      <c r="J34" s="1"/>
      <c r="K34" s="1"/>
      <c r="L34" s="1"/>
    </row>
    <row r="35" spans="1:12">
      <c r="A35" s="43"/>
      <c r="B35" s="165" t="s">
        <v>55</v>
      </c>
      <c r="C35" s="27">
        <v>12</v>
      </c>
      <c r="D35" s="27">
        <v>24</v>
      </c>
      <c r="E35" s="27">
        <v>36</v>
      </c>
      <c r="F35" s="27">
        <v>48</v>
      </c>
      <c r="G35" s="27">
        <v>60</v>
      </c>
      <c r="H35" s="27">
        <v>72</v>
      </c>
      <c r="I35" s="194" t="s">
        <v>304</v>
      </c>
      <c r="J35" s="1"/>
      <c r="K35" s="1"/>
      <c r="L35" s="1"/>
    </row>
    <row r="36" spans="1:12">
      <c r="A36" s="43"/>
      <c r="B36" s="32">
        <v>2017</v>
      </c>
      <c r="C36" s="92">
        <v>616</v>
      </c>
      <c r="D36" s="92">
        <v>1070</v>
      </c>
      <c r="E36" s="92">
        <v>1401</v>
      </c>
      <c r="F36" s="92">
        <v>1715</v>
      </c>
      <c r="G36" s="92">
        <v>1910</v>
      </c>
      <c r="H36" s="92">
        <v>1935</v>
      </c>
      <c r="I36" s="92">
        <v>1960</v>
      </c>
      <c r="J36" s="1"/>
      <c r="K36" s="1"/>
      <c r="L36" s="1"/>
    </row>
    <row r="37" spans="1:12">
      <c r="A37" s="43"/>
      <c r="B37" s="32">
        <v>2018</v>
      </c>
      <c r="C37" s="92">
        <v>614</v>
      </c>
      <c r="D37" s="92">
        <v>1096</v>
      </c>
      <c r="E37" s="92">
        <v>1427</v>
      </c>
      <c r="F37" s="92">
        <v>1729</v>
      </c>
      <c r="G37" s="92">
        <v>1941</v>
      </c>
      <c r="H37" s="32"/>
      <c r="I37" s="92">
        <v>1992</v>
      </c>
      <c r="J37" s="1"/>
      <c r="K37" s="1"/>
      <c r="L37" s="1"/>
    </row>
    <row r="38" spans="1:12">
      <c r="A38" s="43"/>
      <c r="B38" s="32">
        <v>2019</v>
      </c>
      <c r="C38" s="92">
        <v>623</v>
      </c>
      <c r="D38" s="92">
        <v>1086</v>
      </c>
      <c r="E38" s="92">
        <v>1463</v>
      </c>
      <c r="F38" s="92">
        <v>1874</v>
      </c>
      <c r="G38" s="32"/>
      <c r="H38" s="32"/>
      <c r="I38" s="92">
        <v>2151</v>
      </c>
      <c r="J38" s="1"/>
      <c r="K38" s="1"/>
      <c r="L38" s="1"/>
    </row>
    <row r="39" spans="1:12">
      <c r="A39" s="1"/>
      <c r="B39" s="32">
        <v>2020</v>
      </c>
      <c r="C39" s="92">
        <v>627</v>
      </c>
      <c r="D39" s="92">
        <v>1117</v>
      </c>
      <c r="E39" s="92">
        <v>1566</v>
      </c>
      <c r="F39" s="32"/>
      <c r="G39" s="32"/>
      <c r="H39" s="32"/>
      <c r="I39" s="92">
        <v>2227</v>
      </c>
      <c r="J39" s="1"/>
      <c r="K39" s="1"/>
      <c r="L39" s="1"/>
    </row>
    <row r="40" spans="1:12">
      <c r="A40" s="1"/>
      <c r="B40" s="32">
        <v>2021</v>
      </c>
      <c r="C40" s="92">
        <v>648</v>
      </c>
      <c r="D40" s="92">
        <v>1211</v>
      </c>
      <c r="E40" s="32"/>
      <c r="F40" s="32"/>
      <c r="G40" s="32"/>
      <c r="H40" s="32"/>
      <c r="I40" s="92">
        <v>2307</v>
      </c>
      <c r="J40" s="1"/>
      <c r="K40" s="1"/>
      <c r="L40" s="1"/>
    </row>
    <row r="41" spans="1:12">
      <c r="A41" s="43"/>
      <c r="B41" s="32">
        <v>2022</v>
      </c>
      <c r="C41" s="92">
        <v>696</v>
      </c>
      <c r="D41" s="32"/>
      <c r="E41" s="32"/>
      <c r="F41" s="32"/>
      <c r="G41" s="32"/>
      <c r="H41" s="32"/>
      <c r="I41" s="92">
        <v>2365</v>
      </c>
      <c r="J41" s="1"/>
      <c r="K41" s="1"/>
      <c r="L41" s="1"/>
    </row>
    <row r="42" spans="1:12">
      <c r="A42" s="1"/>
      <c r="B42" s="1"/>
      <c r="C42" s="1"/>
      <c r="D42" s="1"/>
      <c r="E42" s="1"/>
      <c r="F42" s="1"/>
      <c r="G42" s="1"/>
      <c r="H42" s="1"/>
      <c r="I42" s="1"/>
      <c r="J42" s="1"/>
      <c r="K42" s="1"/>
      <c r="L42" s="1"/>
    </row>
    <row r="43" spans="1:12">
      <c r="A43" s="1"/>
      <c r="B43" s="1" t="s">
        <v>1890</v>
      </c>
      <c r="C43" s="1"/>
      <c r="D43" s="1"/>
      <c r="E43" s="1"/>
      <c r="F43" s="485">
        <v>6.2E-2</v>
      </c>
      <c r="G43" s="1"/>
      <c r="H43" s="1"/>
      <c r="I43" s="1"/>
      <c r="J43" s="1"/>
      <c r="K43" s="1"/>
      <c r="L43" s="1"/>
    </row>
    <row r="44" spans="1:12">
      <c r="A44" s="1"/>
      <c r="B44" s="1"/>
      <c r="C44" s="1"/>
      <c r="D44" s="1"/>
      <c r="E44" s="1"/>
      <c r="F44" s="1"/>
      <c r="G44" s="1"/>
      <c r="H44" s="1"/>
      <c r="I44" s="1"/>
      <c r="J44" s="1"/>
      <c r="K44" s="1"/>
      <c r="L44" s="1"/>
    </row>
    <row r="45" spans="1:12">
      <c r="A45" s="831" t="s">
        <v>1891</v>
      </c>
      <c r="B45" s="831"/>
      <c r="C45" s="831"/>
      <c r="D45" s="831"/>
      <c r="E45" s="831"/>
      <c r="F45" s="831"/>
      <c r="G45" s="831"/>
      <c r="H45" s="831"/>
      <c r="I45" s="831"/>
      <c r="J45" s="831"/>
      <c r="K45" s="831"/>
      <c r="L45" s="1"/>
    </row>
    <row r="46" spans="1:12">
      <c r="A46" s="831"/>
      <c r="B46" s="831"/>
      <c r="C46" s="831"/>
      <c r="D46" s="831"/>
      <c r="E46" s="831"/>
      <c r="F46" s="831"/>
      <c r="G46" s="831"/>
      <c r="H46" s="831"/>
      <c r="I46" s="831"/>
      <c r="J46" s="831"/>
      <c r="K46" s="831"/>
      <c r="L46" s="1"/>
    </row>
    <row r="47" spans="1:12">
      <c r="A47" s="1"/>
      <c r="B47" s="1"/>
      <c r="C47" s="1"/>
      <c r="D47" s="1"/>
      <c r="E47" s="1"/>
      <c r="F47" s="1"/>
      <c r="G47" s="1"/>
      <c r="H47" s="1"/>
      <c r="I47" s="1"/>
      <c r="J47" s="1"/>
      <c r="K47" s="1"/>
      <c r="L47" s="1"/>
    </row>
    <row r="48" spans="1:12">
      <c r="A48" s="3"/>
      <c r="B48" s="3"/>
      <c r="C48" s="3"/>
      <c r="D48" s="3"/>
      <c r="E48" s="3"/>
      <c r="F48" s="3"/>
      <c r="G48" s="3"/>
      <c r="H48" s="3"/>
      <c r="I48" s="3"/>
      <c r="J48" s="3"/>
      <c r="K48" s="3"/>
      <c r="L48" s="3"/>
    </row>
    <row r="49" spans="1:18">
      <c r="A49" s="17" t="s">
        <v>91</v>
      </c>
      <c r="B49" s="1" t="s">
        <v>1892</v>
      </c>
      <c r="C49" s="1"/>
      <c r="D49" s="1"/>
      <c r="E49" s="1"/>
      <c r="F49" s="1"/>
      <c r="G49" s="1"/>
      <c r="H49" s="1"/>
      <c r="I49" s="1"/>
      <c r="J49" s="1"/>
      <c r="K49" s="1"/>
      <c r="L49" s="1"/>
      <c r="M49" s="9"/>
      <c r="N49" s="9"/>
      <c r="O49" s="9"/>
      <c r="P49" s="9"/>
      <c r="Q49" s="9"/>
      <c r="R49" s="9"/>
    </row>
    <row r="50" spans="1:18">
      <c r="A50" s="3"/>
      <c r="B50" s="3"/>
      <c r="C50" s="3"/>
      <c r="D50" s="3"/>
      <c r="E50" s="3"/>
      <c r="F50" s="3"/>
      <c r="G50" s="3"/>
      <c r="H50" s="3"/>
      <c r="I50" s="3"/>
      <c r="J50" s="3"/>
      <c r="K50" s="3"/>
      <c r="L50" s="3"/>
      <c r="M50" s="3"/>
    </row>
    <row r="51" spans="1:18">
      <c r="A51" s="3" t="s">
        <v>20</v>
      </c>
      <c r="B51" s="3"/>
      <c r="C51" s="3"/>
      <c r="D51" s="3"/>
      <c r="E51" s="3"/>
      <c r="F51" s="3"/>
      <c r="G51" s="3"/>
      <c r="H51" s="3"/>
      <c r="I51" s="3"/>
      <c r="J51" s="3"/>
      <c r="K51" s="3"/>
      <c r="L51" s="3"/>
      <c r="M51" s="3"/>
      <c r="N51" s="9"/>
    </row>
    <row r="52" spans="1:18">
      <c r="A52" s="3"/>
      <c r="B52" s="2" t="s">
        <v>1893</v>
      </c>
      <c r="I52" s="3"/>
      <c r="J52" s="3"/>
      <c r="K52" s="3"/>
      <c r="L52" s="3"/>
      <c r="M52" s="3"/>
      <c r="N52" s="9"/>
    </row>
    <row r="53" spans="1:18">
      <c r="A53" s="3"/>
      <c r="B53" s="94" t="s">
        <v>53</v>
      </c>
      <c r="C53" s="844" t="s">
        <v>1894</v>
      </c>
      <c r="D53" s="844"/>
      <c r="E53" s="844"/>
      <c r="F53" s="844"/>
      <c r="G53" s="844"/>
      <c r="H53" s="844"/>
      <c r="I53" s="3"/>
      <c r="J53" s="3"/>
      <c r="K53" s="3"/>
      <c r="L53" s="3"/>
      <c r="M53" s="3"/>
      <c r="N53" s="9"/>
    </row>
    <row r="54" spans="1:18">
      <c r="A54" s="3"/>
      <c r="B54" s="107" t="s">
        <v>55</v>
      </c>
      <c r="C54" s="107">
        <v>12</v>
      </c>
      <c r="D54" s="107">
        <f>C54+12</f>
        <v>24</v>
      </c>
      <c r="E54" s="107">
        <f t="shared" ref="E54:H54" si="0">D54+12</f>
        <v>36</v>
      </c>
      <c r="F54" s="107">
        <f t="shared" si="0"/>
        <v>48</v>
      </c>
      <c r="G54" s="107">
        <f t="shared" si="0"/>
        <v>60</v>
      </c>
      <c r="H54" s="107">
        <f t="shared" si="0"/>
        <v>72</v>
      </c>
      <c r="I54" s="3"/>
      <c r="J54" s="3"/>
      <c r="K54" s="3"/>
      <c r="L54" s="3"/>
      <c r="M54" s="3"/>
      <c r="N54" s="9"/>
    </row>
    <row r="55" spans="1:18">
      <c r="A55" s="3"/>
      <c r="B55" s="94">
        <f t="shared" ref="B55:B58" si="1">B56-1</f>
        <v>2017</v>
      </c>
      <c r="C55" s="106">
        <f t="shared" ref="C55:H55" si="2">IF((C27-C36)=0,0,(C9-C18)/(C27-C36))</f>
        <v>4400.8578856152517</v>
      </c>
      <c r="D55" s="106">
        <f t="shared" si="2"/>
        <v>5010.8373205741627</v>
      </c>
      <c r="E55" s="106">
        <f t="shared" si="2"/>
        <v>5618.0037174721192</v>
      </c>
      <c r="F55" s="106">
        <f t="shared" si="2"/>
        <v>6146.7185185185181</v>
      </c>
      <c r="G55" s="106">
        <f t="shared" si="2"/>
        <v>9947.181818181818</v>
      </c>
      <c r="H55" s="106">
        <f t="shared" si="2"/>
        <v>0</v>
      </c>
      <c r="I55" s="3"/>
      <c r="J55" s="3"/>
      <c r="K55" s="3"/>
      <c r="L55" s="3"/>
      <c r="M55" s="3"/>
      <c r="N55" s="9"/>
    </row>
    <row r="56" spans="1:18">
      <c r="A56" s="3"/>
      <c r="B56" s="94">
        <f t="shared" si="1"/>
        <v>2018</v>
      </c>
      <c r="C56" s="106">
        <f>IF((C28-C37)=0,0,(C10-C19)/(C28-C37))</f>
        <v>4771.0864406779665</v>
      </c>
      <c r="D56" s="106">
        <f>IF((D28-D37)=0,0,(D10-D19)/(D28-D37))</f>
        <v>5421.0374707259953</v>
      </c>
      <c r="E56" s="106">
        <f>IF((E28-E37)=0,0,(E10-E19)/(E28-E37))</f>
        <v>5922.850364963504</v>
      </c>
      <c r="F56" s="106">
        <f>IF((F28-F37)=0,0,(F10-F19)/(F28-F37))</f>
        <v>6477.2518518518518</v>
      </c>
      <c r="G56" s="106">
        <f>IF((G28-G37)=0,0,(G10-G19)/(G28-G37))</f>
        <v>0</v>
      </c>
      <c r="H56" s="106"/>
      <c r="I56" s="3"/>
      <c r="J56" s="3"/>
      <c r="K56" s="3"/>
      <c r="L56" s="3"/>
      <c r="M56" s="3"/>
      <c r="N56" s="9"/>
    </row>
    <row r="57" spans="1:18">
      <c r="A57" s="3"/>
      <c r="B57" s="94">
        <f t="shared" si="1"/>
        <v>2019</v>
      </c>
      <c r="C57" s="106">
        <f>IF((C29-C38)=0,0,(C11-C20)/(C29-C38))</f>
        <v>5040.8828382838283</v>
      </c>
      <c r="D57" s="106">
        <f>IF((D29-D38)=0,0,(D11-D20)/(D29-D38))</f>
        <v>5843.5291375291372</v>
      </c>
      <c r="E57" s="106">
        <f>IF((E29-E38)=0,0,(E11-E20)/(E29-E38))</f>
        <v>6451.7236363636366</v>
      </c>
      <c r="F57" s="106">
        <f>IF((F29-F38)=0,0,(F11-F20)/(F29-F38))</f>
        <v>0</v>
      </c>
      <c r="G57" s="106"/>
      <c r="H57" s="106"/>
      <c r="I57" s="3"/>
      <c r="J57" s="3"/>
      <c r="K57" s="3"/>
      <c r="L57" s="3"/>
      <c r="M57" s="3"/>
      <c r="N57" s="9"/>
    </row>
    <row r="58" spans="1:18">
      <c r="A58" s="3"/>
      <c r="B58" s="94">
        <f t="shared" si="1"/>
        <v>2020</v>
      </c>
      <c r="C58" s="106">
        <f>IF((C30-C39)=0,0,(C12-C21)/(C30-C39))</f>
        <v>5345.2200328407225</v>
      </c>
      <c r="D58" s="106">
        <f>IF((D30-D39)=0,0,(D12-D21)/(D30-D39))</f>
        <v>6082.7597254004577</v>
      </c>
      <c r="E58" s="106">
        <f>IF((E30-E39)=0,0,(E12-E21)/(E30-E39))</f>
        <v>7574.9946524064171</v>
      </c>
      <c r="F58" s="106"/>
      <c r="G58" s="106"/>
      <c r="H58" s="106"/>
      <c r="I58" s="3"/>
      <c r="J58" s="3"/>
      <c r="K58" s="3"/>
      <c r="L58" s="3"/>
      <c r="M58" s="3"/>
      <c r="N58" s="9"/>
    </row>
    <row r="59" spans="1:18">
      <c r="A59" s="3"/>
      <c r="B59" s="94">
        <f>B60-1</f>
        <v>2021</v>
      </c>
      <c r="C59" s="106">
        <f>IF((C31-C40)=0,0,(C13-C22)/(C31-C40))</f>
        <v>5635.6984126984125</v>
      </c>
      <c r="D59" s="106">
        <f>IF((D31-D40)=0,0,(D13-D22)/(D31-D40))</f>
        <v>7465.5178082191778</v>
      </c>
      <c r="E59" s="106"/>
      <c r="F59" s="106"/>
      <c r="G59" s="106"/>
      <c r="H59" s="106"/>
      <c r="I59" s="3"/>
      <c r="J59" s="3"/>
      <c r="K59" s="3"/>
      <c r="L59" s="3"/>
      <c r="M59" s="3"/>
      <c r="N59" s="9"/>
    </row>
    <row r="60" spans="1:18">
      <c r="A60" s="3"/>
      <c r="B60" s="94">
        <v>2022</v>
      </c>
      <c r="C60" s="106">
        <f>IF((C32-C41)=0,0,(C14-C23)/(C32-C41))</f>
        <v>6800.8492201039862</v>
      </c>
      <c r="D60" s="106"/>
      <c r="E60" s="106"/>
      <c r="F60" s="106"/>
      <c r="G60" s="106"/>
      <c r="H60" s="106"/>
      <c r="I60" s="3"/>
      <c r="J60" s="3"/>
      <c r="K60" s="3"/>
      <c r="L60" s="3"/>
      <c r="M60" s="3"/>
      <c r="N60" s="9"/>
    </row>
    <row r="61" spans="1:18">
      <c r="A61" s="3"/>
      <c r="B61" s="94"/>
      <c r="C61" s="106"/>
      <c r="D61" s="106"/>
      <c r="E61" s="106"/>
      <c r="F61" s="106"/>
      <c r="G61" s="106"/>
      <c r="H61" s="106"/>
      <c r="I61" s="3"/>
      <c r="J61" s="3"/>
      <c r="K61" s="3"/>
      <c r="L61" s="3"/>
      <c r="M61" s="3"/>
      <c r="N61" s="9"/>
    </row>
    <row r="62" spans="1:18">
      <c r="A62" s="3"/>
      <c r="B62" s="34" t="s">
        <v>53</v>
      </c>
      <c r="C62" s="816" t="s">
        <v>1893</v>
      </c>
      <c r="D62" s="816"/>
      <c r="E62" s="816"/>
      <c r="F62" s="816"/>
      <c r="G62" s="816"/>
      <c r="I62" s="3"/>
      <c r="J62" s="3"/>
      <c r="K62" s="3"/>
      <c r="L62" s="3"/>
      <c r="M62" s="3"/>
      <c r="N62" s="9"/>
    </row>
    <row r="63" spans="1:18">
      <c r="A63" s="3"/>
      <c r="B63" s="35" t="s">
        <v>55</v>
      </c>
      <c r="C63" s="107">
        <v>12</v>
      </c>
      <c r="D63" s="107">
        <f>C63+12</f>
        <v>24</v>
      </c>
      <c r="E63" s="107">
        <f t="shared" ref="E63:G63" si="3">D63+12</f>
        <v>36</v>
      </c>
      <c r="F63" s="107">
        <f t="shared" si="3"/>
        <v>48</v>
      </c>
      <c r="G63" s="107">
        <f t="shared" si="3"/>
        <v>60</v>
      </c>
      <c r="I63" s="3"/>
      <c r="J63" s="3"/>
      <c r="K63" s="3"/>
      <c r="L63" s="3"/>
      <c r="M63" s="3"/>
      <c r="N63" s="9"/>
    </row>
    <row r="64" spans="1:18">
      <c r="A64" s="3"/>
      <c r="B64" s="34" t="str">
        <f>B55&amp;"-"&amp;B56</f>
        <v>2017-2018</v>
      </c>
      <c r="C64" s="638">
        <f>C56/C55-1</f>
        <v>8.4126450952404674E-2</v>
      </c>
      <c r="D64" s="638">
        <f>D56/D55-1</f>
        <v>8.1862595791641013E-2</v>
      </c>
      <c r="E64" s="638">
        <f>E56/E55-1</f>
        <v>5.4262450297657194E-2</v>
      </c>
      <c r="F64" s="638">
        <f>F56/F55-1</f>
        <v>5.3773949846169122E-2</v>
      </c>
      <c r="G64" s="638" t="s">
        <v>1098</v>
      </c>
      <c r="I64" s="3"/>
      <c r="J64" s="3"/>
      <c r="K64" s="3"/>
      <c r="L64" s="3"/>
      <c r="M64" s="3"/>
      <c r="N64" s="9"/>
    </row>
    <row r="65" spans="1:14">
      <c r="A65" s="3"/>
      <c r="B65" s="34" t="str">
        <f>B56&amp;"-"&amp;B57</f>
        <v>2018-2019</v>
      </c>
      <c r="C65" s="638">
        <f t="shared" ref="C65:E66" si="4">C57/C56-1</f>
        <v>5.6548209922502313E-2</v>
      </c>
      <c r="D65" s="638">
        <f t="shared" si="4"/>
        <v>7.7935573971703365E-2</v>
      </c>
      <c r="E65" s="638">
        <f t="shared" si="4"/>
        <v>8.9293708064730248E-2</v>
      </c>
      <c r="F65" s="638" t="s">
        <v>1098</v>
      </c>
      <c r="G65" s="638"/>
      <c r="I65" s="3"/>
      <c r="J65" s="3"/>
      <c r="K65" s="3"/>
      <c r="L65" s="3"/>
      <c r="M65" s="3"/>
      <c r="N65" s="9"/>
    </row>
    <row r="66" spans="1:14">
      <c r="A66" s="3"/>
      <c r="B66" s="34" t="str">
        <f>B57&amp;"-"&amp;B58</f>
        <v>2019-2020</v>
      </c>
      <c r="C66" s="638">
        <f t="shared" si="4"/>
        <v>6.0373788544648255E-2</v>
      </c>
      <c r="D66" s="638">
        <f t="shared" si="4"/>
        <v>4.0939401899256378E-2</v>
      </c>
      <c r="E66" s="638">
        <f t="shared" si="4"/>
        <v>0.17410401922855545</v>
      </c>
      <c r="F66" s="638"/>
      <c r="G66" s="638"/>
      <c r="I66" s="3"/>
      <c r="J66" s="3"/>
      <c r="K66" s="3"/>
      <c r="L66" s="3"/>
      <c r="M66" s="3"/>
      <c r="N66" s="9"/>
    </row>
    <row r="67" spans="1:14">
      <c r="A67" s="3"/>
      <c r="B67" s="34" t="str">
        <f>B58&amp;"-"&amp;B59</f>
        <v>2020-2021</v>
      </c>
      <c r="C67" s="638">
        <f>C59/C58-1</f>
        <v>5.4343577640023844E-2</v>
      </c>
      <c r="D67" s="638">
        <f>D59/D58-1</f>
        <v>0.22732413332793389</v>
      </c>
      <c r="E67" s="638"/>
      <c r="F67" s="638"/>
      <c r="G67" s="638"/>
      <c r="I67" s="3"/>
      <c r="J67" s="3"/>
      <c r="K67" s="3"/>
      <c r="L67" s="3"/>
      <c r="M67" s="3"/>
      <c r="N67" s="9"/>
    </row>
    <row r="68" spans="1:14">
      <c r="A68" s="3"/>
      <c r="B68" s="34" t="str">
        <f>B59&amp;"-"&amp;B60</f>
        <v>2021-2022</v>
      </c>
      <c r="C68" s="638">
        <f>C60/C59-1</f>
        <v>0.20674470528448508</v>
      </c>
      <c r="D68" s="638"/>
      <c r="E68" s="638"/>
      <c r="F68" s="638"/>
      <c r="G68" s="638"/>
      <c r="I68" s="3"/>
      <c r="J68" s="3"/>
      <c r="K68" s="3"/>
      <c r="L68" s="3"/>
      <c r="M68" s="3"/>
      <c r="N68" s="9"/>
    </row>
    <row r="69" spans="1:14">
      <c r="A69" s="3"/>
      <c r="I69" s="3"/>
      <c r="J69" s="3"/>
      <c r="K69" s="3"/>
      <c r="L69" s="3"/>
      <c r="M69" s="3"/>
      <c r="N69" s="9"/>
    </row>
    <row r="70" spans="1:14">
      <c r="A70" s="3"/>
      <c r="B70" s="2" t="s">
        <v>1895</v>
      </c>
      <c r="I70" s="3"/>
      <c r="J70" s="3"/>
      <c r="K70" s="3"/>
      <c r="L70" s="3"/>
      <c r="M70" s="3"/>
      <c r="N70" s="9"/>
    </row>
    <row r="71" spans="1:14">
      <c r="A71" s="3"/>
      <c r="B71" s="94" t="s">
        <v>53</v>
      </c>
      <c r="C71" s="844" t="s">
        <v>489</v>
      </c>
      <c r="D71" s="844"/>
      <c r="E71" s="844"/>
      <c r="F71" s="844"/>
      <c r="G71" s="844"/>
      <c r="H71" s="844"/>
      <c r="I71" s="3"/>
      <c r="J71" s="3"/>
      <c r="K71" s="3"/>
      <c r="L71" s="3"/>
      <c r="M71" s="3"/>
      <c r="N71" s="9"/>
    </row>
    <row r="72" spans="1:14">
      <c r="A72" s="3"/>
      <c r="B72" s="107" t="s">
        <v>55</v>
      </c>
      <c r="C72" s="107">
        <v>12</v>
      </c>
      <c r="D72" s="107">
        <f>C72+12</f>
        <v>24</v>
      </c>
      <c r="E72" s="107">
        <f t="shared" ref="E72:H72" si="5">D72+12</f>
        <v>36</v>
      </c>
      <c r="F72" s="107">
        <f t="shared" si="5"/>
        <v>48</v>
      </c>
      <c r="G72" s="107">
        <f t="shared" si="5"/>
        <v>60</v>
      </c>
      <c r="H72" s="107">
        <f t="shared" si="5"/>
        <v>72</v>
      </c>
      <c r="I72" s="3"/>
      <c r="J72" s="3"/>
      <c r="K72" s="3"/>
      <c r="L72" s="3"/>
      <c r="M72" s="3"/>
      <c r="N72" s="9"/>
    </row>
    <row r="73" spans="1:14">
      <c r="A73" s="3"/>
      <c r="B73" s="94">
        <f t="shared" ref="B73:B76" si="6">B74-1</f>
        <v>2017</v>
      </c>
      <c r="C73" s="106">
        <f t="shared" ref="C73:H73" si="7">C9/C27</f>
        <v>3763.7208717518861</v>
      </c>
      <c r="D73" s="106">
        <f t="shared" si="7"/>
        <v>4447.8770161290322</v>
      </c>
      <c r="E73" s="106">
        <f t="shared" si="7"/>
        <v>4801.2119760479045</v>
      </c>
      <c r="F73" s="106">
        <f t="shared" si="7"/>
        <v>5094.2416216216216</v>
      </c>
      <c r="G73" s="106">
        <f t="shared" si="7"/>
        <v>5203.7116085372199</v>
      </c>
      <c r="H73" s="106">
        <f t="shared" si="7"/>
        <v>5230.8284237726102</v>
      </c>
      <c r="I73" s="3"/>
      <c r="J73" s="3"/>
      <c r="K73" s="3"/>
      <c r="L73" s="3"/>
      <c r="M73" s="3"/>
      <c r="N73" s="9"/>
    </row>
    <row r="74" spans="1:14">
      <c r="A74" s="3"/>
      <c r="B74" s="94">
        <f t="shared" si="6"/>
        <v>2018</v>
      </c>
      <c r="C74" s="106">
        <f>C10/C28</f>
        <v>4063.84219269103</v>
      </c>
      <c r="D74" s="106">
        <f>D10/D28</f>
        <v>4584.9658568614577</v>
      </c>
      <c r="E74" s="106">
        <f>E10/E28</f>
        <v>5073.6848912404466</v>
      </c>
      <c r="F74" s="106">
        <f>F10/F28</f>
        <v>5426.0992489270384</v>
      </c>
      <c r="G74" s="106">
        <f>G10/G28</f>
        <v>5497.8201957753736</v>
      </c>
      <c r="H74" s="106"/>
      <c r="I74" s="3"/>
      <c r="J74" s="3"/>
      <c r="K74" s="3"/>
      <c r="L74" s="3"/>
      <c r="M74" s="3"/>
      <c r="N74" s="9"/>
    </row>
    <row r="75" spans="1:14">
      <c r="A75" s="3"/>
      <c r="B75" s="94">
        <f t="shared" si="6"/>
        <v>2019</v>
      </c>
      <c r="C75" s="106">
        <f>C11/C29</f>
        <v>4162.7721724979656</v>
      </c>
      <c r="D75" s="106">
        <f>D11/D29</f>
        <v>4877.6052805280524</v>
      </c>
      <c r="E75" s="106">
        <f>E11/E29</f>
        <v>5332.5046029919449</v>
      </c>
      <c r="F75" s="106">
        <f>F11/F29</f>
        <v>5641.6510138740659</v>
      </c>
      <c r="G75" s="106"/>
      <c r="H75" s="106"/>
      <c r="I75" s="3"/>
      <c r="J75" s="3"/>
      <c r="K75" s="3"/>
      <c r="L75" s="3"/>
      <c r="M75" s="3"/>
      <c r="N75" s="9"/>
    </row>
    <row r="76" spans="1:14">
      <c r="A76" s="3"/>
      <c r="B76" s="94">
        <f t="shared" si="6"/>
        <v>2020</v>
      </c>
      <c r="C76" s="106">
        <f>C12/C30</f>
        <v>4601.294498381877</v>
      </c>
      <c r="D76" s="106">
        <f>D12/D30</f>
        <v>5152.4176319176322</v>
      </c>
      <c r="E76" s="106">
        <f>E12/E30</f>
        <v>5835.9652025099831</v>
      </c>
      <c r="F76" s="106"/>
      <c r="G76" s="106"/>
      <c r="H76" s="106"/>
      <c r="I76" s="3"/>
      <c r="J76" s="3"/>
      <c r="K76" s="3"/>
      <c r="L76" s="3"/>
      <c r="M76" s="3"/>
      <c r="N76" s="9"/>
    </row>
    <row r="77" spans="1:14">
      <c r="A77" s="3"/>
      <c r="B77" s="94">
        <f>B78-1</f>
        <v>2021</v>
      </c>
      <c r="C77" s="106">
        <f>C13/C31</f>
        <v>4911.7159624413143</v>
      </c>
      <c r="D77" s="106">
        <f>D13/D31</f>
        <v>5748.2461928934008</v>
      </c>
      <c r="E77" s="106"/>
      <c r="F77" s="106"/>
      <c r="G77" s="106"/>
      <c r="H77" s="106"/>
      <c r="I77" s="3"/>
      <c r="J77" s="3"/>
      <c r="K77" s="3"/>
      <c r="L77" s="3"/>
      <c r="M77" s="3"/>
      <c r="N77" s="9"/>
    </row>
    <row r="78" spans="1:14">
      <c r="A78" s="3"/>
      <c r="B78" s="94">
        <v>2022</v>
      </c>
      <c r="C78" s="106">
        <f>C14/C32</f>
        <v>5436.3668499607229</v>
      </c>
      <c r="D78" s="106"/>
      <c r="E78" s="106"/>
      <c r="F78" s="106"/>
      <c r="G78" s="106"/>
      <c r="H78" s="106"/>
      <c r="I78" s="3"/>
      <c r="J78" s="3"/>
      <c r="K78" s="3"/>
      <c r="L78" s="3"/>
      <c r="M78" s="3"/>
      <c r="N78" s="9"/>
    </row>
    <row r="79" spans="1:14">
      <c r="A79" s="3"/>
      <c r="B79" s="94"/>
      <c r="C79" s="106"/>
      <c r="D79" s="106"/>
      <c r="E79" s="106"/>
      <c r="F79" s="106"/>
      <c r="G79" s="106"/>
      <c r="H79" s="106"/>
      <c r="I79" s="3"/>
      <c r="J79" s="3"/>
      <c r="K79" s="3"/>
      <c r="L79" s="3"/>
      <c r="M79" s="3"/>
      <c r="N79" s="9"/>
    </row>
    <row r="80" spans="1:14">
      <c r="A80" s="3"/>
      <c r="B80" s="34" t="s">
        <v>53</v>
      </c>
      <c r="C80" s="816" t="s">
        <v>1896</v>
      </c>
      <c r="D80" s="816"/>
      <c r="E80" s="816"/>
      <c r="F80" s="816"/>
      <c r="G80" s="816"/>
      <c r="I80" s="3"/>
      <c r="J80" s="3"/>
      <c r="K80" s="3"/>
      <c r="L80" s="3"/>
      <c r="M80" s="3"/>
      <c r="N80" s="9"/>
    </row>
    <row r="81" spans="1:14">
      <c r="A81" s="3"/>
      <c r="B81" s="35" t="s">
        <v>55</v>
      </c>
      <c r="C81" s="107">
        <v>12</v>
      </c>
      <c r="D81" s="107">
        <f>C81+12</f>
        <v>24</v>
      </c>
      <c r="E81" s="107">
        <f t="shared" ref="E81:G81" si="8">D81+12</f>
        <v>36</v>
      </c>
      <c r="F81" s="107">
        <f t="shared" si="8"/>
        <v>48</v>
      </c>
      <c r="G81" s="107">
        <f t="shared" si="8"/>
        <v>60</v>
      </c>
      <c r="I81" s="3"/>
      <c r="J81" s="3"/>
      <c r="K81" s="3"/>
      <c r="L81" s="3"/>
      <c r="M81" s="3"/>
      <c r="N81" s="9"/>
    </row>
    <row r="82" spans="1:14">
      <c r="A82" s="3"/>
      <c r="B82" s="34" t="str">
        <f>B73&amp;"-"&amp;B74</f>
        <v>2017-2018</v>
      </c>
      <c r="C82" s="638">
        <f>C74/C73-1</f>
        <v>7.9740589476670509E-2</v>
      </c>
      <c r="D82" s="638">
        <f>D74/D73-1</f>
        <v>3.0821185081176816E-2</v>
      </c>
      <c r="E82" s="638">
        <f>E74/E73-1</f>
        <v>5.6750861355808535E-2</v>
      </c>
      <c r="F82" s="638">
        <f>F74/F73-1</f>
        <v>6.5143676322085842E-2</v>
      </c>
      <c r="G82" s="638">
        <f>G74/G73-1</f>
        <v>5.6519002082213499E-2</v>
      </c>
      <c r="I82" s="3"/>
      <c r="J82" s="3"/>
      <c r="K82" s="3"/>
      <c r="L82" s="3"/>
      <c r="M82" s="3"/>
      <c r="N82" s="9"/>
    </row>
    <row r="83" spans="1:14">
      <c r="A83" s="3"/>
      <c r="B83" s="34" t="str">
        <f>B74&amp;"-"&amp;B75</f>
        <v>2018-2019</v>
      </c>
      <c r="C83" s="638">
        <f>C75/C74-1</f>
        <v>2.4343952131031354E-2</v>
      </c>
      <c r="D83" s="638">
        <f>D75/D74-1</f>
        <v>6.3825867586048801E-2</v>
      </c>
      <c r="E83" s="638">
        <f>E75/E74-1</f>
        <v>5.1012177007354609E-2</v>
      </c>
      <c r="F83" s="638">
        <f>F75/F74-1</f>
        <v>3.9724994891984444E-2</v>
      </c>
      <c r="G83" s="638"/>
      <c r="I83" s="3"/>
      <c r="J83" s="3"/>
      <c r="K83" s="3"/>
      <c r="L83" s="3"/>
      <c r="M83" s="3"/>
      <c r="N83" s="9"/>
    </row>
    <row r="84" spans="1:14">
      <c r="A84" s="3"/>
      <c r="B84" s="34" t="str">
        <f>B75&amp;"-"&amp;B76</f>
        <v>2019-2020</v>
      </c>
      <c r="C84" s="638">
        <f>C76/C75-1</f>
        <v>0.10534382082715954</v>
      </c>
      <c r="D84" s="638">
        <f>D76/D75-1</f>
        <v>5.6341654476769865E-2</v>
      </c>
      <c r="E84" s="638">
        <f>E76/E75-1</f>
        <v>9.4413533039532371E-2</v>
      </c>
      <c r="F84" s="638"/>
      <c r="G84" s="638"/>
      <c r="I84" s="3"/>
      <c r="J84" s="3"/>
      <c r="K84" s="3"/>
      <c r="L84" s="3"/>
      <c r="M84" s="3"/>
      <c r="N84" s="9"/>
    </row>
    <row r="85" spans="1:14">
      <c r="A85" s="3"/>
      <c r="B85" s="34" t="str">
        <f>B76&amp;"-"&amp;B77</f>
        <v>2020-2021</v>
      </c>
      <c r="C85" s="638">
        <f>C77/C76-1</f>
        <v>6.7463941759998702E-2</v>
      </c>
      <c r="D85" s="638">
        <f>D77/D76-1</f>
        <v>0.1156405795378066</v>
      </c>
      <c r="E85" s="638"/>
      <c r="F85" s="638"/>
      <c r="G85" s="638"/>
      <c r="I85" s="3"/>
      <c r="J85" s="3"/>
      <c r="K85" s="3"/>
      <c r="L85" s="3"/>
      <c r="M85" s="3"/>
      <c r="N85" s="9"/>
    </row>
    <row r="86" spans="1:14">
      <c r="A86" s="3"/>
      <c r="B86" s="34" t="str">
        <f>B77&amp;"-"&amp;B78</f>
        <v>2021-2022</v>
      </c>
      <c r="C86" s="296">
        <f>C78/C77-1</f>
        <v>0.10681621077669901</v>
      </c>
      <c r="D86" s="296"/>
      <c r="E86" s="296"/>
      <c r="F86" s="296"/>
      <c r="G86" s="296"/>
      <c r="I86" s="3"/>
      <c r="J86" s="3"/>
      <c r="K86" s="3"/>
      <c r="L86" s="3"/>
      <c r="M86" s="3"/>
      <c r="N86" s="9"/>
    </row>
    <row r="87" spans="1:14">
      <c r="A87" s="3"/>
      <c r="B87" s="34"/>
      <c r="C87" s="296"/>
      <c r="D87" s="296"/>
      <c r="E87" s="296"/>
      <c r="F87" s="296"/>
      <c r="G87" s="296"/>
      <c r="I87" s="3"/>
      <c r="J87" s="3"/>
      <c r="K87" s="3"/>
      <c r="L87" s="3"/>
      <c r="M87" s="3"/>
      <c r="N87" s="9"/>
    </row>
    <row r="88" spans="1:14">
      <c r="A88" s="3"/>
      <c r="B88" s="3" t="s">
        <v>1897</v>
      </c>
      <c r="C88" s="94"/>
      <c r="D88" s="106"/>
      <c r="E88" s="106"/>
      <c r="F88" s="106"/>
      <c r="G88" s="106"/>
      <c r="H88" s="106"/>
      <c r="I88" s="3"/>
      <c r="J88" s="3"/>
      <c r="K88" s="3"/>
      <c r="L88" s="3"/>
      <c r="M88" s="3"/>
      <c r="N88" s="9"/>
    </row>
    <row r="89" spans="1:14">
      <c r="M89" s="9"/>
      <c r="N89" s="9"/>
    </row>
    <row r="90" spans="1:14">
      <c r="A90" s="14"/>
      <c r="B90" s="14"/>
      <c r="C90" s="14"/>
      <c r="D90" s="14"/>
      <c r="E90" s="14"/>
      <c r="F90" s="14"/>
      <c r="G90" s="1"/>
      <c r="H90" s="1"/>
      <c r="I90" s="1"/>
      <c r="J90" s="1"/>
      <c r="K90" s="1"/>
      <c r="L90" s="1"/>
      <c r="M90" s="9"/>
      <c r="N90" s="9"/>
    </row>
    <row r="91" spans="1:14">
      <c r="A91" s="831" t="s">
        <v>1898</v>
      </c>
      <c r="B91" s="831"/>
      <c r="C91" s="831"/>
      <c r="D91" s="831"/>
      <c r="E91" s="831"/>
      <c r="F91" s="831"/>
      <c r="G91" s="831"/>
      <c r="H91" s="831"/>
      <c r="I91" s="831"/>
      <c r="J91" s="831"/>
      <c r="K91" s="831"/>
      <c r="L91" s="1"/>
      <c r="M91" s="9"/>
      <c r="N91" s="9"/>
    </row>
    <row r="92" spans="1:14">
      <c r="A92" s="831"/>
      <c r="B92" s="831"/>
      <c r="C92" s="831"/>
      <c r="D92" s="831"/>
      <c r="E92" s="831"/>
      <c r="F92" s="831"/>
      <c r="G92" s="831"/>
      <c r="H92" s="831"/>
      <c r="I92" s="831"/>
      <c r="J92" s="831"/>
      <c r="K92" s="831"/>
      <c r="L92" s="1"/>
      <c r="M92" s="9"/>
      <c r="N92" s="9"/>
    </row>
    <row r="93" spans="1:14">
      <c r="A93" s="14"/>
      <c r="B93" s="14"/>
      <c r="C93" s="14"/>
      <c r="D93" s="14"/>
      <c r="E93" s="14"/>
      <c r="F93" s="14"/>
      <c r="G93" s="1"/>
      <c r="H93" s="1"/>
      <c r="I93" s="1"/>
      <c r="J93" s="1"/>
      <c r="K93" s="1"/>
      <c r="L93" s="1"/>
      <c r="M93" s="9"/>
      <c r="N93" s="9"/>
    </row>
    <row r="95" spans="1:14">
      <c r="A95" s="17" t="s">
        <v>133</v>
      </c>
      <c r="B95" s="1" t="s">
        <v>1899</v>
      </c>
      <c r="C95" s="1"/>
      <c r="D95" s="1"/>
      <c r="E95" s="1"/>
      <c r="F95" s="1"/>
      <c r="G95" s="1"/>
      <c r="H95" s="1"/>
      <c r="I95" s="1"/>
      <c r="J95" s="1"/>
      <c r="K95" s="1"/>
      <c r="L95" s="1"/>
    </row>
    <row r="96" spans="1:14">
      <c r="A96" s="14"/>
      <c r="B96" s="14"/>
      <c r="C96" s="14"/>
      <c r="D96" s="14"/>
      <c r="E96" s="14"/>
      <c r="F96" s="14"/>
      <c r="G96" s="1"/>
      <c r="H96" s="1"/>
      <c r="I96" s="1"/>
      <c r="J96" s="1"/>
      <c r="K96" s="1"/>
      <c r="L96" s="1"/>
    </row>
    <row r="97" spans="1:12">
      <c r="A97" s="3"/>
      <c r="B97" s="3"/>
      <c r="C97" s="3"/>
      <c r="D97" s="3"/>
      <c r="E97" s="3"/>
      <c r="F97" s="3"/>
      <c r="G97" s="3"/>
      <c r="H97" s="3"/>
      <c r="I97" s="3"/>
      <c r="J97" s="3"/>
      <c r="K97" s="3"/>
      <c r="L97" s="3"/>
    </row>
    <row r="98" spans="1:12">
      <c r="A98" s="3" t="s">
        <v>20</v>
      </c>
      <c r="B98" s="3"/>
      <c r="C98" s="3"/>
      <c r="D98" s="3"/>
      <c r="E98" s="3"/>
      <c r="F98" s="3"/>
      <c r="G98" s="3"/>
      <c r="H98" s="3"/>
      <c r="I98" s="3"/>
      <c r="J98" s="3"/>
      <c r="K98" s="3"/>
      <c r="L98" s="3"/>
    </row>
    <row r="99" spans="1:12">
      <c r="A99" s="3"/>
      <c r="B99" s="3" t="s">
        <v>1900</v>
      </c>
      <c r="C99" s="3"/>
      <c r="D99" s="3"/>
      <c r="E99" s="3"/>
      <c r="F99" s="3"/>
      <c r="G99" s="3"/>
      <c r="H99" s="3"/>
      <c r="I99" s="3"/>
      <c r="J99" s="3"/>
      <c r="K99" s="3"/>
      <c r="L99" s="3"/>
    </row>
    <row r="101" spans="1:12">
      <c r="A101" s="14"/>
      <c r="B101" s="14"/>
      <c r="C101" s="14"/>
      <c r="D101" s="14"/>
      <c r="E101" s="14"/>
      <c r="F101" s="14"/>
      <c r="G101" s="1"/>
      <c r="H101" s="1"/>
      <c r="I101" s="1"/>
      <c r="J101" s="1"/>
      <c r="K101" s="1"/>
      <c r="L101" s="1"/>
    </row>
    <row r="102" spans="1:12">
      <c r="A102" s="1" t="s">
        <v>1901</v>
      </c>
      <c r="B102" s="14"/>
      <c r="C102" s="14"/>
      <c r="D102" s="14"/>
      <c r="E102" s="14"/>
      <c r="F102" s="14"/>
      <c r="G102" s="1"/>
      <c r="H102" s="1"/>
      <c r="I102" s="1"/>
      <c r="J102" s="1"/>
      <c r="K102" s="1"/>
      <c r="L102" s="1"/>
    </row>
    <row r="103" spans="1:12">
      <c r="A103" s="14"/>
      <c r="B103" s="14"/>
      <c r="C103" s="14"/>
      <c r="D103" s="14"/>
      <c r="E103" s="14"/>
      <c r="F103" s="14"/>
      <c r="G103" s="1"/>
      <c r="H103" s="1"/>
      <c r="I103" s="1"/>
      <c r="J103" s="1"/>
      <c r="K103" s="1"/>
      <c r="L103" s="1"/>
    </row>
    <row r="105" spans="1:12">
      <c r="A105" s="17" t="s">
        <v>18</v>
      </c>
      <c r="B105" s="831" t="s">
        <v>1902</v>
      </c>
      <c r="C105" s="831"/>
      <c r="D105" s="831"/>
      <c r="E105" s="831"/>
      <c r="F105" s="831"/>
      <c r="G105" s="831"/>
      <c r="H105" s="831"/>
      <c r="I105" s="831"/>
      <c r="J105" s="831"/>
      <c r="K105" s="831"/>
      <c r="L105" s="831"/>
    </row>
    <row r="106" spans="1:12">
      <c r="A106" s="14"/>
      <c r="B106" s="831"/>
      <c r="C106" s="831"/>
      <c r="D106" s="831"/>
      <c r="E106" s="831"/>
      <c r="F106" s="831"/>
      <c r="G106" s="831"/>
      <c r="H106" s="831"/>
      <c r="I106" s="831"/>
      <c r="J106" s="831"/>
      <c r="K106" s="831"/>
      <c r="L106" s="831"/>
    </row>
    <row r="107" spans="1:12">
      <c r="A107" s="3"/>
      <c r="B107" s="3"/>
      <c r="C107" s="3"/>
      <c r="D107" s="3"/>
      <c r="E107" s="3"/>
      <c r="F107" s="3"/>
      <c r="G107" s="3"/>
      <c r="H107" s="3"/>
      <c r="I107" s="3"/>
      <c r="J107" s="3"/>
      <c r="K107" s="3"/>
      <c r="L107" s="3"/>
    </row>
    <row r="108" spans="1:12">
      <c r="A108" s="3" t="s">
        <v>20</v>
      </c>
      <c r="B108" s="3"/>
      <c r="C108" s="3"/>
      <c r="D108" s="3"/>
      <c r="E108" s="3"/>
      <c r="F108" s="3"/>
      <c r="G108" s="3"/>
      <c r="H108" s="3"/>
      <c r="I108" s="3"/>
      <c r="J108" s="3"/>
      <c r="K108" s="3"/>
      <c r="L108" s="3"/>
    </row>
    <row r="109" spans="1:12">
      <c r="A109" s="3"/>
      <c r="B109" s="3" t="s">
        <v>1903</v>
      </c>
      <c r="C109" s="3"/>
      <c r="D109" s="3"/>
      <c r="E109" s="3"/>
      <c r="F109" s="3"/>
      <c r="G109" s="3"/>
      <c r="H109" s="3"/>
      <c r="I109" s="3"/>
      <c r="J109" s="3"/>
      <c r="K109" s="3"/>
      <c r="L109" s="3"/>
    </row>
    <row r="111" spans="1:12">
      <c r="A111" s="17" t="s">
        <v>25</v>
      </c>
      <c r="B111" s="831" t="s">
        <v>1904</v>
      </c>
      <c r="C111" s="831"/>
      <c r="D111" s="831"/>
      <c r="E111" s="831"/>
      <c r="F111" s="831"/>
      <c r="G111" s="831"/>
      <c r="H111" s="831"/>
      <c r="I111" s="831"/>
      <c r="J111" s="831"/>
      <c r="K111" s="831"/>
      <c r="L111" s="831"/>
    </row>
    <row r="112" spans="1:12">
      <c r="A112" s="14"/>
      <c r="B112" s="831"/>
      <c r="C112" s="831"/>
      <c r="D112" s="831"/>
      <c r="E112" s="831"/>
      <c r="F112" s="831"/>
      <c r="G112" s="831"/>
      <c r="H112" s="831"/>
      <c r="I112" s="831"/>
      <c r="J112" s="831"/>
      <c r="K112" s="831"/>
      <c r="L112" s="831"/>
    </row>
    <row r="113" spans="1:13">
      <c r="A113" s="3"/>
      <c r="B113" s="3"/>
      <c r="C113" s="3"/>
      <c r="D113" s="3"/>
      <c r="E113" s="3"/>
      <c r="F113" s="3"/>
      <c r="G113" s="3"/>
      <c r="H113" s="3"/>
      <c r="I113" s="3"/>
      <c r="J113" s="3"/>
      <c r="K113" s="3"/>
      <c r="L113" s="3"/>
    </row>
    <row r="114" spans="1:13">
      <c r="A114" s="3" t="s">
        <v>20</v>
      </c>
      <c r="B114" s="3"/>
      <c r="C114" s="3"/>
      <c r="D114" s="3"/>
      <c r="E114" s="3"/>
      <c r="F114" s="3"/>
      <c r="G114" s="3"/>
      <c r="H114" s="3"/>
      <c r="I114" s="3"/>
      <c r="J114" s="3"/>
      <c r="K114" s="3"/>
      <c r="L114" s="3"/>
    </row>
    <row r="115" spans="1:13">
      <c r="B115" s="2" t="s">
        <v>1905</v>
      </c>
    </row>
    <row r="116" spans="1:13">
      <c r="B116" s="94" t="s">
        <v>53</v>
      </c>
      <c r="C116" s="844" t="s">
        <v>1906</v>
      </c>
      <c r="D116" s="844"/>
      <c r="E116" s="844"/>
      <c r="F116" s="844"/>
      <c r="G116" s="844"/>
      <c r="H116" s="844"/>
    </row>
    <row r="117" spans="1:13">
      <c r="B117" s="107" t="s">
        <v>55</v>
      </c>
      <c r="C117" s="107">
        <v>12</v>
      </c>
      <c r="D117" s="107">
        <f>C117+12</f>
        <v>24</v>
      </c>
      <c r="E117" s="107">
        <f t="shared" ref="E117:H117" si="9">D117+12</f>
        <v>36</v>
      </c>
      <c r="F117" s="107">
        <f t="shared" si="9"/>
        <v>48</v>
      </c>
      <c r="G117" s="107">
        <f t="shared" si="9"/>
        <v>60</v>
      </c>
      <c r="H117" s="107">
        <f t="shared" si="9"/>
        <v>72</v>
      </c>
      <c r="M117" s="3"/>
    </row>
    <row r="118" spans="1:13">
      <c r="B118" s="94">
        <f t="shared" ref="B118:B121" si="10">B119-1</f>
        <v>2017</v>
      </c>
      <c r="C118" s="311">
        <f t="shared" ref="C118:H118" si="11">C36/C27</f>
        <v>0.51634534786253139</v>
      </c>
      <c r="D118" s="311">
        <f t="shared" si="11"/>
        <v>0.71908602150537637</v>
      </c>
      <c r="E118" s="311">
        <f t="shared" si="11"/>
        <v>0.83892215568862272</v>
      </c>
      <c r="F118" s="311">
        <f t="shared" si="11"/>
        <v>0.927027027027027</v>
      </c>
      <c r="G118" s="311">
        <f t="shared" si="11"/>
        <v>0.99427381572097862</v>
      </c>
      <c r="H118" s="311">
        <f t="shared" si="11"/>
        <v>1</v>
      </c>
      <c r="M118" s="3"/>
    </row>
    <row r="119" spans="1:13">
      <c r="B119" s="94">
        <f t="shared" si="10"/>
        <v>2018</v>
      </c>
      <c r="C119" s="311">
        <f>C37/C28</f>
        <v>0.50996677740863783</v>
      </c>
      <c r="D119" s="311">
        <f>D37/D28</f>
        <v>0.71963230466185157</v>
      </c>
      <c r="E119" s="311">
        <f>E37/E28</f>
        <v>0.83891828336272778</v>
      </c>
      <c r="F119" s="311">
        <f>F37/F28</f>
        <v>0.92757510729613735</v>
      </c>
      <c r="G119" s="311">
        <f>G37/G28</f>
        <v>1</v>
      </c>
      <c r="H119" s="311"/>
    </row>
    <row r="120" spans="1:13">
      <c r="B120" s="94">
        <f t="shared" si="10"/>
        <v>2019</v>
      </c>
      <c r="C120" s="311">
        <f>C38/C29</f>
        <v>0.50691619202603744</v>
      </c>
      <c r="D120" s="311">
        <f>D38/D29</f>
        <v>0.7168316831683168</v>
      </c>
      <c r="E120" s="311">
        <f>E38/E29</f>
        <v>0.84177215189873422</v>
      </c>
      <c r="F120" s="311">
        <f>F38/F29</f>
        <v>1</v>
      </c>
      <c r="G120" s="311"/>
      <c r="H120" s="311"/>
    </row>
    <row r="121" spans="1:13">
      <c r="B121" s="94">
        <f t="shared" si="10"/>
        <v>2020</v>
      </c>
      <c r="C121" s="311">
        <f>C39/C30</f>
        <v>0.50728155339805825</v>
      </c>
      <c r="D121" s="311">
        <f>D39/D30</f>
        <v>0.71879021879021876</v>
      </c>
      <c r="E121" s="311">
        <f>E39/E30</f>
        <v>0.89332572732458637</v>
      </c>
      <c r="F121" s="311"/>
      <c r="G121" s="311"/>
      <c r="H121" s="311"/>
    </row>
    <row r="122" spans="1:13">
      <c r="B122" s="94">
        <f>B123-1</f>
        <v>2021</v>
      </c>
      <c r="C122" s="311">
        <f>C40/C31</f>
        <v>0.50704225352112675</v>
      </c>
      <c r="D122" s="311">
        <f>D40/D31</f>
        <v>0.76840101522842641</v>
      </c>
      <c r="E122" s="311"/>
      <c r="F122" s="311"/>
      <c r="G122" s="311"/>
      <c r="H122" s="311"/>
    </row>
    <row r="123" spans="1:13">
      <c r="B123" s="94">
        <v>2022</v>
      </c>
      <c r="C123" s="311">
        <f>C41/C32</f>
        <v>0.54673998428908088</v>
      </c>
      <c r="D123" s="311"/>
      <c r="E123" s="311"/>
      <c r="F123" s="311"/>
      <c r="G123" s="311"/>
      <c r="H123" s="311"/>
    </row>
    <row r="125" spans="1:13">
      <c r="B125" s="34" t="s">
        <v>53</v>
      </c>
      <c r="C125" s="816" t="s">
        <v>1905</v>
      </c>
      <c r="D125" s="816"/>
      <c r="E125" s="816"/>
      <c r="F125" s="816"/>
      <c r="G125" s="816"/>
    </row>
    <row r="126" spans="1:13">
      <c r="B126" s="35" t="s">
        <v>55</v>
      </c>
      <c r="C126" s="107">
        <v>12</v>
      </c>
      <c r="D126" s="107">
        <f>C126+12</f>
        <v>24</v>
      </c>
      <c r="E126" s="107">
        <f t="shared" ref="E126:G126" si="12">D126+12</f>
        <v>36</v>
      </c>
      <c r="F126" s="107">
        <f t="shared" si="12"/>
        <v>48</v>
      </c>
      <c r="G126" s="107">
        <f t="shared" si="12"/>
        <v>60</v>
      </c>
    </row>
    <row r="127" spans="1:13">
      <c r="B127" s="34" t="str">
        <f>B118&amp;"-"&amp;B119</f>
        <v>2017-2018</v>
      </c>
      <c r="C127" s="638">
        <f>C119/C118-1</f>
        <v>-1.2353302843336023E-2</v>
      </c>
      <c r="D127" s="638">
        <f>D119/D118-1</f>
        <v>7.5969096900485589E-4</v>
      </c>
      <c r="E127" s="638">
        <f>E119/E118-1</f>
        <v>-4.6158345785585198E-6</v>
      </c>
      <c r="F127" s="638">
        <f>F119/F118-1</f>
        <v>5.9122361390917533E-4</v>
      </c>
      <c r="G127" s="638" t="s">
        <v>1098</v>
      </c>
    </row>
    <row r="128" spans="1:13">
      <c r="B128" s="34" t="str">
        <f>B119&amp;"-"&amp;B120</f>
        <v>2018-2019</v>
      </c>
      <c r="C128" s="638">
        <f t="shared" ref="C128:E129" si="13">C120/C119-1</f>
        <v>-5.9819296427539026E-3</v>
      </c>
      <c r="D128" s="638">
        <f t="shared" si="13"/>
        <v>-3.8917395389174159E-3</v>
      </c>
      <c r="E128" s="638">
        <f t="shared" si="13"/>
        <v>3.4018432934457277E-3</v>
      </c>
      <c r="F128" s="638" t="s">
        <v>1098</v>
      </c>
      <c r="G128" s="638"/>
    </row>
    <row r="129" spans="2:7">
      <c r="B129" s="34" t="str">
        <f>B120&amp;"-"&amp;B121</f>
        <v>2019-2020</v>
      </c>
      <c r="C129" s="638">
        <f t="shared" si="13"/>
        <v>7.2075301157870086E-4</v>
      </c>
      <c r="D129" s="638">
        <f t="shared" si="13"/>
        <v>2.7322112957472999E-3</v>
      </c>
      <c r="E129" s="638">
        <f t="shared" si="13"/>
        <v>6.1244097122440833E-2</v>
      </c>
      <c r="F129" s="638"/>
      <c r="G129" s="638"/>
    </row>
    <row r="130" spans="2:7">
      <c r="B130" s="34" t="str">
        <f>B121&amp;"-"&amp;B122</f>
        <v>2020-2021</v>
      </c>
      <c r="C130" s="638">
        <f>C122/C121-1</f>
        <v>-4.7172990093669043E-4</v>
      </c>
      <c r="D130" s="638">
        <f>D122/D121-1</f>
        <v>6.9019854668732838E-2</v>
      </c>
      <c r="E130" s="638"/>
      <c r="F130" s="638"/>
      <c r="G130" s="638"/>
    </row>
    <row r="131" spans="2:7">
      <c r="B131" s="34" t="str">
        <f>B122&amp;"-"&amp;B123</f>
        <v>2021-2022</v>
      </c>
      <c r="C131" s="638">
        <f>C123/C122-1</f>
        <v>7.8292746792353984E-2</v>
      </c>
      <c r="D131" s="638"/>
      <c r="E131" s="638"/>
      <c r="F131" s="638"/>
      <c r="G131" s="638"/>
    </row>
    <row r="133" spans="2:7">
      <c r="B133" s="2" t="s">
        <v>1907</v>
      </c>
    </row>
  </sheetData>
  <mergeCells count="15">
    <mergeCell ref="A45:K46"/>
    <mergeCell ref="A3:K4"/>
    <mergeCell ref="C7:H7"/>
    <mergeCell ref="C16:H16"/>
    <mergeCell ref="C25:H25"/>
    <mergeCell ref="C34:H34"/>
    <mergeCell ref="B111:L112"/>
    <mergeCell ref="C116:H116"/>
    <mergeCell ref="C125:G125"/>
    <mergeCell ref="C53:H53"/>
    <mergeCell ref="C62:G62"/>
    <mergeCell ref="C71:H71"/>
    <mergeCell ref="C80:G80"/>
    <mergeCell ref="A91:K92"/>
    <mergeCell ref="B105:L106"/>
  </mergeCells>
  <hyperlinks>
    <hyperlink ref="O1" location="TOC!A1" display="Table of Contents" xr:uid="{A9900FDA-1222-43FC-B73F-477E8737F04E}"/>
  </hyperlinks>
  <pageMargins left="0.7" right="0.7" top="0.75" bottom="0.75" header="0.3" footer="0.3"/>
  <pageSetup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90DB8-329C-453B-B578-10C79EC8735D}">
  <dimension ref="A1:R75"/>
  <sheetViews>
    <sheetView zoomScaleNormal="100" workbookViewId="0"/>
  </sheetViews>
  <sheetFormatPr defaultColWidth="8.88671875" defaultRowHeight="15.6"/>
  <cols>
    <col min="1" max="1" width="8.88671875" style="2" customWidth="1"/>
    <col min="2" max="2" width="13.6640625" style="2" customWidth="1"/>
    <col min="3" max="3" width="17.21875" style="2" customWidth="1"/>
    <col min="4" max="4" width="14.5546875" style="2" customWidth="1"/>
    <col min="5" max="5" width="16.6640625" style="2" customWidth="1"/>
    <col min="6" max="6" width="17.44140625" style="2" customWidth="1"/>
    <col min="7" max="7" width="15.88671875" style="2" customWidth="1"/>
    <col min="8" max="12" width="10.6640625" style="2" customWidth="1"/>
    <col min="13" max="16384" width="8.88671875" style="2"/>
  </cols>
  <sheetData>
    <row r="1" spans="1:15" ht="17.399999999999999">
      <c r="A1" s="13" t="s">
        <v>1955</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ht="15.6" customHeight="1">
      <c r="A3" s="1" t="s">
        <v>1927</v>
      </c>
      <c r="B3" s="1"/>
      <c r="C3" s="1"/>
      <c r="D3" s="1"/>
      <c r="E3" s="1"/>
      <c r="F3" s="1"/>
      <c r="G3" s="1"/>
      <c r="H3" s="1"/>
      <c r="I3" s="1"/>
      <c r="J3" s="1"/>
      <c r="K3" s="1"/>
      <c r="L3" s="14"/>
    </row>
    <row r="4" spans="1:15">
      <c r="A4" s="43"/>
      <c r="B4" s="1"/>
      <c r="C4" s="1"/>
      <c r="D4" s="1"/>
      <c r="E4" s="1"/>
      <c r="F4" s="1"/>
      <c r="G4" s="1"/>
      <c r="H4" s="1"/>
      <c r="I4" s="1"/>
      <c r="J4" s="1"/>
      <c r="K4" s="1"/>
      <c r="L4" s="1"/>
    </row>
    <row r="5" spans="1:15" ht="78">
      <c r="A5" s="43"/>
      <c r="B5" s="4" t="s">
        <v>49</v>
      </c>
      <c r="C5" s="4" t="s">
        <v>4</v>
      </c>
      <c r="D5" s="4" t="s">
        <v>1922</v>
      </c>
      <c r="E5" s="4" t="s">
        <v>1926</v>
      </c>
      <c r="F5" s="1"/>
      <c r="G5" s="1"/>
      <c r="H5" s="1"/>
      <c r="I5" s="1"/>
      <c r="J5" s="1"/>
      <c r="K5" s="1"/>
      <c r="L5" s="1"/>
    </row>
    <row r="6" spans="1:15">
      <c r="A6" s="43"/>
      <c r="B6" s="6">
        <v>2017</v>
      </c>
      <c r="C6" s="7">
        <v>11434</v>
      </c>
      <c r="D6" s="7">
        <v>1235</v>
      </c>
      <c r="E6" s="7">
        <v>4104</v>
      </c>
      <c r="F6" s="1"/>
      <c r="G6" s="1"/>
      <c r="H6" s="1"/>
      <c r="I6" s="1"/>
      <c r="J6" s="1"/>
      <c r="K6" s="1"/>
      <c r="L6" s="1"/>
    </row>
    <row r="7" spans="1:15">
      <c r="A7" s="43"/>
      <c r="B7" s="6">
        <v>2018</v>
      </c>
      <c r="C7" s="7">
        <v>11635</v>
      </c>
      <c r="D7" s="7">
        <v>1247</v>
      </c>
      <c r="E7" s="7">
        <v>4384</v>
      </c>
      <c r="F7" s="1"/>
      <c r="G7" s="1"/>
      <c r="H7" s="1"/>
      <c r="I7" s="1"/>
      <c r="J7" s="1"/>
      <c r="K7" s="1"/>
      <c r="L7" s="1"/>
    </row>
    <row r="8" spans="1:15">
      <c r="A8" s="1"/>
      <c r="B8" s="6">
        <v>2019</v>
      </c>
      <c r="C8" s="7">
        <v>11681</v>
      </c>
      <c r="D8" s="7">
        <v>1249</v>
      </c>
      <c r="E8" s="7">
        <v>4751</v>
      </c>
      <c r="F8" s="1"/>
      <c r="G8" s="1"/>
      <c r="H8" s="1"/>
      <c r="I8" s="1"/>
      <c r="J8" s="1"/>
      <c r="K8" s="1"/>
      <c r="L8" s="1"/>
    </row>
    <row r="9" spans="1:15">
      <c r="A9" s="1"/>
      <c r="B9" s="6">
        <v>2020</v>
      </c>
      <c r="C9" s="7">
        <v>11821</v>
      </c>
      <c r="D9" s="7">
        <v>1260</v>
      </c>
      <c r="E9" s="7">
        <v>5066</v>
      </c>
      <c r="F9" s="1"/>
      <c r="G9" s="1"/>
      <c r="H9" s="1"/>
      <c r="I9" s="1"/>
      <c r="J9" s="1"/>
      <c r="K9" s="1"/>
      <c r="L9" s="1"/>
    </row>
    <row r="10" spans="1:15">
      <c r="A10" s="43"/>
      <c r="B10" s="6">
        <v>2021</v>
      </c>
      <c r="C10" s="7">
        <v>12044</v>
      </c>
      <c r="D10" s="7">
        <v>1256</v>
      </c>
      <c r="E10" s="7">
        <v>5531</v>
      </c>
      <c r="F10" s="1"/>
      <c r="G10" s="1"/>
      <c r="H10" s="1"/>
      <c r="I10" s="1"/>
      <c r="J10" s="1"/>
      <c r="K10" s="1"/>
      <c r="L10" s="1"/>
    </row>
    <row r="11" spans="1:15">
      <c r="A11" s="1"/>
      <c r="B11" s="6">
        <v>2022</v>
      </c>
      <c r="C11" s="7">
        <v>12240</v>
      </c>
      <c r="D11" s="7">
        <v>1301</v>
      </c>
      <c r="E11" s="7">
        <v>5897</v>
      </c>
      <c r="F11" s="1"/>
      <c r="G11" s="1"/>
      <c r="H11" s="1"/>
      <c r="I11" s="1"/>
      <c r="J11" s="1"/>
      <c r="K11" s="1"/>
      <c r="L11" s="1"/>
    </row>
    <row r="12" spans="1:15">
      <c r="A12" s="1"/>
      <c r="B12" s="1"/>
      <c r="C12" s="1"/>
      <c r="D12" s="1"/>
      <c r="E12" s="1"/>
      <c r="F12" s="1"/>
      <c r="G12" s="1"/>
      <c r="H12" s="1"/>
      <c r="I12" s="1"/>
      <c r="J12" s="1"/>
      <c r="K12" s="1"/>
      <c r="L12" s="1"/>
    </row>
    <row r="13" spans="1:15">
      <c r="A13" s="1"/>
      <c r="B13" s="519" t="s">
        <v>1925</v>
      </c>
      <c r="C13" s="1"/>
      <c r="D13" s="1"/>
      <c r="E13" s="485">
        <v>7.4999999999999997E-2</v>
      </c>
      <c r="F13" s="1"/>
      <c r="G13" s="1"/>
      <c r="H13" s="1"/>
      <c r="I13" s="1"/>
      <c r="J13" s="1"/>
      <c r="K13" s="1"/>
      <c r="L13" s="1"/>
    </row>
    <row r="14" spans="1:15">
      <c r="A14" s="1"/>
      <c r="B14" s="519" t="s">
        <v>1924</v>
      </c>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91</v>
      </c>
      <c r="B17" s="1" t="s">
        <v>1923</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0" spans="1:18" ht="78">
      <c r="A20" s="3"/>
      <c r="B20" s="36" t="s">
        <v>49</v>
      </c>
      <c r="C20" s="36" t="s">
        <v>4</v>
      </c>
      <c r="D20" s="36" t="s">
        <v>1922</v>
      </c>
      <c r="E20" s="36" t="s">
        <v>515</v>
      </c>
      <c r="F20" s="36" t="s">
        <v>1352</v>
      </c>
      <c r="G20" s="3"/>
      <c r="H20" s="3"/>
      <c r="I20" s="3"/>
      <c r="J20" s="3"/>
      <c r="K20" s="3"/>
      <c r="L20" s="3"/>
      <c r="M20" s="3"/>
      <c r="N20" s="9"/>
    </row>
    <row r="21" spans="1:18">
      <c r="A21" s="3"/>
      <c r="B21" s="433">
        <f>B22-1</f>
        <v>2017</v>
      </c>
      <c r="C21" s="645">
        <f t="shared" ref="C21:D26" si="0">C6</f>
        <v>11434</v>
      </c>
      <c r="D21" s="645">
        <f t="shared" si="0"/>
        <v>1235</v>
      </c>
      <c r="E21" s="644">
        <f t="shared" ref="E21:E26" si="1">D21/C21</f>
        <v>0.1080111946825258</v>
      </c>
      <c r="G21" s="3"/>
      <c r="H21" s="3"/>
      <c r="I21" s="3"/>
      <c r="J21" s="3"/>
      <c r="K21" s="3"/>
      <c r="L21" s="3"/>
      <c r="M21" s="3"/>
      <c r="N21" s="9"/>
    </row>
    <row r="22" spans="1:18">
      <c r="A22" s="3"/>
      <c r="B22" s="433">
        <f>B23-1</f>
        <v>2018</v>
      </c>
      <c r="C22" s="645">
        <f t="shared" si="0"/>
        <v>11635</v>
      </c>
      <c r="D22" s="645">
        <f t="shared" si="0"/>
        <v>1247</v>
      </c>
      <c r="E22" s="644">
        <f t="shared" si="1"/>
        <v>0.10717662226042114</v>
      </c>
      <c r="F22" s="641">
        <f>E22/E21-1</f>
        <v>-7.726721517688051E-3</v>
      </c>
      <c r="G22" s="3"/>
      <c r="H22" s="3"/>
      <c r="I22" s="3"/>
      <c r="J22" s="3"/>
      <c r="K22" s="3"/>
      <c r="L22" s="3"/>
      <c r="M22" s="3"/>
      <c r="N22" s="9"/>
    </row>
    <row r="23" spans="1:18">
      <c r="A23" s="3"/>
      <c r="B23" s="433">
        <f>B24-1</f>
        <v>2019</v>
      </c>
      <c r="C23" s="645">
        <f t="shared" si="0"/>
        <v>11681</v>
      </c>
      <c r="D23" s="645">
        <f t="shared" si="0"/>
        <v>1249</v>
      </c>
      <c r="E23" s="644">
        <f t="shared" si="1"/>
        <v>0.10692577690266244</v>
      </c>
      <c r="F23" s="641">
        <f>E23/E22-1</f>
        <v>-2.3404857558319003E-3</v>
      </c>
      <c r="G23" s="3"/>
      <c r="H23" s="3"/>
      <c r="I23" s="3"/>
      <c r="J23" s="3"/>
      <c r="K23" s="3"/>
      <c r="L23" s="3"/>
      <c r="M23" s="3"/>
      <c r="N23" s="9"/>
    </row>
    <row r="24" spans="1:18">
      <c r="A24" s="3"/>
      <c r="B24" s="433">
        <f>B25-1</f>
        <v>2020</v>
      </c>
      <c r="C24" s="645">
        <f t="shared" si="0"/>
        <v>11821</v>
      </c>
      <c r="D24" s="645">
        <f t="shared" si="0"/>
        <v>1260</v>
      </c>
      <c r="E24" s="644">
        <f t="shared" si="1"/>
        <v>0.10658996700786735</v>
      </c>
      <c r="F24" s="641">
        <f>E24/E23-1</f>
        <v>-3.1405887759018425E-3</v>
      </c>
      <c r="G24" s="3"/>
      <c r="H24" s="3"/>
      <c r="I24" s="3"/>
      <c r="J24" s="3"/>
      <c r="K24" s="3"/>
      <c r="L24" s="3"/>
      <c r="M24" s="3"/>
      <c r="N24" s="9"/>
    </row>
    <row r="25" spans="1:18">
      <c r="A25" s="3"/>
      <c r="B25" s="433">
        <f>B26-1</f>
        <v>2021</v>
      </c>
      <c r="C25" s="645">
        <f t="shared" si="0"/>
        <v>12044</v>
      </c>
      <c r="D25" s="645">
        <f t="shared" si="0"/>
        <v>1256</v>
      </c>
      <c r="E25" s="644">
        <f t="shared" si="1"/>
        <v>0.10428429093324477</v>
      </c>
      <c r="F25" s="641">
        <f>E25/E24-1</f>
        <v>-2.1631267363582118E-2</v>
      </c>
      <c r="G25" s="3"/>
      <c r="H25" s="3"/>
      <c r="I25" s="3"/>
      <c r="J25" s="3"/>
      <c r="K25" s="3"/>
      <c r="L25" s="3"/>
      <c r="M25" s="3"/>
      <c r="N25" s="9"/>
    </row>
    <row r="26" spans="1:18">
      <c r="A26" s="3"/>
      <c r="B26" s="36">
        <f>$B$11</f>
        <v>2022</v>
      </c>
      <c r="C26" s="643">
        <f t="shared" si="0"/>
        <v>12240</v>
      </c>
      <c r="D26" s="643">
        <f t="shared" si="0"/>
        <v>1301</v>
      </c>
      <c r="E26" s="179">
        <f t="shared" si="1"/>
        <v>0.10629084967320261</v>
      </c>
      <c r="F26" s="642">
        <f>E26/E25-1</f>
        <v>1.9241236834436348E-2</v>
      </c>
      <c r="G26" s="3"/>
      <c r="H26" s="3"/>
      <c r="I26" s="3"/>
      <c r="J26" s="3"/>
      <c r="K26" s="3"/>
      <c r="L26" s="3"/>
      <c r="M26" s="3"/>
      <c r="N26" s="9"/>
    </row>
    <row r="27" spans="1:18">
      <c r="A27" s="3"/>
      <c r="E27" s="2" t="s">
        <v>336</v>
      </c>
      <c r="F27" s="641">
        <f>AVERAGE(F22:F26)</f>
        <v>-3.119565315713513E-3</v>
      </c>
      <c r="G27" s="3"/>
      <c r="H27" s="3"/>
      <c r="I27" s="3"/>
      <c r="J27" s="3"/>
      <c r="K27" s="3"/>
      <c r="L27" s="3"/>
      <c r="M27" s="3"/>
      <c r="N27" s="9"/>
    </row>
    <row r="28" spans="1:18">
      <c r="A28" s="3"/>
      <c r="F28" s="61"/>
      <c r="G28" s="3"/>
      <c r="H28" s="3"/>
      <c r="I28" s="3"/>
      <c r="J28" s="3"/>
      <c r="K28" s="3"/>
      <c r="L28" s="3"/>
      <c r="M28" s="3"/>
      <c r="N28" s="9"/>
    </row>
    <row r="29" spans="1:18">
      <c r="A29" s="3"/>
      <c r="B29" s="936" t="s">
        <v>1921</v>
      </c>
      <c r="C29" s="936"/>
      <c r="D29" s="936"/>
      <c r="E29" s="936"/>
      <c r="F29" s="640">
        <f>F27</f>
        <v>-3.119565315713513E-3</v>
      </c>
      <c r="G29" s="3"/>
      <c r="H29" s="3"/>
      <c r="I29" s="3"/>
      <c r="J29" s="3"/>
      <c r="K29" s="3"/>
      <c r="L29" s="3"/>
      <c r="M29" s="3"/>
      <c r="N29" s="9"/>
    </row>
    <row r="30" spans="1:18">
      <c r="A30" s="3"/>
      <c r="B30" s="3"/>
      <c r="C30" s="3"/>
      <c r="D30" s="3"/>
      <c r="E30" s="3"/>
      <c r="F30" s="3"/>
      <c r="G30" s="3"/>
      <c r="H30" s="3"/>
      <c r="I30" s="3"/>
      <c r="J30" s="3"/>
      <c r="K30" s="3"/>
      <c r="L30" s="3"/>
      <c r="M30" s="3"/>
      <c r="N30" s="9"/>
    </row>
    <row r="31" spans="1:18">
      <c r="A31" s="3"/>
      <c r="B31" s="3" t="s">
        <v>1920</v>
      </c>
      <c r="C31" s="3"/>
      <c r="D31" s="3"/>
      <c r="E31" s="3"/>
      <c r="F31" s="3"/>
      <c r="G31" s="3"/>
      <c r="H31" s="3"/>
      <c r="I31" s="3"/>
      <c r="J31" s="3"/>
      <c r="K31" s="3"/>
      <c r="L31" s="3"/>
      <c r="M31" s="3"/>
      <c r="N31" s="9"/>
    </row>
    <row r="33" spans="1:12">
      <c r="A33" s="17" t="s">
        <v>133</v>
      </c>
      <c r="B33" s="1" t="s">
        <v>1919</v>
      </c>
      <c r="C33" s="1"/>
      <c r="D33" s="1"/>
      <c r="E33" s="1"/>
      <c r="F33" s="1"/>
      <c r="G33" s="1"/>
      <c r="H33" s="1"/>
      <c r="I33" s="1"/>
      <c r="J33" s="1"/>
      <c r="K33" s="1"/>
      <c r="L33" s="1"/>
    </row>
    <row r="34" spans="1:12">
      <c r="A34" s="3"/>
      <c r="B34" s="3"/>
      <c r="C34" s="3"/>
      <c r="D34" s="3"/>
      <c r="E34" s="3"/>
      <c r="F34" s="3"/>
      <c r="G34" s="3"/>
      <c r="H34" s="3"/>
      <c r="I34" s="3"/>
      <c r="J34" s="3"/>
      <c r="K34" s="3"/>
      <c r="L34" s="3"/>
    </row>
    <row r="35" spans="1:12">
      <c r="A35" s="3" t="s">
        <v>20</v>
      </c>
      <c r="B35" s="3"/>
      <c r="C35" s="3"/>
      <c r="D35" s="3"/>
      <c r="E35" s="3"/>
      <c r="F35" s="3"/>
      <c r="G35" s="3"/>
      <c r="H35" s="3"/>
      <c r="I35" s="3"/>
      <c r="J35" s="3"/>
      <c r="K35" s="3"/>
      <c r="L35" s="3"/>
    </row>
    <row r="36" spans="1:12" ht="31.2">
      <c r="A36" s="3"/>
      <c r="B36" s="93" t="s">
        <v>49</v>
      </c>
      <c r="C36" s="93" t="s">
        <v>517</v>
      </c>
      <c r="D36" s="93" t="s">
        <v>518</v>
      </c>
      <c r="E36" s="93" t="s">
        <v>1338</v>
      </c>
      <c r="F36" s="3"/>
      <c r="G36" s="3"/>
      <c r="H36" s="3"/>
      <c r="I36" s="3"/>
      <c r="J36" s="3"/>
      <c r="K36" s="3"/>
      <c r="L36" s="3"/>
    </row>
    <row r="37" spans="1:12">
      <c r="A37" s="3"/>
      <c r="B37" s="185">
        <f>B38-1</f>
        <v>2017</v>
      </c>
      <c r="C37" s="126">
        <f>C38*(1+$F$29)</f>
        <v>0.98449918718589968</v>
      </c>
      <c r="D37" s="258">
        <f t="shared" ref="D37:D42" si="2">C37*E21</f>
        <v>0.10633693337192462</v>
      </c>
      <c r="E37" s="639">
        <f t="shared" ref="E37:E42" si="3">$D$47*C21/C37</f>
        <v>1229.92418405788</v>
      </c>
      <c r="F37" s="3"/>
      <c r="G37" s="3"/>
      <c r="H37" s="3"/>
      <c r="I37" s="3"/>
      <c r="J37" s="3"/>
      <c r="K37" s="3"/>
      <c r="L37" s="3"/>
    </row>
    <row r="38" spans="1:12">
      <c r="A38" s="3"/>
      <c r="B38" s="185">
        <f>B39-1</f>
        <v>2018</v>
      </c>
      <c r="C38" s="126">
        <f>C39*(1+$F$29)</f>
        <v>0.98758000752386321</v>
      </c>
      <c r="D38" s="258">
        <f t="shared" si="2"/>
        <v>0.10584548941832896</v>
      </c>
      <c r="E38" s="639">
        <f t="shared" si="3"/>
        <v>1247.6409286451133</v>
      </c>
      <c r="F38" s="3"/>
      <c r="G38" s="3"/>
      <c r="H38" s="3"/>
      <c r="I38" s="3"/>
      <c r="J38" s="3"/>
      <c r="K38" s="3"/>
      <c r="L38" s="3"/>
    </row>
    <row r="39" spans="1:12">
      <c r="A39" s="3"/>
      <c r="B39" s="185">
        <f>B40-1</f>
        <v>2019</v>
      </c>
      <c r="C39" s="126">
        <f>C40*(1+$F$29)</f>
        <v>0.99067046875750076</v>
      </c>
      <c r="D39" s="258">
        <f t="shared" si="2"/>
        <v>0.10592820952642056</v>
      </c>
      <c r="E39" s="639">
        <f t="shared" si="3"/>
        <v>1248.6661021189686</v>
      </c>
      <c r="F39" s="3"/>
      <c r="G39" s="3"/>
      <c r="H39" s="3"/>
      <c r="I39" s="3"/>
      <c r="J39" s="3"/>
      <c r="K39" s="3"/>
      <c r="L39" s="3"/>
    </row>
    <row r="40" spans="1:12">
      <c r="A40" s="3"/>
      <c r="B40" s="185">
        <f>B41-1</f>
        <v>2020</v>
      </c>
      <c r="C40" s="126">
        <f>C41*(1+$F$29)</f>
        <v>0.99377060105633186</v>
      </c>
      <c r="D40" s="258">
        <f t="shared" si="2"/>
        <v>0.10592597557998293</v>
      </c>
      <c r="E40" s="639">
        <f t="shared" si="3"/>
        <v>1259.6897273760198</v>
      </c>
      <c r="F40" s="3"/>
      <c r="G40" s="3"/>
      <c r="H40" s="3"/>
      <c r="I40" s="3"/>
      <c r="J40" s="3"/>
      <c r="K40" s="3"/>
      <c r="L40" s="3"/>
    </row>
    <row r="41" spans="1:12">
      <c r="A41" s="3"/>
      <c r="B41" s="185">
        <f>B42-1</f>
        <v>2021</v>
      </c>
      <c r="C41" s="126">
        <f>C42*(1+$F$29)</f>
        <v>0.99688043468428644</v>
      </c>
      <c r="D41" s="258">
        <f t="shared" si="2"/>
        <v>0.10395896927627564</v>
      </c>
      <c r="E41" s="639">
        <f t="shared" si="3"/>
        <v>1279.4496199829944</v>
      </c>
      <c r="F41" s="3"/>
      <c r="G41" s="3"/>
      <c r="H41" s="3"/>
      <c r="I41" s="3"/>
      <c r="J41" s="3"/>
      <c r="K41" s="3"/>
      <c r="L41" s="3"/>
    </row>
    <row r="42" spans="1:12">
      <c r="A42" s="3"/>
      <c r="B42" s="93">
        <f>$B$11</f>
        <v>2022</v>
      </c>
      <c r="C42" s="129">
        <v>1</v>
      </c>
      <c r="D42" s="111">
        <f t="shared" si="2"/>
        <v>0.10629084967320261</v>
      </c>
      <c r="E42" s="302">
        <f t="shared" si="3"/>
        <v>1296.2146720609085</v>
      </c>
      <c r="F42" s="3"/>
      <c r="G42" s="3"/>
      <c r="H42" s="3"/>
      <c r="I42" s="3"/>
      <c r="J42" s="3"/>
      <c r="K42" s="3"/>
      <c r="L42" s="3"/>
    </row>
    <row r="43" spans="1:12">
      <c r="A43" s="3"/>
      <c r="B43" s="938" t="str">
        <f>"Average excluding "&amp;B42</f>
        <v>Average excluding 2022</v>
      </c>
      <c r="C43" s="938"/>
      <c r="D43" s="3"/>
      <c r="E43" s="3"/>
      <c r="F43" s="3"/>
      <c r="G43" s="3"/>
      <c r="H43" s="3"/>
      <c r="I43" s="3"/>
      <c r="J43" s="3"/>
      <c r="K43" s="3"/>
      <c r="L43" s="3"/>
    </row>
    <row r="44" spans="1:12">
      <c r="A44" s="3"/>
      <c r="B44" s="100" t="s">
        <v>1917</v>
      </c>
      <c r="C44" s="3"/>
      <c r="D44" s="112">
        <f>AVERAGE(D37:D41)</f>
        <v>0.10559911543458655</v>
      </c>
      <c r="E44" s="3"/>
      <c r="F44" s="3"/>
      <c r="G44" s="3"/>
      <c r="H44" s="3"/>
      <c r="I44" s="3"/>
      <c r="J44" s="3"/>
      <c r="K44" s="3"/>
      <c r="L44" s="3"/>
    </row>
    <row r="45" spans="1:12">
      <c r="A45" s="3"/>
      <c r="B45" s="100" t="s">
        <v>1916</v>
      </c>
      <c r="C45" s="3"/>
      <c r="D45" s="112">
        <f>AVERAGE(D39:D41)</f>
        <v>0.10527105146089304</v>
      </c>
      <c r="E45" s="3"/>
      <c r="F45" s="3"/>
      <c r="G45" s="3"/>
      <c r="H45" s="3"/>
      <c r="I45" s="3"/>
      <c r="J45" s="3"/>
      <c r="K45" s="3"/>
      <c r="L45" s="3"/>
    </row>
    <row r="46" spans="1:12">
      <c r="A46" s="3"/>
      <c r="B46" s="100" t="s">
        <v>1915</v>
      </c>
      <c r="C46" s="3"/>
      <c r="D46" s="112">
        <f>AVERAGE(D38,D39,D40)</f>
        <v>0.10589989150824415</v>
      </c>
      <c r="E46" s="3"/>
      <c r="F46" s="3"/>
      <c r="G46" s="3"/>
      <c r="H46" s="3"/>
      <c r="I46" s="3"/>
      <c r="J46" s="3"/>
      <c r="K46" s="3"/>
      <c r="L46" s="3"/>
    </row>
    <row r="47" spans="1:12">
      <c r="A47" s="3"/>
      <c r="B47" s="937" t="str">
        <f>"Selected freq. at "&amp;B42&amp;" cost level"</f>
        <v>Selected freq. at 2022 cost level</v>
      </c>
      <c r="C47" s="937"/>
      <c r="D47" s="112">
        <f>D46</f>
        <v>0.10589989150824415</v>
      </c>
      <c r="E47" s="3" t="s">
        <v>1918</v>
      </c>
      <c r="F47" s="3"/>
      <c r="H47" s="3"/>
      <c r="I47" s="3"/>
      <c r="J47" s="3"/>
      <c r="K47" s="3"/>
      <c r="L47" s="3"/>
    </row>
    <row r="48" spans="1:12">
      <c r="A48" s="3"/>
      <c r="B48" s="3"/>
      <c r="C48" s="3"/>
      <c r="D48" s="3"/>
      <c r="E48" s="3"/>
      <c r="F48" s="3"/>
      <c r="H48" s="3"/>
      <c r="I48" s="3"/>
      <c r="J48" s="3"/>
      <c r="K48" s="3"/>
      <c r="L48" s="3"/>
    </row>
    <row r="49" spans="1:13" ht="31.2">
      <c r="A49" s="3"/>
      <c r="B49" s="93" t="s">
        <v>49</v>
      </c>
      <c r="C49" s="93" t="s">
        <v>529</v>
      </c>
      <c r="D49" s="93" t="s">
        <v>525</v>
      </c>
      <c r="E49" s="93" t="s">
        <v>526</v>
      </c>
      <c r="F49" s="93" t="s">
        <v>1343</v>
      </c>
      <c r="G49" s="93" t="s">
        <v>646</v>
      </c>
      <c r="H49" s="3"/>
      <c r="I49" s="3"/>
      <c r="J49" s="3"/>
      <c r="K49" s="3"/>
      <c r="L49" s="3"/>
    </row>
    <row r="50" spans="1:13">
      <c r="A50" s="3"/>
      <c r="B50" s="185">
        <f>B51-1</f>
        <v>2017</v>
      </c>
      <c r="C50" s="106">
        <f t="shared" ref="C50:C55" si="4">E6</f>
        <v>4104</v>
      </c>
      <c r="D50" s="126">
        <f>D51*(1+$E$13)</f>
        <v>1.4356293261718749</v>
      </c>
      <c r="E50" s="240">
        <f t="shared" ref="E50:E55" si="5">D50*C50</f>
        <v>5891.8227546093749</v>
      </c>
      <c r="F50" s="240">
        <f t="shared" ref="F50:F55" si="6">$E$60/D50</f>
        <v>4110.2470719998037</v>
      </c>
      <c r="G50" s="106">
        <f t="shared" ref="G50:G55" si="7">F50*E37</f>
        <v>5055292.2763056485</v>
      </c>
      <c r="H50" s="3"/>
      <c r="I50" s="3"/>
      <c r="J50" s="3"/>
      <c r="K50" s="3"/>
      <c r="L50" s="3"/>
    </row>
    <row r="51" spans="1:13">
      <c r="A51" s="3"/>
      <c r="B51" s="185">
        <f>B52-1</f>
        <v>2018</v>
      </c>
      <c r="C51" s="106">
        <f t="shared" si="4"/>
        <v>4384</v>
      </c>
      <c r="D51" s="126">
        <f>D52*(1+$E$13)</f>
        <v>1.3354691406249999</v>
      </c>
      <c r="E51" s="240">
        <f t="shared" si="5"/>
        <v>5854.6967124999992</v>
      </c>
      <c r="F51" s="240">
        <f t="shared" si="6"/>
        <v>4418.5156023997888</v>
      </c>
      <c r="G51" s="106">
        <f t="shared" si="7"/>
        <v>5512720.9094109945</v>
      </c>
      <c r="H51" s="3"/>
      <c r="I51" s="3"/>
      <c r="J51" s="3"/>
      <c r="K51" s="3"/>
      <c r="L51" s="3"/>
    </row>
    <row r="52" spans="1:13">
      <c r="A52" s="3"/>
      <c r="B52" s="185">
        <f>B53-1</f>
        <v>2019</v>
      </c>
      <c r="C52" s="106">
        <f t="shared" si="4"/>
        <v>4751</v>
      </c>
      <c r="D52" s="126">
        <f>D53*(1+$E$13)</f>
        <v>1.2422968749999999</v>
      </c>
      <c r="E52" s="240">
        <f t="shared" si="5"/>
        <v>5902.1524531249997</v>
      </c>
      <c r="F52" s="240">
        <f t="shared" si="6"/>
        <v>4749.9042725797726</v>
      </c>
      <c r="G52" s="106">
        <f t="shared" si="7"/>
        <v>5931044.4534804197</v>
      </c>
      <c r="H52" s="3"/>
      <c r="I52" s="3"/>
      <c r="J52" s="3"/>
      <c r="K52" s="3"/>
      <c r="L52" s="3"/>
    </row>
    <row r="53" spans="1:13">
      <c r="A53" s="3"/>
      <c r="B53" s="185">
        <f>B54-1</f>
        <v>2020</v>
      </c>
      <c r="C53" s="106">
        <f t="shared" si="4"/>
        <v>5066</v>
      </c>
      <c r="D53" s="126">
        <f>D54*(1+$E$13)</f>
        <v>1.1556249999999999</v>
      </c>
      <c r="E53" s="240">
        <f t="shared" si="5"/>
        <v>5854.3962499999998</v>
      </c>
      <c r="F53" s="240">
        <f t="shared" si="6"/>
        <v>5106.1470930232554</v>
      </c>
      <c r="G53" s="106">
        <f t="shared" si="7"/>
        <v>6432161.0395523207</v>
      </c>
      <c r="H53" s="3"/>
      <c r="I53" s="3"/>
      <c r="J53" s="3"/>
      <c r="K53" s="3"/>
      <c r="L53" s="3"/>
    </row>
    <row r="54" spans="1:13">
      <c r="A54" s="3"/>
      <c r="B54" s="185">
        <f>B55-1</f>
        <v>2021</v>
      </c>
      <c r="C54" s="106">
        <f t="shared" si="4"/>
        <v>5531</v>
      </c>
      <c r="D54" s="126">
        <f>D55*(1+$E$13)</f>
        <v>1.075</v>
      </c>
      <c r="E54" s="240">
        <f t="shared" si="5"/>
        <v>5945.8249999999998</v>
      </c>
      <c r="F54" s="240">
        <f t="shared" si="6"/>
        <v>5489.1081249999997</v>
      </c>
      <c r="G54" s="106">
        <f t="shared" si="7"/>
        <v>7023037.304576816</v>
      </c>
      <c r="H54" s="3"/>
      <c r="I54" s="3"/>
      <c r="J54" s="3"/>
      <c r="K54" s="3"/>
      <c r="L54" s="3"/>
    </row>
    <row r="55" spans="1:13">
      <c r="A55" s="3"/>
      <c r="B55" s="93">
        <f>$B$11</f>
        <v>2022</v>
      </c>
      <c r="C55" s="110">
        <f t="shared" si="4"/>
        <v>5897</v>
      </c>
      <c r="D55" s="129">
        <v>1</v>
      </c>
      <c r="E55" s="370">
        <f t="shared" si="5"/>
        <v>5897</v>
      </c>
      <c r="F55" s="370">
        <f t="shared" si="6"/>
        <v>5900.7912343749995</v>
      </c>
      <c r="G55" s="110">
        <f t="shared" si="7"/>
        <v>7648692.174765273</v>
      </c>
      <c r="H55" s="3"/>
      <c r="I55" s="3"/>
      <c r="J55" s="3"/>
      <c r="K55" s="3"/>
      <c r="L55" s="3"/>
    </row>
    <row r="56" spans="1:13">
      <c r="B56" s="3" t="str">
        <f>"Average excluding "&amp;B55</f>
        <v>Average excluding 2022</v>
      </c>
      <c r="C56" s="3"/>
      <c r="D56" s="3"/>
      <c r="E56" s="3"/>
      <c r="F56" s="3"/>
      <c r="G56" s="106">
        <f>SUM(G50:G55)</f>
        <v>37602948.158091471</v>
      </c>
      <c r="H56" s="3"/>
      <c r="M56" s="3"/>
    </row>
    <row r="57" spans="1:13">
      <c r="B57" s="100" t="s">
        <v>1917</v>
      </c>
      <c r="C57" s="3"/>
      <c r="D57" s="62"/>
      <c r="E57" s="240">
        <f>AVERAGE(E50:E54)</f>
        <v>5889.7786340468747</v>
      </c>
      <c r="F57" s="3"/>
      <c r="G57" s="3"/>
      <c r="H57" s="3"/>
      <c r="M57" s="3"/>
    </row>
    <row r="58" spans="1:13">
      <c r="B58" s="100" t="s">
        <v>1916</v>
      </c>
      <c r="C58" s="3"/>
      <c r="D58" s="62"/>
      <c r="E58" s="240">
        <f>AVERAGE(E52:E54)</f>
        <v>5900.7912343749995</v>
      </c>
      <c r="F58" s="3"/>
      <c r="G58" s="3"/>
      <c r="H58" s="3"/>
      <c r="M58" s="3"/>
    </row>
    <row r="59" spans="1:13">
      <c r="B59" s="100" t="s">
        <v>1915</v>
      </c>
      <c r="C59" s="3"/>
      <c r="D59" s="62"/>
      <c r="E59" s="240">
        <f>AVERAGE(E51,E52,E50)</f>
        <v>5882.8906400781243</v>
      </c>
      <c r="F59" s="3"/>
      <c r="G59" s="3"/>
      <c r="H59" s="3"/>
    </row>
    <row r="60" spans="1:13">
      <c r="B60" s="3" t="str">
        <f>"Selected severity at "&amp;B55&amp;" cost level"</f>
        <v>Selected severity at 2022 cost level</v>
      </c>
      <c r="C60" s="3"/>
      <c r="D60" s="62"/>
      <c r="E60" s="240">
        <f>E58</f>
        <v>5900.7912343749995</v>
      </c>
      <c r="F60" s="3" t="s">
        <v>1914</v>
      </c>
      <c r="G60" s="3"/>
      <c r="H60" s="3"/>
    </row>
    <row r="62" spans="1:13">
      <c r="A62" s="14"/>
      <c r="B62" s="14"/>
      <c r="C62" s="14"/>
      <c r="D62" s="14"/>
      <c r="E62" s="14"/>
      <c r="F62" s="14"/>
      <c r="G62" s="1"/>
      <c r="H62" s="1"/>
      <c r="I62" s="1"/>
      <c r="J62" s="1"/>
      <c r="K62" s="1"/>
      <c r="L62" s="1"/>
    </row>
    <row r="63" spans="1:13">
      <c r="A63" s="1" t="s">
        <v>1913</v>
      </c>
      <c r="B63" s="14"/>
      <c r="C63" s="14"/>
      <c r="D63" s="14"/>
      <c r="E63" s="14"/>
      <c r="F63" s="14"/>
      <c r="G63" s="1"/>
      <c r="H63" s="1"/>
      <c r="I63" s="1"/>
      <c r="J63" s="1"/>
      <c r="K63" s="1"/>
      <c r="L63" s="1"/>
    </row>
    <row r="64" spans="1:13">
      <c r="A64" s="14"/>
      <c r="B64" s="14"/>
      <c r="C64" s="14"/>
      <c r="D64" s="14"/>
      <c r="E64" s="14"/>
      <c r="F64" s="14"/>
      <c r="G64" s="1"/>
      <c r="H64" s="1"/>
      <c r="I64" s="1"/>
      <c r="J64" s="1"/>
      <c r="K64" s="1"/>
      <c r="L64" s="1"/>
    </row>
    <row r="66" spans="1:14">
      <c r="A66" s="17" t="s">
        <v>18</v>
      </c>
      <c r="B66" s="1" t="s">
        <v>1912</v>
      </c>
      <c r="C66" s="1"/>
      <c r="D66" s="1"/>
      <c r="E66" s="1"/>
      <c r="F66" s="1"/>
      <c r="G66" s="1"/>
      <c r="H66" s="1"/>
      <c r="I66" s="1"/>
      <c r="J66" s="1"/>
      <c r="K66" s="1"/>
      <c r="L66" s="1"/>
    </row>
    <row r="67" spans="1:14">
      <c r="A67" s="3"/>
      <c r="B67" s="3"/>
      <c r="C67" s="3"/>
      <c r="D67" s="3"/>
      <c r="E67" s="3"/>
      <c r="F67" s="3"/>
      <c r="G67" s="3"/>
      <c r="H67" s="3"/>
      <c r="I67" s="3"/>
      <c r="J67" s="3"/>
      <c r="K67" s="3"/>
      <c r="L67" s="3"/>
    </row>
    <row r="68" spans="1:14">
      <c r="A68" s="3" t="s">
        <v>20</v>
      </c>
      <c r="B68" s="3"/>
      <c r="C68" s="3"/>
      <c r="D68" s="3"/>
      <c r="E68" s="3"/>
      <c r="F68" s="3"/>
      <c r="G68" s="3"/>
      <c r="H68" s="3"/>
      <c r="I68" s="3"/>
      <c r="J68" s="3"/>
      <c r="K68" s="3"/>
      <c r="L68" s="3"/>
    </row>
    <row r="69" spans="1:14">
      <c r="A69" s="3"/>
      <c r="B69" s="465" t="s">
        <v>775</v>
      </c>
      <c r="C69" s="3"/>
      <c r="D69" s="3"/>
      <c r="E69" s="3"/>
      <c r="F69" s="3"/>
      <c r="G69" s="3"/>
      <c r="H69" s="3"/>
      <c r="I69" s="3"/>
      <c r="J69" s="3"/>
      <c r="K69" s="3"/>
      <c r="L69" s="3"/>
    </row>
    <row r="70" spans="1:14">
      <c r="A70" s="3"/>
      <c r="B70" s="3" t="s">
        <v>1911</v>
      </c>
      <c r="C70" s="3"/>
      <c r="D70" s="3"/>
      <c r="E70" s="3"/>
      <c r="F70" s="3"/>
      <c r="G70" s="3"/>
      <c r="H70" s="3"/>
      <c r="I70" s="3"/>
      <c r="J70" s="3"/>
      <c r="K70" s="3"/>
      <c r="L70" s="3"/>
    </row>
    <row r="71" spans="1:14">
      <c r="B71" s="2" t="s">
        <v>1910</v>
      </c>
    </row>
    <row r="72" spans="1:14">
      <c r="B72" s="2" t="s">
        <v>1909</v>
      </c>
    </row>
    <row r="73" spans="1:14">
      <c r="B73" s="2" t="s">
        <v>1908</v>
      </c>
      <c r="M73" s="3"/>
      <c r="N73" s="3"/>
    </row>
    <row r="74" spans="1:14">
      <c r="M74" s="3"/>
      <c r="N74" s="3"/>
    </row>
    <row r="75" spans="1:14">
      <c r="M75" s="3"/>
      <c r="N75" s="3"/>
    </row>
  </sheetData>
  <mergeCells count="3">
    <mergeCell ref="B29:E29"/>
    <mergeCell ref="B47:C47"/>
    <mergeCell ref="B43:C43"/>
  </mergeCells>
  <hyperlinks>
    <hyperlink ref="O1" location="TOC!A1" display="Table of Contents" xr:uid="{5BC80715-0448-42BA-8654-51E7B6776ED7}"/>
  </hyperlinks>
  <pageMargins left="0.7" right="0.7" top="0.75" bottom="0.75" header="0.3" footer="0.3"/>
  <pageSetup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81C5-5F3A-4798-A335-0925E410DEE6}">
  <dimension ref="A1:R130"/>
  <sheetViews>
    <sheetView zoomScaleNormal="100" workbookViewId="0"/>
  </sheetViews>
  <sheetFormatPr defaultColWidth="8.88671875" defaultRowHeight="15.6"/>
  <cols>
    <col min="1" max="1" width="8.88671875" style="2" customWidth="1"/>
    <col min="2" max="7" width="14.6640625" style="2" customWidth="1"/>
    <col min="8" max="8" width="18.109375" style="2" customWidth="1"/>
    <col min="9" max="9" width="14.6640625" style="2" customWidth="1"/>
    <col min="10" max="16384" width="8.88671875" style="2"/>
  </cols>
  <sheetData>
    <row r="1" spans="1:15" ht="17.399999999999999">
      <c r="A1" s="13" t="s">
        <v>2267</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1956</v>
      </c>
      <c r="B3" s="1"/>
      <c r="C3" s="1"/>
      <c r="D3" s="1"/>
      <c r="E3" s="1"/>
      <c r="F3" s="1"/>
      <c r="G3" s="1"/>
      <c r="H3" s="1"/>
      <c r="I3" s="1"/>
      <c r="J3" s="1"/>
      <c r="K3" s="1"/>
      <c r="L3" s="14"/>
    </row>
    <row r="4" spans="1:15">
      <c r="A4" s="43"/>
      <c r="B4" s="1"/>
      <c r="C4" s="1"/>
      <c r="D4" s="1"/>
      <c r="E4" s="1"/>
      <c r="F4" s="1"/>
      <c r="G4" s="1"/>
      <c r="H4" s="1"/>
      <c r="I4" s="1"/>
      <c r="J4" s="1"/>
      <c r="K4" s="1"/>
      <c r="L4" s="1"/>
    </row>
    <row r="5" spans="1:15">
      <c r="A5" s="43"/>
      <c r="B5" s="23" t="s">
        <v>53</v>
      </c>
      <c r="C5" s="813" t="s">
        <v>88</v>
      </c>
      <c r="D5" s="829"/>
      <c r="E5" s="829"/>
      <c r="F5" s="829"/>
      <c r="G5" s="1"/>
      <c r="H5" s="1"/>
      <c r="I5" s="1"/>
      <c r="J5" s="1"/>
      <c r="K5" s="1"/>
      <c r="L5" s="1"/>
    </row>
    <row r="6" spans="1:15">
      <c r="A6" s="43"/>
      <c r="B6" s="24" t="s">
        <v>55</v>
      </c>
      <c r="C6" s="39">
        <v>12</v>
      </c>
      <c r="D6" s="5">
        <v>24</v>
      </c>
      <c r="E6" s="5">
        <v>36</v>
      </c>
      <c r="F6" s="5">
        <v>48</v>
      </c>
      <c r="G6" s="1"/>
      <c r="H6" s="1"/>
      <c r="I6" s="1"/>
      <c r="J6" s="1"/>
      <c r="K6" s="1"/>
      <c r="L6" s="1"/>
    </row>
    <row r="7" spans="1:15">
      <c r="A7" s="43"/>
      <c r="B7" s="25">
        <v>2019</v>
      </c>
      <c r="C7" s="7">
        <v>1148</v>
      </c>
      <c r="D7" s="7">
        <v>1783</v>
      </c>
      <c r="E7" s="7">
        <v>2526</v>
      </c>
      <c r="F7" s="7">
        <v>3410</v>
      </c>
      <c r="G7" s="1"/>
      <c r="H7" s="1"/>
      <c r="I7" s="1"/>
      <c r="J7" s="1"/>
      <c r="K7" s="1"/>
      <c r="L7" s="1"/>
    </row>
    <row r="8" spans="1:15">
      <c r="A8" s="43"/>
      <c r="B8" s="6">
        <v>2020</v>
      </c>
      <c r="C8" s="7">
        <v>3427</v>
      </c>
      <c r="D8" s="7">
        <v>4893</v>
      </c>
      <c r="E8" s="7">
        <v>6847</v>
      </c>
      <c r="F8" s="6"/>
      <c r="G8" s="1"/>
      <c r="H8" s="1"/>
      <c r="I8" s="1"/>
      <c r="J8" s="1"/>
      <c r="K8" s="1"/>
      <c r="L8" s="1"/>
    </row>
    <row r="9" spans="1:15">
      <c r="A9" s="1"/>
      <c r="B9" s="6">
        <v>2021</v>
      </c>
      <c r="C9" s="7">
        <v>5710</v>
      </c>
      <c r="D9" s="7">
        <v>12170</v>
      </c>
      <c r="E9" s="6"/>
      <c r="F9" s="6"/>
      <c r="G9" s="1"/>
      <c r="H9" s="1"/>
      <c r="I9" s="1"/>
      <c r="J9" s="1"/>
      <c r="K9" s="1"/>
      <c r="L9" s="1"/>
    </row>
    <row r="10" spans="1:15">
      <c r="A10" s="1"/>
      <c r="B10" s="6">
        <v>2022</v>
      </c>
      <c r="C10" s="7">
        <v>8035</v>
      </c>
      <c r="D10" s="6"/>
      <c r="E10" s="6"/>
      <c r="F10" s="339"/>
      <c r="G10" s="1"/>
      <c r="H10" s="1"/>
      <c r="I10" s="1"/>
      <c r="J10" s="1"/>
      <c r="K10" s="1"/>
      <c r="L10" s="1"/>
    </row>
    <row r="11" spans="1:15">
      <c r="A11" s="43"/>
      <c r="B11" s="1"/>
      <c r="C11" s="1"/>
      <c r="D11" s="1"/>
      <c r="E11" s="1"/>
      <c r="F11" s="1"/>
      <c r="G11" s="1"/>
      <c r="H11" s="1"/>
      <c r="I11" s="1"/>
      <c r="J11" s="1"/>
      <c r="K11" s="1"/>
      <c r="L11" s="1"/>
    </row>
    <row r="12" spans="1:15" ht="16.2" customHeight="1">
      <c r="A12" s="43"/>
      <c r="B12" s="23" t="s">
        <v>53</v>
      </c>
      <c r="C12" s="813" t="s">
        <v>89</v>
      </c>
      <c r="D12" s="829"/>
      <c r="E12" s="829"/>
      <c r="F12" s="829"/>
      <c r="G12" s="1"/>
      <c r="H12" s="1"/>
      <c r="I12" s="1"/>
      <c r="J12" s="1"/>
      <c r="K12" s="1"/>
      <c r="L12" s="1"/>
    </row>
    <row r="13" spans="1:15">
      <c r="A13" s="43"/>
      <c r="B13" s="24" t="s">
        <v>55</v>
      </c>
      <c r="C13" s="39">
        <v>12</v>
      </c>
      <c r="D13" s="5">
        <v>24</v>
      </c>
      <c r="E13" s="5">
        <v>36</v>
      </c>
      <c r="F13" s="5">
        <v>48</v>
      </c>
      <c r="G13" s="1"/>
      <c r="H13" s="1"/>
      <c r="I13" s="1"/>
      <c r="J13" s="1"/>
      <c r="K13" s="1"/>
      <c r="L13" s="1"/>
    </row>
    <row r="14" spans="1:15">
      <c r="A14" s="43"/>
      <c r="B14" s="25">
        <v>2019</v>
      </c>
      <c r="C14" s="7">
        <v>138</v>
      </c>
      <c r="D14" s="7">
        <v>466</v>
      </c>
      <c r="E14" s="7">
        <v>882</v>
      </c>
      <c r="F14" s="7">
        <v>1425</v>
      </c>
      <c r="G14" s="1"/>
      <c r="H14" s="1"/>
      <c r="I14" s="1"/>
      <c r="J14" s="1"/>
      <c r="K14" s="1"/>
      <c r="L14" s="1"/>
    </row>
    <row r="15" spans="1:15">
      <c r="A15" s="43"/>
      <c r="B15" s="6">
        <v>2020</v>
      </c>
      <c r="C15" s="7">
        <v>413</v>
      </c>
      <c r="D15" s="7">
        <v>1269</v>
      </c>
      <c r="E15" s="7">
        <v>3148</v>
      </c>
      <c r="F15" s="6"/>
      <c r="G15" s="1"/>
      <c r="H15" s="1"/>
      <c r="I15" s="1"/>
      <c r="J15" s="1"/>
      <c r="K15" s="1"/>
      <c r="L15" s="1"/>
    </row>
    <row r="16" spans="1:15">
      <c r="A16" s="43"/>
      <c r="B16" s="6">
        <v>2021</v>
      </c>
      <c r="C16" s="7">
        <v>689</v>
      </c>
      <c r="D16" s="7">
        <v>4140</v>
      </c>
      <c r="E16" s="6"/>
      <c r="F16" s="6"/>
      <c r="G16" s="1"/>
      <c r="H16" s="1"/>
      <c r="I16" s="1"/>
      <c r="J16" s="1"/>
      <c r="K16" s="1"/>
      <c r="L16" s="1"/>
    </row>
    <row r="17" spans="1:12">
      <c r="A17" s="43"/>
      <c r="B17" s="6">
        <v>2022</v>
      </c>
      <c r="C17" s="7">
        <v>1286</v>
      </c>
      <c r="D17" s="6"/>
      <c r="E17" s="6"/>
      <c r="F17" s="339"/>
      <c r="G17" s="1"/>
      <c r="H17" s="1"/>
      <c r="I17" s="1"/>
      <c r="J17" s="1"/>
      <c r="K17" s="1"/>
      <c r="L17" s="1"/>
    </row>
    <row r="18" spans="1:12">
      <c r="A18" s="43"/>
      <c r="B18" s="1"/>
      <c r="C18" s="1"/>
      <c r="D18" s="1"/>
      <c r="E18" s="1"/>
      <c r="F18" s="1"/>
      <c r="G18" s="1"/>
      <c r="H18" s="1"/>
      <c r="I18" s="1"/>
      <c r="J18" s="1"/>
      <c r="K18" s="1"/>
      <c r="L18" s="1"/>
    </row>
    <row r="19" spans="1:12">
      <c r="A19" s="1" t="s">
        <v>1957</v>
      </c>
      <c r="B19" s="1"/>
      <c r="C19" s="1"/>
      <c r="D19" s="1"/>
      <c r="E19" s="1"/>
      <c r="F19" s="1"/>
      <c r="G19" s="1"/>
      <c r="H19" s="1"/>
      <c r="I19" s="1"/>
      <c r="J19" s="1"/>
      <c r="K19" s="1"/>
      <c r="L19" s="1"/>
    </row>
    <row r="20" spans="1:12">
      <c r="A20" s="43"/>
      <c r="B20" s="1"/>
      <c r="C20" s="1"/>
      <c r="D20" s="1"/>
      <c r="E20" s="1"/>
      <c r="F20" s="1"/>
      <c r="G20" s="1"/>
      <c r="H20" s="1"/>
      <c r="I20" s="1"/>
      <c r="J20" s="1"/>
      <c r="K20" s="1"/>
      <c r="L20" s="1"/>
    </row>
    <row r="21" spans="1:12">
      <c r="A21" s="43"/>
      <c r="B21" s="23" t="s">
        <v>279</v>
      </c>
      <c r="C21" s="23" t="s">
        <v>1958</v>
      </c>
      <c r="D21" s="647"/>
      <c r="E21" s="1"/>
      <c r="F21" s="1"/>
      <c r="G21" s="1"/>
      <c r="H21" s="1"/>
      <c r="I21" s="1"/>
      <c r="J21" s="1"/>
      <c r="K21" s="1"/>
      <c r="L21" s="1"/>
    </row>
    <row r="22" spans="1:12">
      <c r="A22" s="43"/>
      <c r="B22" s="24" t="s">
        <v>1959</v>
      </c>
      <c r="C22" s="24" t="s">
        <v>1697</v>
      </c>
      <c r="D22" s="647"/>
      <c r="E22" s="1"/>
      <c r="F22" s="1"/>
      <c r="G22" s="1"/>
      <c r="H22" s="1"/>
      <c r="I22" s="1"/>
      <c r="J22" s="1"/>
      <c r="K22" s="1"/>
      <c r="L22" s="1"/>
    </row>
    <row r="23" spans="1:12">
      <c r="A23" s="43"/>
      <c r="B23" s="6">
        <v>100</v>
      </c>
      <c r="C23" s="648">
        <v>43749</v>
      </c>
      <c r="D23" s="649"/>
      <c r="E23" s="1"/>
      <c r="F23" s="1"/>
      <c r="G23" s="1"/>
      <c r="H23" s="1"/>
      <c r="I23" s="1"/>
      <c r="J23" s="1"/>
      <c r="K23" s="1"/>
      <c r="L23" s="1"/>
    </row>
    <row r="24" spans="1:12">
      <c r="A24" s="43"/>
      <c r="B24" s="6">
        <v>200</v>
      </c>
      <c r="C24" s="648">
        <v>43835</v>
      </c>
      <c r="D24" s="649"/>
      <c r="E24" s="1"/>
      <c r="F24" s="1"/>
      <c r="G24" s="1"/>
      <c r="H24" s="1"/>
      <c r="I24" s="1"/>
      <c r="J24" s="1"/>
      <c r="K24" s="1"/>
      <c r="L24" s="1"/>
    </row>
    <row r="25" spans="1:12">
      <c r="A25" s="43"/>
      <c r="B25" s="6">
        <v>300</v>
      </c>
      <c r="C25" s="648">
        <v>44255</v>
      </c>
      <c r="D25" s="649"/>
      <c r="E25" s="1"/>
      <c r="F25" s="1"/>
      <c r="G25" s="1"/>
      <c r="H25" s="1"/>
      <c r="I25" s="1"/>
      <c r="J25" s="1"/>
      <c r="K25" s="1"/>
      <c r="L25" s="1"/>
    </row>
    <row r="26" spans="1:12">
      <c r="A26" s="43"/>
      <c r="B26" s="1"/>
      <c r="C26" s="1"/>
      <c r="D26" s="1"/>
      <c r="E26" s="1"/>
      <c r="F26" s="1"/>
      <c r="G26" s="1"/>
      <c r="H26" s="1"/>
      <c r="I26" s="1"/>
      <c r="J26" s="1"/>
      <c r="K26" s="1"/>
      <c r="L26" s="1"/>
    </row>
    <row r="27" spans="1:12" ht="31.2">
      <c r="A27" s="43"/>
      <c r="B27" s="232" t="s">
        <v>1960</v>
      </c>
      <c r="C27" s="232" t="s">
        <v>941</v>
      </c>
      <c r="D27" s="4" t="s">
        <v>97</v>
      </c>
      <c r="E27" s="828" t="s">
        <v>1634</v>
      </c>
      <c r="F27" s="828"/>
      <c r="G27" s="828"/>
      <c r="H27" s="4" t="s">
        <v>1636</v>
      </c>
      <c r="I27" s="4" t="s">
        <v>1961</v>
      </c>
      <c r="J27" s="1"/>
      <c r="K27" s="1"/>
      <c r="L27" s="1"/>
    </row>
    <row r="28" spans="1:12" ht="16.2" customHeight="1">
      <c r="A28" s="43"/>
      <c r="B28" s="32">
        <v>1</v>
      </c>
      <c r="C28" s="32">
        <v>200</v>
      </c>
      <c r="D28" s="451">
        <v>43868</v>
      </c>
      <c r="E28" s="826" t="s">
        <v>101</v>
      </c>
      <c r="F28" s="826"/>
      <c r="G28" s="826"/>
      <c r="H28" s="32">
        <v>17</v>
      </c>
      <c r="I28" s="32"/>
      <c r="J28" s="1"/>
      <c r="K28" s="1"/>
      <c r="L28" s="1"/>
    </row>
    <row r="29" spans="1:12">
      <c r="A29" s="43"/>
      <c r="B29" s="32">
        <v>2</v>
      </c>
      <c r="C29" s="32">
        <v>100</v>
      </c>
      <c r="D29" s="650">
        <v>43963</v>
      </c>
      <c r="E29" s="826" t="s">
        <v>101</v>
      </c>
      <c r="F29" s="826"/>
      <c r="G29" s="826"/>
      <c r="H29" s="32">
        <v>5</v>
      </c>
      <c r="I29" s="32"/>
      <c r="J29" s="1"/>
      <c r="K29" s="1"/>
      <c r="L29" s="1"/>
    </row>
    <row r="30" spans="1:12">
      <c r="A30" s="43"/>
      <c r="B30" s="32">
        <v>3</v>
      </c>
      <c r="C30" s="32">
        <v>300</v>
      </c>
      <c r="D30" s="451">
        <v>44263</v>
      </c>
      <c r="E30" s="826" t="s">
        <v>101</v>
      </c>
      <c r="F30" s="826"/>
      <c r="G30" s="826"/>
      <c r="H30" s="32">
        <v>29</v>
      </c>
      <c r="I30" s="32"/>
      <c r="J30" s="1"/>
      <c r="K30" s="1"/>
      <c r="L30" s="1"/>
    </row>
    <row r="31" spans="1:12">
      <c r="A31" s="43"/>
      <c r="B31" s="32">
        <v>4</v>
      </c>
      <c r="C31" s="32">
        <v>100</v>
      </c>
      <c r="D31" s="451">
        <v>44399</v>
      </c>
      <c r="E31" s="939" t="s">
        <v>1962</v>
      </c>
      <c r="F31" s="940"/>
      <c r="G31" s="941"/>
      <c r="H31" s="32">
        <v>-5</v>
      </c>
      <c r="I31" s="32">
        <v>6</v>
      </c>
      <c r="J31" s="1"/>
      <c r="K31" s="1"/>
      <c r="L31" s="1"/>
    </row>
    <row r="32" spans="1:12">
      <c r="A32" s="43"/>
      <c r="B32" s="32">
        <v>5</v>
      </c>
      <c r="C32" s="32">
        <v>200</v>
      </c>
      <c r="D32" s="451">
        <v>44513</v>
      </c>
      <c r="E32" s="826" t="s">
        <v>1962</v>
      </c>
      <c r="F32" s="826"/>
      <c r="G32" s="826"/>
      <c r="H32" s="32">
        <v>-13</v>
      </c>
      <c r="I32" s="32">
        <v>6</v>
      </c>
      <c r="J32" s="1"/>
      <c r="K32" s="1"/>
      <c r="L32" s="1"/>
    </row>
    <row r="33" spans="1:18">
      <c r="A33" s="43"/>
      <c r="B33" s="32">
        <v>6</v>
      </c>
      <c r="C33" s="32">
        <v>300</v>
      </c>
      <c r="D33" s="451">
        <v>44716</v>
      </c>
      <c r="E33" s="826" t="s">
        <v>1963</v>
      </c>
      <c r="F33" s="826"/>
      <c r="G33" s="826"/>
      <c r="H33" s="32"/>
      <c r="I33" s="32">
        <v>11</v>
      </c>
      <c r="J33" s="1"/>
      <c r="K33" s="1"/>
      <c r="L33" s="1"/>
    </row>
    <row r="34" spans="1:18">
      <c r="A34" s="1"/>
      <c r="B34" s="1"/>
      <c r="C34" s="1"/>
      <c r="D34" s="1"/>
      <c r="E34" s="1"/>
      <c r="F34" s="1"/>
      <c r="G34" s="1"/>
      <c r="H34" s="1"/>
      <c r="I34" s="1"/>
      <c r="J34" s="1"/>
      <c r="K34" s="1"/>
      <c r="L34" s="1"/>
    </row>
    <row r="35" spans="1:18">
      <c r="A35" s="3"/>
      <c r="B35" s="3"/>
      <c r="C35" s="3"/>
      <c r="D35" s="3"/>
      <c r="E35" s="3"/>
      <c r="F35" s="3"/>
      <c r="G35" s="3"/>
      <c r="H35" s="3"/>
      <c r="I35" s="3"/>
      <c r="J35" s="3"/>
      <c r="K35" s="3"/>
      <c r="L35" s="3"/>
    </row>
    <row r="36" spans="1:18">
      <c r="A36" s="17" t="s">
        <v>91</v>
      </c>
      <c r="B36" s="17" t="s">
        <v>1964</v>
      </c>
      <c r="C36" s="1"/>
      <c r="D36" s="1"/>
      <c r="E36" s="1"/>
      <c r="F36" s="1"/>
      <c r="G36" s="1"/>
      <c r="H36" s="1"/>
      <c r="I36" s="1"/>
      <c r="J36" s="1"/>
      <c r="K36" s="1"/>
      <c r="L36" s="1"/>
      <c r="M36" s="9"/>
      <c r="N36" s="9"/>
      <c r="O36" s="9"/>
      <c r="P36" s="9"/>
      <c r="Q36" s="9"/>
      <c r="R36" s="9"/>
    </row>
    <row r="37" spans="1:18">
      <c r="A37" s="3"/>
      <c r="B37" s="3"/>
      <c r="C37" s="3"/>
      <c r="D37" s="3"/>
      <c r="E37" s="3"/>
      <c r="F37" s="3"/>
      <c r="G37" s="3"/>
      <c r="H37" s="3"/>
      <c r="I37" s="3"/>
      <c r="J37" s="3"/>
      <c r="K37" s="3"/>
      <c r="L37" s="3"/>
      <c r="M37" s="3"/>
    </row>
    <row r="38" spans="1:18">
      <c r="A38" s="3" t="s">
        <v>20</v>
      </c>
      <c r="B38" s="3"/>
      <c r="C38" s="3"/>
      <c r="D38" s="3"/>
      <c r="E38" s="3"/>
      <c r="F38" s="3"/>
      <c r="G38" s="3"/>
      <c r="H38" s="3"/>
      <c r="I38" s="3"/>
      <c r="J38" s="3"/>
      <c r="K38" s="3"/>
      <c r="L38" s="3"/>
      <c r="M38" s="3"/>
      <c r="N38" s="9"/>
    </row>
    <row r="39" spans="1:18">
      <c r="A39" s="3"/>
      <c r="B39" s="94" t="s">
        <v>941</v>
      </c>
      <c r="C39" s="651">
        <v>100</v>
      </c>
      <c r="D39" s="651"/>
      <c r="E39" s="94"/>
      <c r="F39" s="94"/>
      <c r="G39" s="3"/>
      <c r="H39" s="3"/>
      <c r="I39" s="3"/>
      <c r="J39" s="3"/>
      <c r="K39" s="3"/>
      <c r="L39" s="3"/>
      <c r="M39" s="3"/>
      <c r="N39" s="9"/>
    </row>
    <row r="40" spans="1:18">
      <c r="A40" s="3"/>
      <c r="B40" s="94"/>
      <c r="C40" s="844" t="s">
        <v>324</v>
      </c>
      <c r="D40" s="844"/>
      <c r="E40" s="844"/>
      <c r="F40" s="844"/>
      <c r="G40" s="3"/>
      <c r="H40" s="3"/>
      <c r="I40" s="3"/>
      <c r="J40" s="3"/>
      <c r="K40" s="3"/>
      <c r="L40" s="3"/>
      <c r="M40" s="3"/>
      <c r="N40" s="9"/>
    </row>
    <row r="41" spans="1:18">
      <c r="A41" s="3"/>
      <c r="B41" s="107" t="s">
        <v>58</v>
      </c>
      <c r="C41" s="652">
        <v>12</v>
      </c>
      <c r="D41" s="652">
        <f>C41+12</f>
        <v>24</v>
      </c>
      <c r="E41" s="652">
        <f t="shared" ref="E41:F41" si="0">D41+12</f>
        <v>36</v>
      </c>
      <c r="F41" s="652">
        <f t="shared" si="0"/>
        <v>48</v>
      </c>
      <c r="G41" s="3"/>
      <c r="H41" s="3"/>
      <c r="I41" s="3"/>
      <c r="J41" s="3"/>
      <c r="K41" s="3"/>
      <c r="L41" s="3"/>
      <c r="M41" s="3"/>
      <c r="N41" s="9"/>
    </row>
    <row r="42" spans="1:18">
      <c r="A42" s="3"/>
      <c r="B42" s="94">
        <f>YEAR(VLOOKUP(C39,$B$23:$D$25,2,))</f>
        <v>2019</v>
      </c>
      <c r="C42" s="651"/>
      <c r="D42" s="651">
        <f>I29</f>
        <v>0</v>
      </c>
      <c r="E42" s="94">
        <f>I31</f>
        <v>6</v>
      </c>
      <c r="F42" s="94">
        <f>E42</f>
        <v>6</v>
      </c>
      <c r="G42" s="3"/>
      <c r="H42" s="3"/>
      <c r="I42" s="3"/>
      <c r="J42" s="3"/>
      <c r="K42" s="3"/>
      <c r="L42" s="3"/>
      <c r="M42" s="3"/>
      <c r="N42" s="9"/>
    </row>
    <row r="43" spans="1:18">
      <c r="A43" s="3"/>
      <c r="B43" s="94"/>
      <c r="C43" s="653"/>
      <c r="D43" s="653"/>
      <c r="E43" s="94"/>
      <c r="F43" s="94"/>
      <c r="G43" s="3"/>
      <c r="H43" s="3"/>
      <c r="I43" s="3"/>
      <c r="J43" s="3"/>
      <c r="K43" s="3"/>
      <c r="L43" s="3"/>
      <c r="M43" s="3"/>
      <c r="N43" s="9"/>
    </row>
    <row r="44" spans="1:18">
      <c r="A44" s="3"/>
      <c r="B44" s="94"/>
      <c r="C44" s="844" t="s">
        <v>14</v>
      </c>
      <c r="D44" s="844"/>
      <c r="E44" s="844"/>
      <c r="F44" s="844"/>
      <c r="G44" s="3"/>
      <c r="H44" s="3"/>
      <c r="I44" s="3"/>
      <c r="J44" s="3"/>
      <c r="K44" s="3"/>
      <c r="L44" s="3"/>
      <c r="M44" s="3"/>
      <c r="N44" s="9"/>
    </row>
    <row r="45" spans="1:18">
      <c r="A45" s="3"/>
      <c r="B45" s="107" t="s">
        <v>58</v>
      </c>
      <c r="C45" s="652">
        <v>12</v>
      </c>
      <c r="D45" s="652">
        <f>C45+12</f>
        <v>24</v>
      </c>
      <c r="E45" s="652">
        <f t="shared" ref="E45:F45" si="1">D45+12</f>
        <v>36</v>
      </c>
      <c r="F45" s="652">
        <f t="shared" si="1"/>
        <v>48</v>
      </c>
      <c r="G45" s="3"/>
      <c r="H45" s="3"/>
      <c r="I45" s="3"/>
      <c r="J45" s="3"/>
      <c r="K45" s="3"/>
      <c r="L45" s="3"/>
      <c r="M45" s="3"/>
      <c r="N45" s="9"/>
    </row>
    <row r="46" spans="1:18">
      <c r="A46" s="3"/>
      <c r="B46" s="94">
        <f>B42</f>
        <v>2019</v>
      </c>
      <c r="C46" s="94"/>
      <c r="D46" s="94">
        <f>H29</f>
        <v>5</v>
      </c>
      <c r="E46" s="94">
        <f>D46+H31</f>
        <v>0</v>
      </c>
      <c r="F46" s="94">
        <v>0</v>
      </c>
      <c r="G46" s="3"/>
      <c r="H46" s="3"/>
      <c r="I46" s="3"/>
      <c r="J46" s="3"/>
      <c r="K46" s="3"/>
      <c r="L46" s="3"/>
      <c r="M46" s="3"/>
      <c r="N46" s="9"/>
    </row>
    <row r="47" spans="1:18">
      <c r="A47" s="3"/>
      <c r="B47" s="94"/>
      <c r="C47" s="653"/>
      <c r="D47" s="653"/>
      <c r="E47" s="94"/>
      <c r="F47" s="94"/>
      <c r="G47" s="3"/>
      <c r="H47" s="3"/>
      <c r="I47" s="3"/>
      <c r="J47" s="3"/>
      <c r="K47" s="3"/>
      <c r="L47" s="3"/>
      <c r="M47" s="3"/>
      <c r="N47" s="9"/>
    </row>
    <row r="48" spans="1:18">
      <c r="A48" s="3"/>
      <c r="B48" s="94"/>
      <c r="C48" s="844" t="s">
        <v>59</v>
      </c>
      <c r="D48" s="844"/>
      <c r="E48" s="844"/>
      <c r="F48" s="844"/>
      <c r="G48" s="3"/>
      <c r="H48" s="3"/>
      <c r="I48" s="3"/>
      <c r="J48" s="3"/>
      <c r="K48" s="3"/>
      <c r="L48" s="3"/>
      <c r="M48" s="3"/>
      <c r="N48" s="9"/>
    </row>
    <row r="49" spans="1:14">
      <c r="A49" s="3"/>
      <c r="B49" s="107" t="s">
        <v>58</v>
      </c>
      <c r="C49" s="652">
        <v>12</v>
      </c>
      <c r="D49" s="652">
        <f>C49+12</f>
        <v>24</v>
      </c>
      <c r="E49" s="652">
        <f t="shared" ref="E49:F49" si="2">D49+12</f>
        <v>36</v>
      </c>
      <c r="F49" s="652">
        <f t="shared" si="2"/>
        <v>48</v>
      </c>
      <c r="G49" s="3"/>
      <c r="H49" s="3"/>
      <c r="I49" s="3"/>
      <c r="J49" s="3"/>
      <c r="K49" s="3"/>
      <c r="L49" s="3"/>
      <c r="M49" s="3"/>
      <c r="N49" s="9"/>
    </row>
    <row r="50" spans="1:14">
      <c r="A50" s="3"/>
      <c r="B50" s="94">
        <f>B46</f>
        <v>2019</v>
      </c>
      <c r="C50" s="34">
        <f>C42+C46</f>
        <v>0</v>
      </c>
      <c r="D50" s="34">
        <f>D42+D46</f>
        <v>5</v>
      </c>
      <c r="E50" s="34">
        <f>E42+E46</f>
        <v>6</v>
      </c>
      <c r="F50" s="34">
        <f>F42+F46</f>
        <v>6</v>
      </c>
      <c r="G50" s="3"/>
      <c r="H50" s="3"/>
      <c r="I50" s="3"/>
      <c r="J50" s="3"/>
      <c r="K50" s="3"/>
      <c r="L50" s="3"/>
      <c r="M50" s="3"/>
      <c r="N50" s="9"/>
    </row>
    <row r="51" spans="1:14">
      <c r="A51" s="3"/>
      <c r="B51" s="94"/>
      <c r="C51" s="653"/>
      <c r="D51" s="653"/>
      <c r="E51" s="94"/>
      <c r="F51" s="94"/>
      <c r="G51" s="3"/>
      <c r="H51" s="3"/>
      <c r="I51" s="3"/>
      <c r="J51" s="3"/>
      <c r="K51" s="3"/>
      <c r="L51" s="3"/>
      <c r="M51" s="3"/>
      <c r="N51" s="9"/>
    </row>
    <row r="52" spans="1:14">
      <c r="A52" s="3"/>
      <c r="B52" s="94" t="s">
        <v>941</v>
      </c>
      <c r="C52" s="651">
        <v>200</v>
      </c>
      <c r="D52" s="651"/>
      <c r="E52" s="94"/>
      <c r="F52" s="94"/>
      <c r="G52" s="3"/>
      <c r="H52" s="3"/>
      <c r="I52" s="3"/>
      <c r="J52" s="3"/>
      <c r="K52" s="3"/>
      <c r="L52" s="3"/>
      <c r="M52" s="3"/>
      <c r="N52" s="9"/>
    </row>
    <row r="53" spans="1:14">
      <c r="A53" s="3"/>
      <c r="B53" s="94"/>
      <c r="C53" s="844" t="s">
        <v>324</v>
      </c>
      <c r="D53" s="844"/>
      <c r="E53" s="844"/>
      <c r="F53" s="94"/>
      <c r="G53" s="3"/>
      <c r="H53" s="3"/>
      <c r="I53" s="3"/>
      <c r="J53" s="3"/>
      <c r="K53" s="3"/>
      <c r="L53" s="3"/>
      <c r="M53" s="3"/>
      <c r="N53" s="9"/>
    </row>
    <row r="54" spans="1:14">
      <c r="A54" s="3"/>
      <c r="B54" s="107" t="s">
        <v>58</v>
      </c>
      <c r="C54" s="652">
        <v>12</v>
      </c>
      <c r="D54" s="652">
        <f>C54+12</f>
        <v>24</v>
      </c>
      <c r="E54" s="652">
        <f t="shared" ref="E54" si="3">D54+12</f>
        <v>36</v>
      </c>
      <c r="F54" s="651"/>
      <c r="G54" s="3"/>
      <c r="H54" s="3"/>
      <c r="I54" s="3"/>
      <c r="J54" s="3"/>
      <c r="K54" s="3"/>
      <c r="L54" s="3"/>
      <c r="M54" s="3"/>
      <c r="N54" s="9"/>
    </row>
    <row r="55" spans="1:14">
      <c r="A55" s="3"/>
      <c r="B55" s="94">
        <f>YEAR(VLOOKUP(C52,$B$23:$D$25,2,))</f>
        <v>2020</v>
      </c>
      <c r="C55" s="651">
        <f>I28</f>
        <v>0</v>
      </c>
      <c r="D55" s="651">
        <f>C55+I32</f>
        <v>6</v>
      </c>
      <c r="E55" s="94">
        <f>D55</f>
        <v>6</v>
      </c>
      <c r="F55" s="94"/>
      <c r="G55" s="3"/>
      <c r="H55" s="3"/>
      <c r="I55" s="3"/>
      <c r="J55" s="3"/>
      <c r="K55" s="3"/>
      <c r="L55" s="3"/>
      <c r="M55" s="3"/>
      <c r="N55" s="9"/>
    </row>
    <row r="56" spans="1:14">
      <c r="A56" s="3"/>
      <c r="B56" s="94"/>
      <c r="C56" s="651"/>
      <c r="D56" s="651"/>
      <c r="E56" s="94"/>
      <c r="F56" s="94"/>
      <c r="G56" s="3"/>
      <c r="H56" s="3"/>
      <c r="I56" s="3"/>
      <c r="J56" s="3"/>
      <c r="K56" s="3"/>
      <c r="L56" s="3"/>
      <c r="M56" s="3"/>
      <c r="N56" s="9"/>
    </row>
    <row r="57" spans="1:14">
      <c r="A57" s="3"/>
      <c r="B57" s="94"/>
      <c r="C57" s="844" t="s">
        <v>14</v>
      </c>
      <c r="D57" s="844"/>
      <c r="E57" s="844"/>
      <c r="F57" s="94"/>
      <c r="G57" s="3"/>
      <c r="H57" s="3"/>
      <c r="I57" s="3"/>
      <c r="J57" s="3"/>
      <c r="K57" s="3"/>
      <c r="L57" s="3"/>
      <c r="M57" s="3"/>
      <c r="N57" s="9"/>
    </row>
    <row r="58" spans="1:14">
      <c r="A58" s="3"/>
      <c r="B58" s="107" t="s">
        <v>58</v>
      </c>
      <c r="C58" s="652">
        <v>12</v>
      </c>
      <c r="D58" s="652">
        <f>C58+12</f>
        <v>24</v>
      </c>
      <c r="E58" s="652">
        <f t="shared" ref="E58" si="4">D58+12</f>
        <v>36</v>
      </c>
      <c r="F58" s="651"/>
      <c r="G58" s="3"/>
      <c r="H58" s="3"/>
      <c r="I58" s="3"/>
      <c r="J58" s="3"/>
      <c r="K58" s="3"/>
      <c r="L58" s="3"/>
      <c r="M58" s="3"/>
      <c r="N58" s="9"/>
    </row>
    <row r="59" spans="1:14">
      <c r="A59" s="3"/>
      <c r="B59" s="94">
        <f>B55</f>
        <v>2020</v>
      </c>
      <c r="C59" s="94">
        <f>H28</f>
        <v>17</v>
      </c>
      <c r="D59" s="94">
        <f>C59+H32</f>
        <v>4</v>
      </c>
      <c r="E59" s="94">
        <f>D59</f>
        <v>4</v>
      </c>
      <c r="F59" s="94"/>
      <c r="G59" s="3"/>
      <c r="H59" s="3"/>
      <c r="I59" s="3"/>
      <c r="J59" s="3"/>
      <c r="K59" s="3"/>
      <c r="L59" s="3"/>
      <c r="M59" s="3"/>
      <c r="N59" s="9"/>
    </row>
    <row r="60" spans="1:14">
      <c r="A60" s="3"/>
      <c r="B60" s="94"/>
      <c r="C60" s="651"/>
      <c r="D60" s="651"/>
      <c r="E60" s="94"/>
      <c r="F60" s="94"/>
      <c r="G60" s="3"/>
      <c r="H60" s="3"/>
      <c r="I60" s="3"/>
      <c r="J60" s="3"/>
      <c r="K60" s="3"/>
      <c r="L60" s="3"/>
      <c r="M60" s="3"/>
      <c r="N60" s="9"/>
    </row>
    <row r="61" spans="1:14">
      <c r="A61" s="3"/>
      <c r="B61" s="94"/>
      <c r="C61" s="844" t="s">
        <v>59</v>
      </c>
      <c r="D61" s="844"/>
      <c r="E61" s="844"/>
      <c r="F61" s="94"/>
      <c r="G61" s="3"/>
      <c r="H61" s="3"/>
      <c r="I61" s="3"/>
      <c r="J61" s="3"/>
      <c r="K61" s="3"/>
      <c r="L61" s="3"/>
      <c r="M61" s="3"/>
      <c r="N61" s="9"/>
    </row>
    <row r="62" spans="1:14">
      <c r="A62" s="3"/>
      <c r="B62" s="107" t="s">
        <v>58</v>
      </c>
      <c r="C62" s="652">
        <v>12</v>
      </c>
      <c r="D62" s="652">
        <f>C62+12</f>
        <v>24</v>
      </c>
      <c r="E62" s="652">
        <f t="shared" ref="E62" si="5">D62+12</f>
        <v>36</v>
      </c>
      <c r="F62" s="651"/>
      <c r="G62" s="3"/>
      <c r="H62" s="3"/>
      <c r="I62" s="3"/>
      <c r="J62" s="3"/>
      <c r="K62" s="3"/>
      <c r="L62" s="3"/>
      <c r="M62" s="3"/>
      <c r="N62" s="9"/>
    </row>
    <row r="63" spans="1:14">
      <c r="A63" s="3"/>
      <c r="B63" s="94">
        <f>B59</f>
        <v>2020</v>
      </c>
      <c r="C63" s="34">
        <f>C55+C59</f>
        <v>17</v>
      </c>
      <c r="D63" s="34">
        <f>D55+D59</f>
        <v>10</v>
      </c>
      <c r="E63" s="34">
        <f>E55+E59</f>
        <v>10</v>
      </c>
      <c r="F63" s="34"/>
      <c r="G63" s="3"/>
      <c r="H63" s="3"/>
      <c r="I63" s="3"/>
      <c r="J63" s="3"/>
      <c r="K63" s="3"/>
      <c r="L63" s="3"/>
      <c r="M63" s="3"/>
      <c r="N63" s="9"/>
    </row>
    <row r="64" spans="1:14">
      <c r="A64" s="3"/>
      <c r="B64" s="94"/>
      <c r="C64" s="653"/>
      <c r="D64" s="653"/>
      <c r="E64" s="94"/>
      <c r="F64" s="94"/>
      <c r="G64" s="3"/>
      <c r="H64" s="3"/>
      <c r="I64" s="3"/>
      <c r="J64" s="3"/>
      <c r="K64" s="3"/>
      <c r="L64" s="3"/>
      <c r="M64" s="3"/>
      <c r="N64" s="9"/>
    </row>
    <row r="65" spans="1:14">
      <c r="A65" s="3"/>
      <c r="B65" s="94" t="s">
        <v>941</v>
      </c>
      <c r="C65" s="651">
        <v>300</v>
      </c>
      <c r="D65" s="651"/>
      <c r="E65" s="94"/>
      <c r="F65" s="94"/>
      <c r="G65" s="3"/>
      <c r="H65" s="3"/>
      <c r="I65" s="3"/>
      <c r="J65" s="3"/>
      <c r="K65" s="3"/>
      <c r="L65" s="3"/>
      <c r="M65" s="3"/>
      <c r="N65" s="9"/>
    </row>
    <row r="66" spans="1:14">
      <c r="A66" s="3"/>
      <c r="B66" s="94"/>
      <c r="C66" s="844" t="s">
        <v>324</v>
      </c>
      <c r="D66" s="844"/>
      <c r="E66" s="274"/>
      <c r="F66" s="274"/>
      <c r="G66" s="3"/>
      <c r="H66" s="3"/>
      <c r="I66" s="3"/>
      <c r="J66" s="3"/>
      <c r="K66" s="3"/>
      <c r="L66" s="3"/>
      <c r="M66" s="3"/>
      <c r="N66" s="9"/>
    </row>
    <row r="67" spans="1:14">
      <c r="A67" s="3"/>
      <c r="B67" s="107" t="s">
        <v>58</v>
      </c>
      <c r="C67" s="652">
        <v>12</v>
      </c>
      <c r="D67" s="652">
        <f>C67+12</f>
        <v>24</v>
      </c>
      <c r="E67" s="18"/>
      <c r="F67" s="651"/>
      <c r="G67" s="3"/>
      <c r="H67" s="3"/>
      <c r="I67" s="3"/>
      <c r="J67" s="3"/>
      <c r="K67" s="3"/>
      <c r="L67" s="3"/>
      <c r="M67" s="3"/>
      <c r="N67" s="9"/>
    </row>
    <row r="68" spans="1:14">
      <c r="A68" s="3"/>
      <c r="B68" s="94">
        <f>YEAR(VLOOKUP(C65,$B$23:$D$25,2,))</f>
        <v>2021</v>
      </c>
      <c r="C68" s="651">
        <f>I30</f>
        <v>0</v>
      </c>
      <c r="D68" s="651">
        <f>C68+I33</f>
        <v>11</v>
      </c>
      <c r="E68" s="18"/>
      <c r="F68" s="94"/>
      <c r="G68" s="3"/>
      <c r="H68" s="3"/>
      <c r="I68" s="3"/>
      <c r="J68" s="3"/>
      <c r="K68" s="3"/>
      <c r="L68" s="3"/>
      <c r="M68" s="3"/>
      <c r="N68" s="9"/>
    </row>
    <row r="69" spans="1:14">
      <c r="A69" s="3"/>
      <c r="B69" s="94"/>
      <c r="C69" s="651"/>
      <c r="D69" s="651"/>
      <c r="E69" s="18"/>
      <c r="F69" s="94"/>
      <c r="G69" s="3"/>
      <c r="H69" s="3"/>
      <c r="I69" s="3"/>
      <c r="J69" s="3"/>
      <c r="K69" s="3"/>
      <c r="L69" s="3"/>
      <c r="M69" s="3"/>
      <c r="N69" s="9"/>
    </row>
    <row r="70" spans="1:14">
      <c r="A70" s="3"/>
      <c r="B70" s="94"/>
      <c r="C70" s="844" t="s">
        <v>14</v>
      </c>
      <c r="D70" s="844"/>
      <c r="E70" s="274"/>
      <c r="F70" s="274"/>
      <c r="G70" s="3"/>
      <c r="H70" s="3"/>
      <c r="I70" s="3"/>
      <c r="J70" s="3"/>
      <c r="K70" s="3"/>
      <c r="L70" s="3"/>
      <c r="M70" s="3"/>
      <c r="N70" s="9"/>
    </row>
    <row r="71" spans="1:14">
      <c r="A71" s="3"/>
      <c r="B71" s="107" t="s">
        <v>58</v>
      </c>
      <c r="C71" s="652">
        <v>12</v>
      </c>
      <c r="D71" s="652">
        <f>C71+12</f>
        <v>24</v>
      </c>
      <c r="E71" s="18"/>
      <c r="F71" s="651"/>
      <c r="G71" s="3"/>
      <c r="H71" s="3"/>
      <c r="I71" s="3"/>
      <c r="J71" s="3"/>
      <c r="K71" s="3"/>
      <c r="L71" s="3"/>
      <c r="M71" s="3"/>
      <c r="N71" s="9"/>
    </row>
    <row r="72" spans="1:14">
      <c r="A72" s="3"/>
      <c r="B72" s="94">
        <f>B68</f>
        <v>2021</v>
      </c>
      <c r="C72" s="94">
        <f>H30</f>
        <v>29</v>
      </c>
      <c r="D72" s="94">
        <f>C72</f>
        <v>29</v>
      </c>
      <c r="E72" s="18"/>
      <c r="F72" s="94"/>
      <c r="G72" s="3"/>
      <c r="H72" s="3"/>
      <c r="I72" s="3"/>
      <c r="J72" s="3"/>
      <c r="K72" s="3"/>
      <c r="L72" s="3"/>
      <c r="M72" s="3"/>
      <c r="N72" s="9"/>
    </row>
    <row r="73" spans="1:14">
      <c r="A73" s="3"/>
      <c r="B73" s="94"/>
      <c r="C73" s="651"/>
      <c r="D73" s="651"/>
      <c r="E73" s="18"/>
      <c r="F73" s="94"/>
      <c r="G73" s="3"/>
      <c r="H73" s="3"/>
      <c r="I73" s="3"/>
      <c r="J73" s="3"/>
      <c r="K73" s="3"/>
      <c r="L73" s="3"/>
      <c r="M73" s="3"/>
      <c r="N73" s="9"/>
    </row>
    <row r="74" spans="1:14">
      <c r="A74" s="3"/>
      <c r="B74" s="94"/>
      <c r="C74" s="844" t="s">
        <v>59</v>
      </c>
      <c r="D74" s="844"/>
      <c r="E74" s="274"/>
      <c r="F74" s="274"/>
      <c r="G74" s="3"/>
      <c r="H74" s="3"/>
      <c r="I74" s="3"/>
      <c r="J74" s="3"/>
      <c r="K74" s="3"/>
      <c r="L74" s="3"/>
      <c r="M74" s="3"/>
      <c r="N74" s="9"/>
    </row>
    <row r="75" spans="1:14">
      <c r="A75" s="3"/>
      <c r="B75" s="107" t="s">
        <v>58</v>
      </c>
      <c r="C75" s="652">
        <v>12</v>
      </c>
      <c r="D75" s="652">
        <f>C75+12</f>
        <v>24</v>
      </c>
      <c r="E75" s="18"/>
      <c r="F75" s="651"/>
      <c r="G75" s="3"/>
      <c r="H75" s="3"/>
      <c r="I75" s="3"/>
      <c r="J75" s="3"/>
      <c r="K75" s="3"/>
      <c r="L75" s="3"/>
      <c r="M75" s="3"/>
      <c r="N75" s="9"/>
    </row>
    <row r="76" spans="1:14">
      <c r="A76" s="3"/>
      <c r="B76" s="94">
        <f>B72</f>
        <v>2021</v>
      </c>
      <c r="C76" s="34">
        <f>C68+C72</f>
        <v>29</v>
      </c>
      <c r="D76" s="34">
        <f>D68+D72</f>
        <v>40</v>
      </c>
      <c r="E76" s="18"/>
      <c r="F76" s="34"/>
      <c r="G76" s="3"/>
      <c r="H76" s="3"/>
      <c r="I76" s="3"/>
      <c r="J76" s="3"/>
      <c r="K76" s="3"/>
      <c r="L76" s="3"/>
      <c r="M76" s="3"/>
      <c r="N76" s="9"/>
    </row>
    <row r="77" spans="1:14">
      <c r="A77" s="3"/>
      <c r="B77" s="18"/>
      <c r="C77" s="18"/>
      <c r="D77" s="18"/>
      <c r="E77" s="18"/>
      <c r="F77" s="18"/>
      <c r="G77" s="3"/>
      <c r="H77" s="3"/>
      <c r="I77" s="3"/>
      <c r="J77" s="3"/>
      <c r="K77" s="3"/>
      <c r="L77" s="3"/>
      <c r="M77" s="3"/>
      <c r="N77" s="9"/>
    </row>
    <row r="78" spans="1:14">
      <c r="A78" s="3"/>
      <c r="B78" s="94" t="s">
        <v>53</v>
      </c>
      <c r="C78" s="653" t="s">
        <v>88</v>
      </c>
      <c r="D78" s="653"/>
      <c r="E78" s="653"/>
      <c r="F78" s="653"/>
      <c r="G78" s="3"/>
      <c r="H78" s="3"/>
      <c r="I78" s="3"/>
      <c r="J78" s="3"/>
      <c r="K78" s="3"/>
      <c r="L78" s="3"/>
      <c r="M78" s="3"/>
      <c r="N78" s="9"/>
    </row>
    <row r="79" spans="1:14">
      <c r="A79" s="3"/>
      <c r="B79" s="107" t="s">
        <v>55</v>
      </c>
      <c r="C79" s="652">
        <v>12</v>
      </c>
      <c r="D79" s="652">
        <v>24</v>
      </c>
      <c r="E79" s="652">
        <v>36</v>
      </c>
      <c r="F79" s="652">
        <v>48</v>
      </c>
      <c r="G79" s="3"/>
      <c r="H79" s="3"/>
      <c r="I79" s="3"/>
      <c r="J79" s="3"/>
      <c r="K79" s="3"/>
      <c r="L79" s="3"/>
      <c r="M79" s="3"/>
      <c r="N79" s="9"/>
    </row>
    <row r="80" spans="1:14">
      <c r="A80" s="3"/>
      <c r="B80" s="94">
        <v>2019</v>
      </c>
      <c r="C80" s="106">
        <f>$C7+C50</f>
        <v>1148</v>
      </c>
      <c r="D80" s="106">
        <f>$D7+D50</f>
        <v>1788</v>
      </c>
      <c r="E80" s="106">
        <f>$E7+E50</f>
        <v>2532</v>
      </c>
      <c r="F80" s="106">
        <f>$F7+F50</f>
        <v>3416</v>
      </c>
      <c r="G80" s="3"/>
      <c r="H80" s="3"/>
      <c r="I80" s="3"/>
      <c r="J80" s="3"/>
      <c r="K80" s="3"/>
      <c r="L80" s="3"/>
      <c r="M80" s="3"/>
      <c r="N80" s="9"/>
    </row>
    <row r="81" spans="1:14">
      <c r="A81" s="3"/>
      <c r="B81" s="94">
        <v>2020</v>
      </c>
      <c r="C81" s="106">
        <f>$C8+C63</f>
        <v>3444</v>
      </c>
      <c r="D81" s="106">
        <f>$D8+D63</f>
        <v>4903</v>
      </c>
      <c r="E81" s="106">
        <f>$E8+E63</f>
        <v>6857</v>
      </c>
      <c r="F81" s="106"/>
      <c r="G81" s="3"/>
      <c r="H81" s="3"/>
      <c r="I81" s="3"/>
      <c r="J81" s="3"/>
      <c r="K81" s="3"/>
      <c r="L81" s="3"/>
      <c r="M81" s="3"/>
      <c r="N81" s="9"/>
    </row>
    <row r="82" spans="1:14">
      <c r="A82" s="3"/>
      <c r="B82" s="94">
        <v>2021</v>
      </c>
      <c r="C82" s="106">
        <f>$C9+C76</f>
        <v>5739</v>
      </c>
      <c r="D82" s="106">
        <f>$D9+D76</f>
        <v>12210</v>
      </c>
      <c r="E82" s="106"/>
      <c r="F82" s="106"/>
      <c r="G82" s="3"/>
      <c r="H82" s="3"/>
      <c r="I82" s="3"/>
      <c r="J82" s="3"/>
      <c r="K82" s="3"/>
      <c r="L82" s="3"/>
      <c r="M82" s="3"/>
      <c r="N82" s="9"/>
    </row>
    <row r="83" spans="1:14">
      <c r="A83" s="3"/>
      <c r="B83" s="94">
        <v>2022</v>
      </c>
      <c r="C83" s="106">
        <f>$C10</f>
        <v>8035</v>
      </c>
      <c r="D83" s="106"/>
      <c r="E83" s="106"/>
      <c r="F83" s="106"/>
      <c r="G83" s="3"/>
      <c r="H83" s="3"/>
      <c r="I83" s="3"/>
      <c r="J83" s="3"/>
      <c r="K83" s="3"/>
      <c r="L83" s="3"/>
      <c r="M83" s="3"/>
      <c r="N83" s="9"/>
    </row>
    <row r="84" spans="1:14">
      <c r="A84" s="3"/>
      <c r="B84" s="94"/>
      <c r="C84" s="106"/>
      <c r="D84" s="106"/>
      <c r="E84" s="106"/>
      <c r="F84" s="106"/>
      <c r="G84" s="3"/>
      <c r="H84" s="3"/>
      <c r="I84" s="3"/>
      <c r="J84" s="3"/>
      <c r="K84" s="3"/>
      <c r="L84" s="3"/>
      <c r="M84" s="3"/>
      <c r="N84" s="9"/>
    </row>
    <row r="85" spans="1:14">
      <c r="A85" s="3"/>
      <c r="B85" s="94" t="s">
        <v>53</v>
      </c>
      <c r="C85" s="653" t="s">
        <v>89</v>
      </c>
      <c r="D85" s="653"/>
      <c r="E85" s="653"/>
      <c r="F85" s="653"/>
      <c r="G85" s="3"/>
      <c r="H85" s="3"/>
      <c r="I85" s="3"/>
      <c r="J85" s="3"/>
      <c r="K85" s="3"/>
      <c r="L85" s="3"/>
      <c r="M85" s="3"/>
      <c r="N85" s="9"/>
    </row>
    <row r="86" spans="1:14">
      <c r="A86" s="3"/>
      <c r="B86" s="107" t="s">
        <v>55</v>
      </c>
      <c r="C86" s="652">
        <v>12</v>
      </c>
      <c r="D86" s="652">
        <v>24</v>
      </c>
      <c r="E86" s="652">
        <v>36</v>
      </c>
      <c r="F86" s="652">
        <v>48</v>
      </c>
      <c r="G86" s="3"/>
      <c r="H86" s="3"/>
      <c r="I86" s="3"/>
      <c r="J86" s="3"/>
      <c r="K86" s="3"/>
      <c r="L86" s="3"/>
      <c r="M86" s="3"/>
      <c r="N86" s="9"/>
    </row>
    <row r="87" spans="1:14">
      <c r="A87" s="3"/>
      <c r="B87" s="94">
        <v>2019</v>
      </c>
      <c r="C87" s="106">
        <f>$C14+C42</f>
        <v>138</v>
      </c>
      <c r="D87" s="106">
        <f>$D14+D42</f>
        <v>466</v>
      </c>
      <c r="E87" s="106">
        <f>$E14+E42</f>
        <v>888</v>
      </c>
      <c r="F87" s="106">
        <f>$F14+F42</f>
        <v>1431</v>
      </c>
      <c r="G87" s="3"/>
      <c r="H87" s="3"/>
      <c r="I87" s="3"/>
      <c r="J87" s="3"/>
      <c r="K87" s="3"/>
      <c r="L87" s="3"/>
      <c r="M87" s="3"/>
      <c r="N87" s="9"/>
    </row>
    <row r="88" spans="1:14">
      <c r="A88" s="3"/>
      <c r="B88" s="94">
        <v>2020</v>
      </c>
      <c r="C88" s="106">
        <f>$C15+C55</f>
        <v>413</v>
      </c>
      <c r="D88" s="106">
        <f>$D15+D55</f>
        <v>1275</v>
      </c>
      <c r="E88" s="106">
        <f>$E15+E55</f>
        <v>3154</v>
      </c>
      <c r="F88" s="106"/>
      <c r="G88" s="3"/>
      <c r="H88" s="3"/>
      <c r="I88" s="3"/>
      <c r="J88" s="3"/>
      <c r="K88" s="3"/>
      <c r="L88" s="3"/>
      <c r="M88" s="3"/>
      <c r="N88" s="9"/>
    </row>
    <row r="89" spans="1:14">
      <c r="A89" s="3"/>
      <c r="B89" s="94">
        <v>2021</v>
      </c>
      <c r="C89" s="106">
        <f>$C16+C68</f>
        <v>689</v>
      </c>
      <c r="D89" s="106">
        <f>$D16+D68</f>
        <v>4151</v>
      </c>
      <c r="E89" s="106"/>
      <c r="F89" s="106"/>
      <c r="G89" s="3"/>
      <c r="H89" s="3"/>
      <c r="I89" s="3"/>
      <c r="J89" s="3"/>
      <c r="K89" s="3"/>
      <c r="L89" s="3"/>
      <c r="M89" s="3"/>
      <c r="N89" s="9"/>
    </row>
    <row r="90" spans="1:14">
      <c r="A90" s="3"/>
      <c r="B90" s="94">
        <v>2022</v>
      </c>
      <c r="C90" s="106">
        <f>$C17</f>
        <v>1286</v>
      </c>
      <c r="D90" s="106"/>
      <c r="E90" s="106"/>
      <c r="F90" s="106"/>
      <c r="G90" s="3"/>
      <c r="H90" s="3"/>
      <c r="I90" s="3"/>
      <c r="J90" s="3"/>
      <c r="K90" s="3"/>
      <c r="L90" s="3"/>
      <c r="M90" s="3"/>
      <c r="N90" s="9"/>
    </row>
    <row r="92" spans="1:14">
      <c r="A92" s="17" t="s">
        <v>133</v>
      </c>
      <c r="B92" s="1" t="s">
        <v>1965</v>
      </c>
      <c r="C92" s="1"/>
      <c r="D92" s="1"/>
      <c r="E92" s="1"/>
      <c r="F92" s="1"/>
      <c r="G92" s="1"/>
      <c r="H92" s="1"/>
      <c r="I92" s="1"/>
      <c r="J92" s="1"/>
      <c r="K92" s="1"/>
      <c r="L92" s="1"/>
    </row>
    <row r="93" spans="1:14">
      <c r="A93" s="3"/>
      <c r="B93" s="3"/>
      <c r="C93" s="3"/>
      <c r="D93" s="3"/>
      <c r="E93" s="3"/>
      <c r="F93" s="3"/>
      <c r="G93" s="3"/>
      <c r="H93" s="3"/>
      <c r="I93" s="3"/>
      <c r="J93" s="3"/>
      <c r="K93" s="3"/>
      <c r="L93" s="3"/>
    </row>
    <row r="94" spans="1:14">
      <c r="A94" s="3" t="s">
        <v>20</v>
      </c>
      <c r="B94" s="3"/>
      <c r="C94" s="3"/>
      <c r="D94" s="3"/>
      <c r="E94" s="3"/>
      <c r="F94" s="3"/>
      <c r="G94" s="3"/>
      <c r="H94" s="3"/>
      <c r="I94" s="3"/>
      <c r="J94" s="3"/>
      <c r="K94" s="3"/>
      <c r="L94" s="3"/>
    </row>
    <row r="95" spans="1:14">
      <c r="M95" s="3"/>
    </row>
    <row r="96" spans="1:14">
      <c r="B96" s="94" t="s">
        <v>53</v>
      </c>
      <c r="C96" s="653" t="s">
        <v>491</v>
      </c>
      <c r="D96" s="653"/>
      <c r="E96" s="653"/>
      <c r="F96" s="653"/>
      <c r="M96" s="3"/>
    </row>
    <row r="97" spans="1:13">
      <c r="B97" s="107" t="s">
        <v>55</v>
      </c>
      <c r="C97" s="652">
        <v>12</v>
      </c>
      <c r="D97" s="652">
        <v>24</v>
      </c>
      <c r="E97" s="652">
        <v>36</v>
      </c>
      <c r="F97" s="652">
        <v>48</v>
      </c>
      <c r="M97" s="3"/>
    </row>
    <row r="98" spans="1:13">
      <c r="B98" s="94">
        <v>2019</v>
      </c>
      <c r="C98" s="240">
        <f>C87/C80</f>
        <v>0.12020905923344948</v>
      </c>
      <c r="D98" s="240">
        <f>D87/D80</f>
        <v>0.26062639821029082</v>
      </c>
      <c r="E98" s="240">
        <f>E87/E80</f>
        <v>0.35071090047393366</v>
      </c>
      <c r="F98" s="240">
        <f>F87/F80</f>
        <v>0.41891100702576112</v>
      </c>
      <c r="M98" s="3"/>
    </row>
    <row r="99" spans="1:13">
      <c r="B99" s="94">
        <v>2020</v>
      </c>
      <c r="C99" s="240">
        <f>C88/C81</f>
        <v>0.11991869918699187</v>
      </c>
      <c r="D99" s="240">
        <f>D88/D81</f>
        <v>0.26004487048745667</v>
      </c>
      <c r="E99" s="240">
        <f>E88/E81</f>
        <v>0.45996791599824999</v>
      </c>
      <c r="F99" s="240"/>
      <c r="M99" s="3"/>
    </row>
    <row r="100" spans="1:13">
      <c r="B100" s="94">
        <v>2021</v>
      </c>
      <c r="C100" s="240">
        <f>C89/C82</f>
        <v>0.12005575884300401</v>
      </c>
      <c r="D100" s="240">
        <f>D89/D82</f>
        <v>0.33996723996723999</v>
      </c>
      <c r="E100" s="240"/>
      <c r="F100" s="240"/>
      <c r="M100" s="3"/>
    </row>
    <row r="101" spans="1:13">
      <c r="B101" s="94">
        <v>2022</v>
      </c>
      <c r="C101" s="240">
        <f>C90/C83</f>
        <v>0.16004978220286248</v>
      </c>
      <c r="D101" s="240"/>
      <c r="E101" s="240"/>
      <c r="F101" s="240"/>
      <c r="M101" s="3"/>
    </row>
    <row r="102" spans="1:13">
      <c r="M102" s="3"/>
    </row>
    <row r="103" spans="1:13">
      <c r="B103" s="2" t="s">
        <v>1966</v>
      </c>
    </row>
    <row r="105" spans="1:13">
      <c r="A105" s="17" t="s">
        <v>18</v>
      </c>
      <c r="B105" s="1" t="s">
        <v>1967</v>
      </c>
      <c r="C105" s="1"/>
      <c r="D105" s="1"/>
      <c r="E105" s="1"/>
      <c r="F105" s="1"/>
      <c r="G105" s="1"/>
      <c r="H105" s="1"/>
      <c r="I105" s="1"/>
      <c r="J105" s="1"/>
      <c r="K105" s="1"/>
      <c r="L105" s="1"/>
    </row>
    <row r="106" spans="1:13">
      <c r="A106" s="3"/>
      <c r="B106" s="3"/>
      <c r="C106" s="3"/>
      <c r="D106" s="3"/>
      <c r="E106" s="3"/>
      <c r="F106" s="3"/>
      <c r="G106" s="3"/>
      <c r="H106" s="3"/>
      <c r="I106" s="3"/>
      <c r="J106" s="3"/>
      <c r="K106" s="3"/>
      <c r="L106" s="3"/>
    </row>
    <row r="107" spans="1:13">
      <c r="A107" s="3" t="s">
        <v>20</v>
      </c>
      <c r="B107" s="3"/>
      <c r="C107" s="3"/>
      <c r="D107" s="3"/>
      <c r="E107" s="3"/>
      <c r="F107" s="3"/>
      <c r="G107" s="3"/>
      <c r="H107" s="3"/>
      <c r="I107" s="3"/>
      <c r="J107" s="3"/>
      <c r="K107" s="3"/>
      <c r="L107" s="3"/>
    </row>
    <row r="108" spans="1:13">
      <c r="A108" s="3"/>
      <c r="B108" s="3"/>
      <c r="C108" s="3"/>
      <c r="D108" s="3"/>
      <c r="E108" s="3"/>
      <c r="F108" s="3"/>
      <c r="G108" s="3"/>
      <c r="H108" s="3"/>
      <c r="I108" s="3"/>
      <c r="J108" s="3"/>
      <c r="K108" s="3"/>
      <c r="L108" s="3"/>
    </row>
    <row r="109" spans="1:13">
      <c r="A109" s="3"/>
      <c r="B109" s="3" t="s">
        <v>1968</v>
      </c>
      <c r="C109" s="3"/>
      <c r="D109" s="3"/>
      <c r="E109" s="3"/>
      <c r="F109" s="3"/>
      <c r="G109" s="3"/>
      <c r="H109" s="3"/>
      <c r="I109" s="3"/>
      <c r="J109" s="3"/>
      <c r="K109" s="3"/>
      <c r="L109" s="3"/>
    </row>
    <row r="110" spans="1:13">
      <c r="B110" s="2" t="s">
        <v>1969</v>
      </c>
    </row>
    <row r="113" spans="1:13">
      <c r="A113" s="14"/>
      <c r="B113" s="14"/>
      <c r="C113" s="14"/>
      <c r="D113" s="14"/>
      <c r="E113" s="14"/>
      <c r="F113" s="14"/>
      <c r="G113" s="1"/>
      <c r="H113" s="1"/>
      <c r="I113" s="1"/>
      <c r="J113" s="1"/>
      <c r="K113" s="1"/>
      <c r="L113" s="1"/>
    </row>
    <row r="114" spans="1:13">
      <c r="A114" s="1" t="s">
        <v>1970</v>
      </c>
      <c r="B114" s="1"/>
      <c r="C114" s="1"/>
      <c r="D114" s="1"/>
      <c r="E114" s="1"/>
      <c r="F114" s="14"/>
      <c r="G114" s="1"/>
      <c r="H114" s="1"/>
      <c r="I114" s="1"/>
      <c r="J114" s="1"/>
      <c r="K114" s="1"/>
      <c r="L114" s="1"/>
    </row>
    <row r="115" spans="1:13">
      <c r="A115" s="1"/>
      <c r="B115" s="1"/>
      <c r="C115" s="1"/>
      <c r="D115" s="1"/>
      <c r="E115" s="1"/>
      <c r="F115" s="14"/>
      <c r="G115" s="1"/>
      <c r="H115" s="1"/>
      <c r="I115" s="1"/>
      <c r="J115" s="1"/>
      <c r="K115" s="1"/>
      <c r="L115" s="1"/>
    </row>
    <row r="116" spans="1:13">
      <c r="A116" s="1"/>
      <c r="B116" s="829" t="s">
        <v>1653</v>
      </c>
      <c r="C116" s="829"/>
      <c r="D116" s="1"/>
      <c r="E116" s="1"/>
      <c r="F116" s="14"/>
      <c r="G116" s="1"/>
      <c r="H116" s="1"/>
      <c r="I116" s="1"/>
      <c r="J116" s="1"/>
      <c r="K116" s="1"/>
      <c r="L116" s="1"/>
    </row>
    <row r="117" spans="1:13">
      <c r="A117" s="1"/>
      <c r="B117" s="451">
        <v>43830</v>
      </c>
      <c r="C117" s="7">
        <v>4591</v>
      </c>
      <c r="D117" s="1"/>
      <c r="E117" s="1"/>
      <c r="F117" s="14"/>
      <c r="G117" s="1"/>
      <c r="H117" s="1"/>
      <c r="I117" s="1"/>
      <c r="J117" s="1"/>
      <c r="K117" s="1"/>
      <c r="L117" s="1"/>
    </row>
    <row r="118" spans="1:13">
      <c r="A118" s="1"/>
      <c r="B118" s="451">
        <v>44196</v>
      </c>
      <c r="C118" s="7">
        <v>17722</v>
      </c>
      <c r="D118" s="1"/>
      <c r="E118" s="1"/>
      <c r="F118" s="14"/>
      <c r="G118" s="1"/>
      <c r="H118" s="1"/>
      <c r="I118" s="1"/>
      <c r="J118" s="1"/>
      <c r="K118" s="1"/>
      <c r="L118" s="1"/>
    </row>
    <row r="119" spans="1:13">
      <c r="A119" s="1"/>
      <c r="B119" s="451">
        <v>44561</v>
      </c>
      <c r="C119" s="7">
        <v>38476</v>
      </c>
      <c r="D119" s="1"/>
      <c r="E119" s="1"/>
      <c r="F119" s="14"/>
      <c r="G119" s="1"/>
      <c r="H119" s="1"/>
      <c r="I119" s="1"/>
      <c r="J119" s="1"/>
      <c r="K119" s="1"/>
      <c r="L119" s="1"/>
    </row>
    <row r="120" spans="1:13">
      <c r="A120" s="1"/>
      <c r="B120" s="451">
        <v>44926</v>
      </c>
      <c r="C120" s="7">
        <v>61299</v>
      </c>
      <c r="D120" s="1"/>
      <c r="E120" s="1"/>
      <c r="F120" s="14"/>
      <c r="G120" s="1"/>
      <c r="H120" s="1"/>
      <c r="I120" s="1"/>
      <c r="J120" s="1"/>
      <c r="K120" s="1"/>
      <c r="L120" s="1"/>
    </row>
    <row r="121" spans="1:13">
      <c r="A121" s="14"/>
      <c r="B121" s="14"/>
      <c r="C121" s="14"/>
      <c r="D121" s="14"/>
      <c r="E121" s="14"/>
      <c r="F121" s="14"/>
      <c r="G121" s="1"/>
      <c r="H121" s="1"/>
      <c r="I121" s="1"/>
      <c r="J121" s="1"/>
      <c r="K121" s="1"/>
      <c r="L121" s="1"/>
    </row>
    <row r="123" spans="1:13">
      <c r="A123" s="17" t="s">
        <v>25</v>
      </c>
      <c r="B123" s="1" t="s">
        <v>1971</v>
      </c>
      <c r="C123" s="1"/>
      <c r="D123" s="1"/>
      <c r="E123" s="1"/>
      <c r="F123" s="1"/>
      <c r="G123" s="1"/>
      <c r="H123" s="1"/>
      <c r="I123" s="1"/>
      <c r="J123" s="1"/>
      <c r="K123" s="1"/>
      <c r="L123" s="1"/>
    </row>
    <row r="124" spans="1:13">
      <c r="A124" s="3"/>
      <c r="B124" s="3"/>
      <c r="C124" s="3"/>
      <c r="D124" s="3"/>
      <c r="E124" s="3"/>
      <c r="F124" s="3"/>
      <c r="G124" s="3"/>
      <c r="H124" s="3"/>
      <c r="I124" s="3"/>
      <c r="J124" s="3"/>
      <c r="K124" s="3"/>
      <c r="L124" s="3"/>
    </row>
    <row r="125" spans="1:13">
      <c r="A125" s="3" t="s">
        <v>20</v>
      </c>
      <c r="B125" s="3"/>
      <c r="C125" s="3"/>
      <c r="D125" s="3"/>
      <c r="E125" s="3"/>
      <c r="F125" s="3"/>
      <c r="G125" s="3"/>
      <c r="H125" s="3"/>
      <c r="I125" s="3"/>
      <c r="J125" s="3"/>
      <c r="K125" s="3"/>
      <c r="L125" s="3"/>
    </row>
    <row r="127" spans="1:13">
      <c r="C127" s="2" t="s">
        <v>1972</v>
      </c>
      <c r="D127" s="11"/>
      <c r="F127" s="11">
        <f>C82+D81+E80</f>
        <v>13174</v>
      </c>
      <c r="H127" s="11"/>
    </row>
    <row r="128" spans="1:13">
      <c r="C128" s="2" t="s">
        <v>1973</v>
      </c>
      <c r="D128" s="11"/>
      <c r="F128" s="11">
        <f>C81+D80</f>
        <v>5232</v>
      </c>
      <c r="H128" s="11"/>
      <c r="M128" s="3"/>
    </row>
    <row r="129" spans="3:13">
      <c r="C129" s="2" t="s">
        <v>1974</v>
      </c>
      <c r="D129" s="11"/>
      <c r="F129" s="11"/>
      <c r="M129" s="3"/>
    </row>
    <row r="130" spans="3:13">
      <c r="C130" s="578" t="s">
        <v>1975</v>
      </c>
      <c r="D130" s="11">
        <f>F127+C119</f>
        <v>51650</v>
      </c>
      <c r="E130" s="575" t="s">
        <v>1976</v>
      </c>
      <c r="F130" s="11">
        <f>F128+C118</f>
        <v>22954</v>
      </c>
      <c r="G130" s="575" t="s">
        <v>1630</v>
      </c>
      <c r="H130" s="11">
        <f>D130-F130</f>
        <v>28696</v>
      </c>
    </row>
  </sheetData>
  <mergeCells count="19">
    <mergeCell ref="C48:F48"/>
    <mergeCell ref="C5:F5"/>
    <mergeCell ref="C12:F12"/>
    <mergeCell ref="E27:G27"/>
    <mergeCell ref="E28:G28"/>
    <mergeCell ref="E29:G29"/>
    <mergeCell ref="E30:G30"/>
    <mergeCell ref="E31:G31"/>
    <mergeCell ref="E32:G32"/>
    <mergeCell ref="E33:G33"/>
    <mergeCell ref="C40:F40"/>
    <mergeCell ref="C44:F44"/>
    <mergeCell ref="B116:C116"/>
    <mergeCell ref="C53:E53"/>
    <mergeCell ref="C57:E57"/>
    <mergeCell ref="C61:E61"/>
    <mergeCell ref="C66:D66"/>
    <mergeCell ref="C70:D70"/>
    <mergeCell ref="C74:D74"/>
  </mergeCells>
  <hyperlinks>
    <hyperlink ref="O1" location="TOC!A1" display="Table of Contents" xr:uid="{D0EB9ED0-7F05-45C9-AA18-CA92E17B709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3581-010D-44B3-8749-2CCDFE565F52}">
  <dimension ref="A1:AB82"/>
  <sheetViews>
    <sheetView zoomScaleNormal="100" zoomScaleSheetLayoutView="62" workbookViewId="0"/>
  </sheetViews>
  <sheetFormatPr defaultRowHeight="15.6"/>
  <cols>
    <col min="1" max="1" width="8.88671875" style="2" customWidth="1"/>
    <col min="2" max="2" width="18.109375" style="2" customWidth="1"/>
    <col min="3" max="3" width="14.109375" style="2" customWidth="1"/>
    <col min="4" max="8" width="13.77734375" style="2" customWidth="1"/>
    <col min="9" max="28" width="4" style="2" customWidth="1"/>
    <col min="29" max="16384" width="8.88671875" style="2"/>
  </cols>
  <sheetData>
    <row r="1" spans="1:22" ht="17.399999999999999">
      <c r="A1" s="13" t="s">
        <v>353</v>
      </c>
      <c r="B1" s="1"/>
      <c r="C1" s="1"/>
      <c r="D1" s="1" t="s">
        <v>176</v>
      </c>
      <c r="E1" s="1"/>
      <c r="F1" s="1"/>
      <c r="G1" s="1"/>
      <c r="H1" s="1"/>
      <c r="I1" s="1"/>
      <c r="J1" s="1"/>
      <c r="K1" s="1"/>
      <c r="L1" s="14"/>
      <c r="M1" s="14"/>
      <c r="N1" s="14"/>
      <c r="O1" s="14"/>
      <c r="P1" s="14"/>
      <c r="Q1" s="14"/>
      <c r="V1" s="21" t="s">
        <v>2927</v>
      </c>
    </row>
    <row r="2" spans="1:22">
      <c r="A2" s="1"/>
      <c r="B2" s="1"/>
      <c r="C2" s="1"/>
      <c r="D2" s="1"/>
      <c r="E2" s="1"/>
      <c r="F2" s="1"/>
      <c r="G2" s="1"/>
      <c r="H2" s="1"/>
      <c r="I2" s="1"/>
      <c r="J2" s="1"/>
      <c r="K2" s="1"/>
      <c r="L2" s="14"/>
      <c r="M2" s="14"/>
      <c r="N2" s="14"/>
      <c r="O2" s="14"/>
      <c r="P2" s="14"/>
      <c r="Q2" s="14"/>
    </row>
    <row r="4" spans="1:22">
      <c r="A4" s="15" t="s">
        <v>1</v>
      </c>
      <c r="B4" s="14"/>
      <c r="C4" s="14"/>
      <c r="D4" s="14"/>
      <c r="E4" s="14"/>
      <c r="F4" s="14"/>
      <c r="G4" s="14"/>
      <c r="H4" s="14"/>
      <c r="I4" s="14"/>
      <c r="J4" s="14"/>
      <c r="K4" s="14"/>
      <c r="L4" s="14"/>
      <c r="M4" s="14"/>
      <c r="N4" s="14"/>
      <c r="O4" s="14"/>
      <c r="P4" s="14"/>
      <c r="Q4" s="14"/>
    </row>
    <row r="5" spans="1:22">
      <c r="A5" s="3"/>
      <c r="B5" s="3"/>
      <c r="C5" s="3"/>
      <c r="D5" s="3"/>
      <c r="E5" s="3"/>
      <c r="F5" s="3"/>
      <c r="G5" s="3"/>
      <c r="H5" s="3"/>
      <c r="I5" s="3"/>
      <c r="J5" s="3"/>
      <c r="K5" s="3"/>
      <c r="L5" s="3"/>
    </row>
    <row r="6" spans="1:22">
      <c r="A6" s="15" t="s">
        <v>11</v>
      </c>
      <c r="B6" s="14"/>
      <c r="C6" s="14"/>
      <c r="D6" s="14"/>
      <c r="E6" s="14"/>
      <c r="F6" s="14"/>
      <c r="G6" s="14"/>
      <c r="H6" s="14"/>
      <c r="I6" s="14"/>
      <c r="J6" s="14"/>
      <c r="K6" s="14"/>
      <c r="L6" s="14"/>
      <c r="M6" s="14"/>
      <c r="N6" s="14"/>
      <c r="O6" s="14"/>
      <c r="P6" s="14"/>
      <c r="Q6" s="14"/>
    </row>
    <row r="7" spans="1:22">
      <c r="A7" s="3"/>
      <c r="B7" s="3"/>
      <c r="C7" s="3"/>
      <c r="D7" s="3"/>
      <c r="E7" s="3"/>
      <c r="F7" s="3"/>
      <c r="G7" s="3"/>
      <c r="H7" s="3"/>
      <c r="I7" s="3"/>
      <c r="J7" s="3"/>
      <c r="K7" s="3"/>
      <c r="L7" s="3"/>
    </row>
    <row r="8" spans="1:22">
      <c r="A8" s="15" t="s">
        <v>144</v>
      </c>
      <c r="B8" s="14"/>
      <c r="C8" s="14"/>
      <c r="D8" s="14"/>
      <c r="E8" s="14"/>
      <c r="F8" s="14"/>
      <c r="G8" s="14"/>
      <c r="H8" s="14"/>
      <c r="I8" s="14"/>
      <c r="J8" s="14"/>
      <c r="K8" s="14"/>
      <c r="L8" s="14"/>
      <c r="M8" s="14"/>
      <c r="N8" s="14"/>
      <c r="O8" s="14"/>
      <c r="P8" s="14"/>
      <c r="Q8" s="14"/>
    </row>
    <row r="9" spans="1:22">
      <c r="A9" s="3"/>
      <c r="B9" s="3"/>
      <c r="C9" s="3"/>
      <c r="D9" s="3"/>
      <c r="E9" s="3"/>
      <c r="F9" s="3"/>
      <c r="G9" s="3"/>
      <c r="H9" s="3"/>
      <c r="I9" s="3"/>
      <c r="J9" s="3"/>
      <c r="K9" s="3"/>
      <c r="L9" s="3"/>
    </row>
    <row r="10" spans="1:22" ht="15.6" customHeight="1">
      <c r="A10" s="1" t="s">
        <v>177</v>
      </c>
      <c r="B10" s="1"/>
      <c r="C10" s="1"/>
      <c r="D10" s="1"/>
      <c r="E10" s="1"/>
      <c r="F10" s="1"/>
      <c r="G10" s="1"/>
      <c r="H10" s="1"/>
      <c r="I10" s="1"/>
      <c r="J10" s="1"/>
      <c r="K10" s="1"/>
      <c r="L10" s="14"/>
      <c r="M10" s="14"/>
      <c r="N10" s="14"/>
      <c r="O10" s="14"/>
      <c r="P10" s="14"/>
      <c r="Q10" s="14"/>
    </row>
    <row r="11" spans="1:22">
      <c r="A11" s="1"/>
      <c r="B11" s="1"/>
      <c r="C11" s="1"/>
      <c r="D11" s="1"/>
      <c r="E11" s="1"/>
      <c r="F11" s="1"/>
      <c r="G11" s="1"/>
      <c r="H11" s="1"/>
      <c r="I11" s="1"/>
      <c r="J11" s="1"/>
      <c r="K11" s="1"/>
      <c r="L11" s="1"/>
      <c r="M11" s="14"/>
      <c r="N11" s="14"/>
      <c r="O11" s="14"/>
      <c r="P11" s="14"/>
      <c r="Q11" s="14"/>
    </row>
    <row r="12" spans="1:22" ht="62.4">
      <c r="A12" s="1"/>
      <c r="B12" s="4" t="s">
        <v>49</v>
      </c>
      <c r="C12" s="4" t="s">
        <v>178</v>
      </c>
      <c r="D12" s="4" t="s">
        <v>179</v>
      </c>
      <c r="E12" s="4" t="s">
        <v>180</v>
      </c>
      <c r="F12" s="1"/>
      <c r="G12" s="1"/>
      <c r="H12" s="1"/>
      <c r="I12" s="1"/>
      <c r="J12" s="1"/>
      <c r="K12" s="1"/>
      <c r="L12" s="1"/>
      <c r="M12" s="14"/>
      <c r="N12" s="14"/>
      <c r="O12" s="14"/>
      <c r="P12" s="14"/>
      <c r="Q12" s="14"/>
    </row>
    <row r="13" spans="1:22">
      <c r="A13" s="1"/>
      <c r="B13" s="6">
        <v>2015</v>
      </c>
      <c r="C13" s="7">
        <v>16100</v>
      </c>
      <c r="D13" s="7">
        <v>11150</v>
      </c>
      <c r="E13" s="113">
        <v>1.03</v>
      </c>
      <c r="F13" s="1"/>
      <c r="G13" s="1"/>
      <c r="H13" s="1"/>
      <c r="I13" s="1"/>
      <c r="J13" s="1"/>
      <c r="K13" s="1"/>
      <c r="L13" s="1"/>
      <c r="M13" s="14"/>
      <c r="N13" s="14"/>
      <c r="O13" s="14"/>
      <c r="P13" s="14"/>
      <c r="Q13" s="14"/>
    </row>
    <row r="14" spans="1:22">
      <c r="A14" s="1"/>
      <c r="B14" s="6">
        <v>2016</v>
      </c>
      <c r="C14" s="7">
        <v>17600</v>
      </c>
      <c r="D14" s="7">
        <v>11380</v>
      </c>
      <c r="E14" s="113">
        <v>1.0549999999999999</v>
      </c>
      <c r="F14" s="1"/>
      <c r="G14" s="1"/>
      <c r="H14" s="1"/>
      <c r="I14" s="1"/>
      <c r="J14" s="1"/>
      <c r="K14" s="1"/>
      <c r="L14" s="1"/>
      <c r="M14" s="14"/>
      <c r="N14" s="14"/>
      <c r="O14" s="14"/>
      <c r="P14" s="14"/>
      <c r="Q14" s="14"/>
    </row>
    <row r="15" spans="1:22">
      <c r="A15" s="1"/>
      <c r="B15" s="6">
        <v>2017</v>
      </c>
      <c r="C15" s="7">
        <v>18300</v>
      </c>
      <c r="D15" s="7">
        <v>11190</v>
      </c>
      <c r="E15" s="113">
        <v>1.1000000000000001</v>
      </c>
      <c r="F15" s="1"/>
      <c r="G15" s="1"/>
      <c r="H15" s="1"/>
      <c r="I15" s="1"/>
      <c r="J15" s="1"/>
      <c r="K15" s="1"/>
      <c r="L15" s="1"/>
      <c r="M15" s="14"/>
      <c r="N15" s="14"/>
      <c r="O15" s="14"/>
      <c r="P15" s="14"/>
      <c r="Q15" s="14"/>
    </row>
    <row r="16" spans="1:22">
      <c r="A16" s="1"/>
      <c r="B16" s="6">
        <v>2018</v>
      </c>
      <c r="C16" s="7">
        <v>19800</v>
      </c>
      <c r="D16" s="7">
        <v>11470</v>
      </c>
      <c r="E16" s="113">
        <v>1.3</v>
      </c>
      <c r="F16" s="1"/>
      <c r="G16" s="1"/>
      <c r="H16" s="1"/>
      <c r="I16" s="1"/>
      <c r="J16" s="1"/>
      <c r="K16" s="1"/>
      <c r="L16" s="1"/>
      <c r="M16" s="14"/>
      <c r="N16" s="14"/>
      <c r="O16" s="14"/>
      <c r="P16" s="14"/>
      <c r="Q16" s="14"/>
    </row>
    <row r="17" spans="1:18">
      <c r="A17" s="1"/>
      <c r="B17" s="6">
        <v>2019</v>
      </c>
      <c r="C17" s="7">
        <v>21600</v>
      </c>
      <c r="D17" s="7">
        <v>9040</v>
      </c>
      <c r="E17" s="113">
        <v>1.7</v>
      </c>
      <c r="F17" s="1"/>
      <c r="G17" s="1"/>
      <c r="H17" s="1"/>
      <c r="I17" s="1"/>
      <c r="J17" s="1"/>
      <c r="K17" s="1"/>
      <c r="L17" s="1"/>
      <c r="M17" s="14"/>
      <c r="N17" s="14"/>
      <c r="O17" s="14"/>
      <c r="P17" s="14"/>
      <c r="Q17" s="14"/>
    </row>
    <row r="18" spans="1:18">
      <c r="A18" s="1"/>
      <c r="B18" s="1"/>
      <c r="C18" s="1"/>
      <c r="D18" s="1"/>
      <c r="E18" s="1"/>
      <c r="F18" s="1"/>
      <c r="G18" s="1"/>
      <c r="H18" s="1"/>
      <c r="I18" s="1"/>
      <c r="J18" s="1"/>
      <c r="K18" s="1"/>
      <c r="L18" s="1"/>
      <c r="M18" s="14"/>
      <c r="N18" s="14"/>
      <c r="O18" s="14"/>
      <c r="P18" s="14"/>
      <c r="Q18" s="14"/>
    </row>
    <row r="19" spans="1:18">
      <c r="A19" s="1"/>
      <c r="B19" s="16" t="s">
        <v>9</v>
      </c>
      <c r="C19" s="1" t="s">
        <v>181</v>
      </c>
      <c r="D19" s="1"/>
      <c r="E19" s="1"/>
      <c r="F19" s="1"/>
      <c r="G19" s="1"/>
      <c r="H19" s="1"/>
      <c r="I19" s="1"/>
      <c r="J19" s="1"/>
      <c r="K19" s="1"/>
      <c r="L19" s="1"/>
      <c r="M19" s="14"/>
      <c r="N19" s="14"/>
      <c r="O19" s="14"/>
      <c r="P19" s="14"/>
      <c r="Q19" s="14"/>
    </row>
    <row r="20" spans="1:18">
      <c r="A20" s="1"/>
      <c r="B20" s="16" t="s">
        <v>9</v>
      </c>
      <c r="C20" s="1" t="s">
        <v>182</v>
      </c>
      <c r="D20" s="1"/>
      <c r="E20" s="1"/>
      <c r="F20" s="1"/>
      <c r="G20" s="1"/>
      <c r="H20" s="1"/>
      <c r="I20" s="1"/>
      <c r="J20" s="1"/>
      <c r="K20" s="1"/>
      <c r="L20" s="1"/>
      <c r="M20" s="14"/>
      <c r="N20" s="14"/>
      <c r="O20" s="14"/>
      <c r="P20" s="14"/>
      <c r="Q20" s="14"/>
    </row>
    <row r="21" spans="1:18">
      <c r="A21" s="1"/>
      <c r="B21" s="1"/>
      <c r="C21" s="16" t="s">
        <v>9</v>
      </c>
      <c r="D21" s="1" t="s">
        <v>183</v>
      </c>
      <c r="E21" s="1"/>
      <c r="F21" s="1"/>
      <c r="G21" s="1"/>
      <c r="H21" s="1"/>
      <c r="I21" s="1"/>
      <c r="J21" s="1"/>
      <c r="K21" s="1"/>
      <c r="L21" s="1"/>
      <c r="M21" s="14"/>
      <c r="N21" s="14"/>
      <c r="O21" s="14"/>
      <c r="P21" s="14"/>
      <c r="Q21" s="14"/>
    </row>
    <row r="22" spans="1:18">
      <c r="A22" s="1"/>
      <c r="B22" s="1"/>
      <c r="C22" s="16" t="s">
        <v>9</v>
      </c>
      <c r="D22" s="1" t="s">
        <v>184</v>
      </c>
      <c r="E22" s="1"/>
      <c r="F22" s="1"/>
      <c r="G22" s="1"/>
      <c r="H22" s="1"/>
      <c r="I22" s="1"/>
      <c r="J22" s="1"/>
      <c r="K22" s="1"/>
      <c r="L22" s="1"/>
      <c r="M22" s="14"/>
      <c r="N22" s="14"/>
      <c r="O22" s="14"/>
      <c r="P22" s="14"/>
      <c r="Q22" s="14"/>
    </row>
    <row r="23" spans="1:18">
      <c r="A23" s="1"/>
      <c r="B23" s="16" t="s">
        <v>9</v>
      </c>
      <c r="C23" s="1" t="s">
        <v>185</v>
      </c>
      <c r="D23" s="1"/>
      <c r="E23" s="1"/>
      <c r="F23" s="1"/>
      <c r="G23" s="1"/>
      <c r="H23" s="1"/>
      <c r="I23" s="1"/>
      <c r="J23" s="1"/>
      <c r="K23" s="1"/>
      <c r="L23" s="1"/>
      <c r="M23" s="14"/>
      <c r="N23" s="14"/>
      <c r="O23" s="14"/>
      <c r="P23" s="14"/>
      <c r="Q23" s="14"/>
    </row>
    <row r="24" spans="1:18">
      <c r="A24" s="1"/>
      <c r="B24" s="16" t="s">
        <v>9</v>
      </c>
      <c r="C24" s="1" t="s">
        <v>186</v>
      </c>
      <c r="D24" s="1"/>
      <c r="E24" s="1"/>
      <c r="F24" s="1"/>
      <c r="G24" s="1"/>
      <c r="H24" s="1"/>
      <c r="I24" s="1"/>
      <c r="J24" s="1"/>
      <c r="K24" s="1"/>
      <c r="L24" s="1"/>
      <c r="M24" s="14"/>
      <c r="N24" s="14"/>
      <c r="O24" s="14"/>
      <c r="P24" s="14"/>
      <c r="Q24" s="14"/>
    </row>
    <row r="25" spans="1:18">
      <c r="A25" s="1"/>
      <c r="B25" s="16" t="s">
        <v>9</v>
      </c>
      <c r="C25" s="1" t="s">
        <v>187</v>
      </c>
      <c r="D25" s="1"/>
      <c r="E25" s="1"/>
      <c r="F25" s="1"/>
      <c r="G25" s="1"/>
      <c r="H25" s="1"/>
      <c r="I25" s="1"/>
      <c r="J25" s="1"/>
      <c r="K25" s="1"/>
      <c r="L25" s="1"/>
      <c r="M25" s="14"/>
      <c r="N25" s="14"/>
      <c r="O25" s="14"/>
      <c r="P25" s="14"/>
      <c r="Q25" s="14"/>
    </row>
    <row r="26" spans="1:18">
      <c r="A26" s="1"/>
      <c r="B26" s="1"/>
      <c r="C26" s="1"/>
      <c r="D26" s="1"/>
      <c r="E26" s="1"/>
      <c r="F26" s="1"/>
      <c r="G26" s="1"/>
      <c r="H26" s="1"/>
      <c r="I26" s="1"/>
      <c r="J26" s="1"/>
      <c r="K26" s="1"/>
      <c r="L26" s="1"/>
      <c r="M26" s="14"/>
      <c r="N26" s="14"/>
      <c r="O26" s="14"/>
      <c r="P26" s="14"/>
      <c r="Q26" s="14"/>
    </row>
    <row r="28" spans="1:18">
      <c r="A28" s="17" t="s">
        <v>25</v>
      </c>
      <c r="B28" s="1" t="s">
        <v>188</v>
      </c>
      <c r="C28" s="1"/>
      <c r="D28" s="1"/>
      <c r="E28" s="1"/>
      <c r="F28" s="1"/>
      <c r="G28" s="1"/>
      <c r="H28" s="1"/>
      <c r="I28" s="1"/>
      <c r="J28" s="1"/>
      <c r="K28" s="1"/>
      <c r="L28" s="1"/>
      <c r="M28" s="1"/>
      <c r="N28" s="1"/>
      <c r="O28" s="1"/>
      <c r="P28" s="1"/>
      <c r="Q28" s="1"/>
      <c r="R28" s="9"/>
    </row>
    <row r="29" spans="1:18">
      <c r="A29" s="14"/>
      <c r="B29" s="14"/>
      <c r="C29" s="14"/>
      <c r="D29" s="14"/>
      <c r="E29" s="14"/>
      <c r="F29" s="14"/>
      <c r="G29" s="1"/>
      <c r="H29" s="1"/>
      <c r="I29" s="1"/>
      <c r="J29" s="1"/>
      <c r="K29" s="1"/>
      <c r="L29" s="1"/>
      <c r="M29" s="14"/>
      <c r="N29" s="14"/>
      <c r="O29" s="14"/>
      <c r="P29" s="14"/>
      <c r="Q29" s="14"/>
    </row>
    <row r="30" spans="1:18">
      <c r="A30" s="3"/>
      <c r="B30" s="3"/>
      <c r="C30" s="3"/>
      <c r="D30" s="3"/>
      <c r="E30" s="3"/>
      <c r="F30" s="3"/>
      <c r="G30" s="3"/>
      <c r="H30" s="3"/>
      <c r="I30" s="3"/>
      <c r="J30" s="3"/>
      <c r="K30" s="3"/>
      <c r="L30" s="3"/>
      <c r="M30" s="3"/>
    </row>
    <row r="31" spans="1:18">
      <c r="A31" s="3" t="s">
        <v>20</v>
      </c>
      <c r="B31" s="3"/>
      <c r="C31" s="3"/>
      <c r="D31" s="3"/>
      <c r="E31" s="3"/>
      <c r="F31" s="3"/>
      <c r="G31" s="3"/>
      <c r="H31" s="3"/>
      <c r="I31" s="3"/>
      <c r="J31" s="3"/>
      <c r="K31" s="3"/>
      <c r="L31" s="3"/>
      <c r="M31" s="3"/>
      <c r="N31" s="9"/>
    </row>
    <row r="32" spans="1:18">
      <c r="A32" s="3"/>
      <c r="B32" s="3"/>
      <c r="C32" s="3"/>
      <c r="D32" s="3"/>
      <c r="E32" s="3"/>
      <c r="F32" s="3"/>
      <c r="G32" s="3"/>
      <c r="H32" s="3"/>
      <c r="I32" s="3"/>
      <c r="J32" s="3"/>
      <c r="K32" s="3"/>
      <c r="L32" s="3"/>
      <c r="M32" s="3"/>
      <c r="N32" s="9"/>
    </row>
    <row r="33" spans="1:28" ht="16.2">
      <c r="A33" s="114" t="s">
        <v>189</v>
      </c>
      <c r="B33" s="3"/>
      <c r="C33" s="3"/>
      <c r="D33" s="3"/>
      <c r="E33" s="3"/>
      <c r="F33" s="3"/>
      <c r="G33" s="3"/>
      <c r="H33" s="3"/>
      <c r="I33" s="3"/>
      <c r="J33" s="3"/>
      <c r="K33" s="3"/>
      <c r="L33" s="3"/>
      <c r="M33" s="3"/>
      <c r="N33" s="9"/>
    </row>
    <row r="34" spans="1:28">
      <c r="I34" s="823">
        <v>2015</v>
      </c>
      <c r="J34" s="823"/>
      <c r="K34" s="823"/>
      <c r="L34" s="823"/>
      <c r="M34" s="823">
        <f>I34+1</f>
        <v>2016</v>
      </c>
      <c r="N34" s="823"/>
      <c r="O34" s="823"/>
      <c r="P34" s="823"/>
      <c r="Q34" s="823">
        <f>M34+1</f>
        <v>2017</v>
      </c>
      <c r="R34" s="823"/>
      <c r="S34" s="823"/>
      <c r="T34" s="823"/>
      <c r="U34" s="823">
        <f>Q34+1</f>
        <v>2018</v>
      </c>
      <c r="V34" s="823"/>
      <c r="W34" s="823"/>
      <c r="X34" s="823"/>
      <c r="Y34" s="823">
        <f>U34+1</f>
        <v>2019</v>
      </c>
      <c r="Z34" s="823"/>
      <c r="AA34" s="823"/>
      <c r="AB34" s="823"/>
    </row>
    <row r="35" spans="1:28" ht="19.95" customHeight="1">
      <c r="I35" s="115"/>
      <c r="J35" s="116"/>
      <c r="K35" s="116"/>
      <c r="L35" s="117"/>
      <c r="M35" s="115"/>
      <c r="N35" s="116"/>
      <c r="O35" s="116"/>
      <c r="P35" s="117"/>
      <c r="Q35" s="115"/>
      <c r="R35" s="116"/>
      <c r="S35" s="116"/>
      <c r="T35" s="117"/>
      <c r="U35" s="115"/>
      <c r="V35" s="116"/>
      <c r="W35" s="116"/>
      <c r="X35" s="117"/>
      <c r="Y35" s="115"/>
      <c r="Z35" s="116"/>
      <c r="AA35" s="116"/>
      <c r="AB35" s="117"/>
    </row>
    <row r="36" spans="1:28" ht="19.95" customHeight="1">
      <c r="I36" s="118"/>
      <c r="J36" s="119" t="s">
        <v>190</v>
      </c>
      <c r="K36" s="119"/>
      <c r="L36" s="120"/>
      <c r="M36" s="118"/>
      <c r="N36" s="119"/>
      <c r="O36" s="119"/>
      <c r="P36" s="120"/>
      <c r="Q36" s="118"/>
      <c r="R36" s="119" t="s">
        <v>191</v>
      </c>
      <c r="S36" s="119"/>
      <c r="T36" s="120"/>
      <c r="U36" s="118"/>
      <c r="V36" s="119"/>
      <c r="W36" s="119"/>
      <c r="X36" s="120"/>
      <c r="Y36" s="118"/>
      <c r="Z36" s="119"/>
      <c r="AA36" s="119" t="s">
        <v>192</v>
      </c>
      <c r="AB36" s="120"/>
    </row>
    <row r="37" spans="1:28" ht="19.95" customHeight="1">
      <c r="I37" s="118"/>
      <c r="J37" s="119"/>
      <c r="K37" s="119"/>
      <c r="L37" s="120"/>
      <c r="M37" s="118"/>
      <c r="N37" s="119"/>
      <c r="O37" s="119"/>
      <c r="P37" s="120"/>
      <c r="Q37" s="118"/>
      <c r="R37" s="119"/>
      <c r="S37" s="119"/>
      <c r="T37" s="120"/>
      <c r="U37" s="118"/>
      <c r="V37" s="119"/>
      <c r="W37" s="119"/>
      <c r="X37" s="120"/>
      <c r="Y37" s="118"/>
      <c r="Z37" s="119"/>
      <c r="AA37" s="119"/>
      <c r="AB37" s="120"/>
    </row>
    <row r="38" spans="1:28" ht="19.95" customHeight="1">
      <c r="I38" s="121"/>
      <c r="J38" s="122"/>
      <c r="K38" s="122"/>
      <c r="L38" s="123"/>
      <c r="M38" s="121"/>
      <c r="N38" s="122"/>
      <c r="O38" s="122"/>
      <c r="P38" s="123"/>
      <c r="Q38" s="121"/>
      <c r="R38" s="122"/>
      <c r="S38" s="122"/>
      <c r="T38" s="123"/>
      <c r="U38" s="121"/>
      <c r="V38" s="122"/>
      <c r="W38" s="122"/>
      <c r="X38" s="123"/>
      <c r="Y38" s="121"/>
      <c r="Z38" s="122"/>
      <c r="AA38" s="122"/>
      <c r="AB38" s="123"/>
    </row>
    <row r="39" spans="1:28">
      <c r="I39" s="9"/>
      <c r="J39" s="9"/>
      <c r="K39" s="9"/>
      <c r="L39" s="9"/>
      <c r="M39" s="9"/>
      <c r="N39" s="9"/>
      <c r="O39" s="9"/>
      <c r="P39" s="9"/>
      <c r="Q39" s="9"/>
      <c r="R39" s="9"/>
      <c r="S39" s="9"/>
      <c r="T39" s="9"/>
      <c r="U39" s="9"/>
      <c r="V39" s="9"/>
      <c r="W39" s="9"/>
      <c r="X39" s="9"/>
      <c r="Y39" s="9"/>
      <c r="Z39" s="9"/>
      <c r="AA39" s="9"/>
      <c r="AB39" s="9"/>
    </row>
    <row r="40" spans="1:28">
      <c r="A40" s="124"/>
      <c r="B40" s="3"/>
      <c r="C40" s="94" t="s">
        <v>193</v>
      </c>
      <c r="D40" s="815" t="s">
        <v>194</v>
      </c>
      <c r="E40" s="815"/>
      <c r="F40" s="815"/>
      <c r="G40" s="815"/>
      <c r="H40" s="815"/>
      <c r="I40" s="9"/>
      <c r="J40" s="9"/>
      <c r="K40" s="9"/>
      <c r="L40" s="9"/>
      <c r="M40" s="9"/>
      <c r="N40" s="9"/>
      <c r="O40" s="9"/>
      <c r="P40" s="9"/>
      <c r="Q40" s="9"/>
      <c r="R40" s="9"/>
      <c r="S40" s="9"/>
      <c r="T40" s="9"/>
      <c r="U40" s="9"/>
      <c r="V40" s="9"/>
      <c r="W40" s="9"/>
      <c r="X40" s="9"/>
      <c r="Y40" s="9"/>
      <c r="Z40" s="9"/>
      <c r="AA40" s="9"/>
      <c r="AB40" s="9"/>
    </row>
    <row r="41" spans="1:28">
      <c r="A41" s="124"/>
      <c r="B41" s="107" t="s">
        <v>195</v>
      </c>
      <c r="C41" s="107" t="s">
        <v>196</v>
      </c>
      <c r="D41" s="107">
        <v>2015</v>
      </c>
      <c r="E41" s="107">
        <v>2016</v>
      </c>
      <c r="F41" s="107">
        <v>2017</v>
      </c>
      <c r="G41" s="107">
        <v>2018</v>
      </c>
      <c r="H41" s="107">
        <v>2019</v>
      </c>
      <c r="I41" s="9"/>
      <c r="J41" s="9"/>
      <c r="K41" s="9"/>
      <c r="L41" s="9"/>
      <c r="M41" s="9"/>
      <c r="N41" s="9"/>
      <c r="O41" s="9"/>
      <c r="P41" s="9"/>
      <c r="Q41" s="9"/>
      <c r="R41" s="9"/>
      <c r="S41" s="9"/>
      <c r="T41" s="9"/>
      <c r="U41" s="9"/>
      <c r="V41" s="9"/>
      <c r="W41" s="9"/>
      <c r="X41" s="9"/>
      <c r="Y41" s="9"/>
      <c r="Z41" s="9"/>
      <c r="AA41" s="9"/>
      <c r="AB41" s="9"/>
    </row>
    <row r="42" spans="1:28">
      <c r="B42" s="125" t="s">
        <v>190</v>
      </c>
      <c r="C42" s="126">
        <v>1</v>
      </c>
      <c r="D42" s="127">
        <v>1</v>
      </c>
      <c r="E42" s="127">
        <v>0.5</v>
      </c>
      <c r="F42" s="127"/>
      <c r="G42" s="127"/>
      <c r="H42" s="127"/>
      <c r="I42" s="9"/>
      <c r="J42" s="9"/>
      <c r="K42" s="9"/>
      <c r="L42" s="9"/>
      <c r="M42" s="9"/>
      <c r="N42" s="9"/>
      <c r="O42" s="9"/>
      <c r="P42" s="9"/>
      <c r="Q42" s="9"/>
      <c r="R42" s="9"/>
      <c r="S42" s="9"/>
      <c r="T42" s="9"/>
      <c r="U42" s="9"/>
      <c r="V42" s="9"/>
      <c r="W42" s="9"/>
      <c r="X42" s="9"/>
      <c r="Y42" s="9"/>
      <c r="Z42" s="9"/>
      <c r="AA42" s="9"/>
      <c r="AB42" s="9"/>
    </row>
    <row r="43" spans="1:28">
      <c r="B43" s="125" t="s">
        <v>191</v>
      </c>
      <c r="C43" s="126">
        <v>1.06</v>
      </c>
      <c r="D43" s="127"/>
      <c r="E43" s="127">
        <v>0.5</v>
      </c>
      <c r="F43" s="127">
        <v>1</v>
      </c>
      <c r="G43" s="127">
        <f>1-G44</f>
        <v>0.875</v>
      </c>
      <c r="H43" s="127">
        <f>G44</f>
        <v>0.125</v>
      </c>
      <c r="I43" s="9"/>
      <c r="J43" s="9"/>
      <c r="K43" s="9"/>
      <c r="L43" s="9"/>
      <c r="M43" s="9"/>
      <c r="N43" s="9"/>
      <c r="O43" s="9"/>
      <c r="P43" s="9"/>
      <c r="Q43" s="9"/>
      <c r="R43" s="9"/>
      <c r="S43" s="9"/>
      <c r="T43" s="9"/>
      <c r="U43" s="9"/>
      <c r="V43" s="9"/>
      <c r="W43" s="9"/>
      <c r="X43" s="9"/>
      <c r="Y43" s="9"/>
      <c r="Z43" s="9"/>
      <c r="AA43" s="9"/>
      <c r="AB43" s="9"/>
    </row>
    <row r="44" spans="1:28">
      <c r="B44" s="128" t="s">
        <v>192</v>
      </c>
      <c r="C44" s="129">
        <f>1.06*1.05</f>
        <v>1.1130000000000002</v>
      </c>
      <c r="D44" s="130"/>
      <c r="E44" s="130"/>
      <c r="F44" s="130"/>
      <c r="G44" s="130">
        <f>0.5*0.5*0.5</f>
        <v>0.125</v>
      </c>
      <c r="H44" s="130">
        <f>G43</f>
        <v>0.875</v>
      </c>
      <c r="I44" s="9"/>
      <c r="J44" s="9"/>
      <c r="K44" s="9"/>
      <c r="L44" s="9"/>
      <c r="M44" s="9"/>
      <c r="N44" s="9"/>
      <c r="O44" s="9"/>
      <c r="P44" s="9"/>
      <c r="Q44" s="9"/>
      <c r="R44" s="9"/>
      <c r="S44" s="9"/>
      <c r="T44" s="9"/>
      <c r="U44" s="9"/>
      <c r="V44" s="9"/>
      <c r="W44" s="9"/>
      <c r="X44" s="9"/>
      <c r="Y44" s="9"/>
      <c r="Z44" s="9"/>
      <c r="AA44" s="9"/>
      <c r="AB44" s="9"/>
    </row>
    <row r="45" spans="1:28">
      <c r="B45" s="34" t="s">
        <v>132</v>
      </c>
      <c r="D45" s="131">
        <f>SUM(D42:D44)</f>
        <v>1</v>
      </c>
      <c r="E45" s="131">
        <f>SUM(E42:E44)</f>
        <v>1</v>
      </c>
      <c r="F45" s="131">
        <f>SUM(F42:F44)</f>
        <v>1</v>
      </c>
      <c r="G45" s="131">
        <f>SUM(G42:G44)</f>
        <v>1</v>
      </c>
      <c r="H45" s="131">
        <f>SUM(H42:H44)</f>
        <v>1</v>
      </c>
      <c r="I45" s="9"/>
      <c r="J45" s="9"/>
      <c r="K45" s="9"/>
      <c r="L45" s="9"/>
      <c r="M45" s="9"/>
      <c r="N45" s="9"/>
      <c r="O45" s="9"/>
      <c r="P45" s="9"/>
      <c r="Q45" s="9"/>
      <c r="R45" s="9"/>
      <c r="S45" s="9"/>
      <c r="T45" s="9"/>
      <c r="U45" s="9"/>
      <c r="V45" s="9"/>
      <c r="W45" s="9"/>
      <c r="X45" s="9"/>
      <c r="Y45" s="9"/>
      <c r="Z45" s="9"/>
      <c r="AA45" s="9"/>
      <c r="AB45" s="9"/>
    </row>
    <row r="46" spans="1:28">
      <c r="I46" s="9"/>
      <c r="J46" s="9"/>
      <c r="K46" s="9"/>
      <c r="L46" s="9"/>
      <c r="M46" s="9"/>
      <c r="N46" s="9"/>
      <c r="O46" s="9"/>
      <c r="P46" s="9"/>
      <c r="Q46" s="9"/>
      <c r="R46" s="9"/>
      <c r="S46" s="9"/>
      <c r="T46" s="9"/>
      <c r="U46" s="9"/>
      <c r="V46" s="9"/>
      <c r="W46" s="9"/>
      <c r="X46" s="9"/>
      <c r="Y46" s="9"/>
      <c r="Z46" s="9"/>
      <c r="AA46" s="9"/>
      <c r="AB46" s="9"/>
    </row>
    <row r="47" spans="1:28">
      <c r="B47" s="2" t="s">
        <v>197</v>
      </c>
      <c r="D47" s="132">
        <f>SUMPRODUCT(C42:C44,D42:D44)</f>
        <v>1</v>
      </c>
      <c r="E47" s="132">
        <f>SUMPRODUCT(C42:C44,E42:E44)</f>
        <v>1.03</v>
      </c>
      <c r="F47" s="132">
        <f>SUMPRODUCT(C42:C44,F42:F44)</f>
        <v>1.06</v>
      </c>
      <c r="G47" s="132">
        <f>SUMPRODUCT(C42:C44,G42:G44)</f>
        <v>1.0666249999999999</v>
      </c>
      <c r="H47" s="132">
        <f>SUMPRODUCT(C42:C44,H42:H44)</f>
        <v>1.1063750000000001</v>
      </c>
      <c r="M47" s="9"/>
      <c r="N47" s="9"/>
    </row>
    <row r="48" spans="1:28">
      <c r="M48" s="9"/>
      <c r="N48" s="9"/>
    </row>
    <row r="49" spans="1:17">
      <c r="B49" s="2" t="s">
        <v>198</v>
      </c>
      <c r="D49" s="82">
        <f>H47/D47</f>
        <v>1.1063750000000001</v>
      </c>
      <c r="E49" s="82">
        <f>H47/E47</f>
        <v>1.0741504854368933</v>
      </c>
      <c r="F49" s="82">
        <f>H47/F47</f>
        <v>1.04375</v>
      </c>
      <c r="G49" s="82">
        <f>H47/G47</f>
        <v>1.0372670807453417</v>
      </c>
      <c r="H49" s="82">
        <f>H47/H47</f>
        <v>1</v>
      </c>
      <c r="M49" s="9"/>
      <c r="N49" s="9"/>
    </row>
    <row r="50" spans="1:17">
      <c r="M50" s="9"/>
      <c r="N50" s="9"/>
    </row>
    <row r="52" spans="1:17">
      <c r="A52" s="17" t="s">
        <v>147</v>
      </c>
      <c r="B52" s="1" t="s">
        <v>199</v>
      </c>
      <c r="C52" s="1"/>
      <c r="D52" s="1"/>
      <c r="E52" s="1"/>
      <c r="F52" s="1"/>
      <c r="G52" s="1"/>
      <c r="H52" s="1"/>
      <c r="I52" s="1"/>
      <c r="J52" s="1"/>
      <c r="K52" s="1"/>
      <c r="L52" s="1"/>
      <c r="M52" s="14"/>
      <c r="N52" s="14"/>
      <c r="O52" s="14"/>
      <c r="P52" s="14"/>
      <c r="Q52" s="14"/>
    </row>
    <row r="53" spans="1:17">
      <c r="A53" s="14"/>
      <c r="B53" s="14"/>
      <c r="C53" s="14"/>
      <c r="D53" s="14"/>
      <c r="E53" s="14"/>
      <c r="F53" s="14"/>
      <c r="G53" s="1"/>
      <c r="H53" s="1"/>
      <c r="I53" s="1"/>
      <c r="J53" s="1"/>
      <c r="K53" s="1"/>
      <c r="L53" s="1"/>
      <c r="M53" s="14"/>
      <c r="N53" s="14"/>
      <c r="O53" s="14"/>
      <c r="P53" s="14"/>
      <c r="Q53" s="14"/>
    </row>
    <row r="54" spans="1:17">
      <c r="A54" s="3"/>
      <c r="B54" s="3"/>
      <c r="C54" s="3"/>
      <c r="D54" s="3"/>
      <c r="E54" s="3"/>
      <c r="F54" s="3"/>
      <c r="G54" s="3"/>
      <c r="H54" s="3"/>
      <c r="I54" s="3"/>
      <c r="J54" s="3"/>
      <c r="K54" s="3"/>
      <c r="L54" s="3"/>
    </row>
    <row r="55" spans="1:17">
      <c r="A55" s="3" t="s">
        <v>20</v>
      </c>
      <c r="B55" s="3"/>
      <c r="C55" s="3"/>
      <c r="D55" s="3"/>
      <c r="E55" s="3"/>
      <c r="F55" s="3"/>
      <c r="G55" s="3"/>
      <c r="H55" s="3"/>
      <c r="I55" s="3"/>
      <c r="J55" s="3"/>
      <c r="K55" s="3"/>
      <c r="L55" s="3"/>
    </row>
    <row r="56" spans="1:17" ht="46.8">
      <c r="A56" s="93" t="s">
        <v>49</v>
      </c>
      <c r="B56" s="93" t="s">
        <v>47</v>
      </c>
      <c r="C56" s="93" t="s">
        <v>200</v>
      </c>
      <c r="D56" s="93" t="s">
        <v>201</v>
      </c>
      <c r="E56" s="93" t="s">
        <v>202</v>
      </c>
      <c r="F56" s="93" t="s">
        <v>203</v>
      </c>
      <c r="G56" s="93" t="s">
        <v>204</v>
      </c>
    </row>
    <row r="57" spans="1:17">
      <c r="A57" s="81">
        <v>2015</v>
      </c>
      <c r="B57" s="133">
        <f>C13</f>
        <v>16100</v>
      </c>
      <c r="C57" s="134">
        <f>HLOOKUP(A57,D41:H49,9,)</f>
        <v>1.1063750000000001</v>
      </c>
      <c r="D57" s="133">
        <f>B57*C57</f>
        <v>17812.637500000001</v>
      </c>
      <c r="E57" s="135">
        <f>E13</f>
        <v>1.03</v>
      </c>
      <c r="F57" s="136">
        <f>1/E57</f>
        <v>0.970873786407767</v>
      </c>
      <c r="G57" s="133">
        <f>D57*F57</f>
        <v>17293.822815533982</v>
      </c>
    </row>
    <row r="58" spans="1:17">
      <c r="A58" s="81">
        <v>2016</v>
      </c>
      <c r="B58" s="133">
        <f t="shared" ref="B58:B61" si="0">C14</f>
        <v>17600</v>
      </c>
      <c r="C58" s="134">
        <f>HLOOKUP(A58,D41:H49,9,)</f>
        <v>1.0741504854368933</v>
      </c>
      <c r="D58" s="133">
        <f>B58*C58</f>
        <v>18905.048543689321</v>
      </c>
      <c r="E58" s="135">
        <f t="shared" ref="E58:E61" si="1">E14</f>
        <v>1.0549999999999999</v>
      </c>
      <c r="F58" s="136">
        <f>1/E58</f>
        <v>0.94786729857819907</v>
      </c>
      <c r="G58" s="133">
        <f>D58*F58</f>
        <v>17919.477292596512</v>
      </c>
    </row>
    <row r="59" spans="1:17">
      <c r="A59" s="81">
        <v>2017</v>
      </c>
      <c r="B59" s="133">
        <f t="shared" si="0"/>
        <v>18300</v>
      </c>
      <c r="C59" s="134">
        <f>HLOOKUP(A59,D41:H49,9,)</f>
        <v>1.04375</v>
      </c>
      <c r="D59" s="133">
        <f>B59*C59</f>
        <v>19100.625</v>
      </c>
      <c r="E59" s="135">
        <f t="shared" si="1"/>
        <v>1.1000000000000001</v>
      </c>
      <c r="F59" s="136">
        <f>1/E59</f>
        <v>0.90909090909090906</v>
      </c>
      <c r="G59" s="133">
        <f>D59*F59</f>
        <v>17364.204545454544</v>
      </c>
    </row>
    <row r="60" spans="1:17">
      <c r="A60" s="81">
        <v>2018</v>
      </c>
      <c r="B60" s="133">
        <f t="shared" si="0"/>
        <v>19800</v>
      </c>
      <c r="C60" s="134">
        <f>HLOOKUP(A60,D41:H49,9,)</f>
        <v>1.0372670807453417</v>
      </c>
      <c r="D60" s="133">
        <f>B60*C60</f>
        <v>20537.888198757766</v>
      </c>
      <c r="E60" s="135">
        <f t="shared" si="1"/>
        <v>1.3</v>
      </c>
      <c r="F60" s="136">
        <f>1/E60</f>
        <v>0.76923076923076916</v>
      </c>
      <c r="G60" s="133">
        <f>D60*F60</f>
        <v>15798.375537505972</v>
      </c>
    </row>
    <row r="61" spans="1:17">
      <c r="A61" s="84">
        <v>2019</v>
      </c>
      <c r="B61" s="137">
        <f t="shared" si="0"/>
        <v>21600</v>
      </c>
      <c r="C61" s="138">
        <f>HLOOKUP(A61,D41:H49,9,)</f>
        <v>1</v>
      </c>
      <c r="D61" s="137">
        <f>B61*C61</f>
        <v>21600</v>
      </c>
      <c r="E61" s="139">
        <f t="shared" si="1"/>
        <v>1.7</v>
      </c>
      <c r="F61" s="140">
        <f>1/E61</f>
        <v>0.58823529411764708</v>
      </c>
      <c r="G61" s="137">
        <f>D61*F61</f>
        <v>12705.882352941177</v>
      </c>
    </row>
    <row r="62" spans="1:17">
      <c r="A62" s="3"/>
      <c r="B62" s="141">
        <f>SUM(B57:B61)</f>
        <v>93400</v>
      </c>
      <c r="C62" s="142"/>
      <c r="D62" s="141">
        <f>SUM(D57:D61)</f>
        <v>97956.199242447081</v>
      </c>
      <c r="E62" s="142"/>
      <c r="F62" s="143"/>
      <c r="G62" s="141">
        <f>SUM(G57:G61)</f>
        <v>81081.762544032186</v>
      </c>
    </row>
    <row r="63" spans="1:17">
      <c r="B63" s="144"/>
      <c r="C63" s="142"/>
      <c r="D63" s="144"/>
      <c r="E63" s="144"/>
      <c r="F63" s="145"/>
      <c r="G63" s="146"/>
    </row>
    <row r="64" spans="1:17">
      <c r="A64" s="147"/>
      <c r="C64" s="824" t="s">
        <v>205</v>
      </c>
      <c r="D64" s="824"/>
      <c r="E64" s="148"/>
      <c r="F64" s="18"/>
      <c r="G64" s="18"/>
    </row>
    <row r="65" spans="1:7" ht="46.8">
      <c r="A65" s="93" t="s">
        <v>49</v>
      </c>
      <c r="B65" s="93" t="s">
        <v>206</v>
      </c>
      <c r="C65" s="93" t="s">
        <v>207</v>
      </c>
      <c r="D65" s="93" t="s">
        <v>208</v>
      </c>
      <c r="E65" s="93" t="s">
        <v>209</v>
      </c>
      <c r="F65" s="93" t="s">
        <v>138</v>
      </c>
      <c r="G65" s="62"/>
    </row>
    <row r="66" spans="1:7">
      <c r="A66" s="81">
        <f>A57</f>
        <v>2015</v>
      </c>
      <c r="B66" s="133">
        <f>D13</f>
        <v>11150</v>
      </c>
      <c r="C66" s="134">
        <f>1.05^(A70-A66)</f>
        <v>1.21550625</v>
      </c>
      <c r="D66" s="149">
        <f>0.9</f>
        <v>0.9</v>
      </c>
      <c r="E66" s="133">
        <f>B66*C66*D66</f>
        <v>12197.605218750001</v>
      </c>
      <c r="F66" s="133">
        <f>(D57*E73)/(C66*D66)</f>
        <v>11547.742353171543</v>
      </c>
      <c r="G66" s="62"/>
    </row>
    <row r="67" spans="1:7">
      <c r="A67" s="81">
        <f>A58</f>
        <v>2016</v>
      </c>
      <c r="B67" s="133">
        <f t="shared" ref="B67:B68" si="2">D14</f>
        <v>11380</v>
      </c>
      <c r="C67" s="134">
        <f>1.05^(A70-A67)</f>
        <v>1.1576250000000001</v>
      </c>
      <c r="D67" s="149">
        <v>0.95</v>
      </c>
      <c r="E67" s="133">
        <f t="shared" ref="E67:E70" si="3">B67*C67*D67</f>
        <v>12515.083875</v>
      </c>
      <c r="F67" s="133">
        <f>(D58*E73)/(C67*D67)</f>
        <v>12191.435796198966</v>
      </c>
      <c r="G67" s="3"/>
    </row>
    <row r="68" spans="1:7">
      <c r="A68" s="81">
        <f>A59</f>
        <v>2017</v>
      </c>
      <c r="B68" s="133">
        <f t="shared" si="2"/>
        <v>11190</v>
      </c>
      <c r="C68" s="134">
        <f>1.05^(A70-A68)</f>
        <v>1.1025</v>
      </c>
      <c r="D68" s="149">
        <v>1</v>
      </c>
      <c r="E68" s="133">
        <f t="shared" si="3"/>
        <v>12336.975</v>
      </c>
      <c r="F68" s="133">
        <f>(D59*E73)/(C68*D68)</f>
        <v>12286.76470782847</v>
      </c>
      <c r="G68" s="3"/>
    </row>
    <row r="69" spans="1:7">
      <c r="A69" s="81">
        <f>A60</f>
        <v>2018</v>
      </c>
      <c r="B69" s="133">
        <f>D16-A74</f>
        <v>10870</v>
      </c>
      <c r="C69" s="134">
        <f>1.05^(A70-A69)</f>
        <v>1.05</v>
      </c>
      <c r="D69" s="149">
        <v>1</v>
      </c>
      <c r="E69" s="133">
        <f t="shared" si="3"/>
        <v>11413.5</v>
      </c>
      <c r="F69" s="133">
        <f>(D60*E73)/(C69*D69)</f>
        <v>13871.871202566143</v>
      </c>
      <c r="G69" s="3"/>
    </row>
    <row r="70" spans="1:7">
      <c r="A70" s="84">
        <f>A61</f>
        <v>2019</v>
      </c>
      <c r="B70" s="137">
        <f>D17</f>
        <v>9040</v>
      </c>
      <c r="C70" s="138">
        <f>1.05^(A70-A70)</f>
        <v>1</v>
      </c>
      <c r="D70" s="150">
        <v>1</v>
      </c>
      <c r="E70" s="137">
        <f t="shared" si="3"/>
        <v>9040</v>
      </c>
      <c r="F70" s="137">
        <f>(D61*E73)/(C70*D70)</f>
        <v>15318.714165229001</v>
      </c>
      <c r="G70" s="3"/>
    </row>
    <row r="71" spans="1:7">
      <c r="A71" s="3"/>
      <c r="B71" s="141">
        <f>SUM(B66:B70)</f>
        <v>53630</v>
      </c>
      <c r="C71" s="142"/>
      <c r="D71" s="142"/>
      <c r="E71" s="141">
        <f t="shared" ref="E71:F71" si="4">SUM(E66:E70)</f>
        <v>57503.164093749998</v>
      </c>
      <c r="F71" s="141">
        <f t="shared" si="4"/>
        <v>65216.528224994123</v>
      </c>
      <c r="G71" s="62"/>
    </row>
    <row r="72" spans="1:7">
      <c r="A72" s="3"/>
      <c r="B72" s="3"/>
      <c r="C72" s="3"/>
      <c r="D72" s="3"/>
      <c r="E72" s="143"/>
      <c r="F72" s="143"/>
      <c r="G72" s="62"/>
    </row>
    <row r="73" spans="1:7">
      <c r="A73" s="2" t="s">
        <v>210</v>
      </c>
      <c r="D73" s="151" t="s">
        <v>211</v>
      </c>
      <c r="E73" s="152">
        <f>E71/G62</f>
        <v>0.70919972987171298</v>
      </c>
      <c r="F73" s="153"/>
      <c r="G73" s="18"/>
    </row>
    <row r="74" spans="1:7">
      <c r="A74" s="3">
        <v>600</v>
      </c>
      <c r="E74" s="145"/>
      <c r="G74" s="18"/>
    </row>
    <row r="75" spans="1:7">
      <c r="B75" s="148"/>
      <c r="F75" s="18"/>
      <c r="G75" s="18"/>
    </row>
    <row r="76" spans="1:7" ht="31.2">
      <c r="A76" s="93" t="s">
        <v>49</v>
      </c>
      <c r="B76" s="93" t="s">
        <v>212</v>
      </c>
      <c r="C76" s="93" t="s">
        <v>213</v>
      </c>
      <c r="D76" s="93" t="s">
        <v>214</v>
      </c>
      <c r="E76" s="93" t="s">
        <v>215</v>
      </c>
      <c r="F76" s="18"/>
      <c r="G76" s="18"/>
    </row>
    <row r="77" spans="1:7">
      <c r="A77" s="81">
        <v>2015</v>
      </c>
      <c r="B77" s="133">
        <f>D13</f>
        <v>11150</v>
      </c>
      <c r="C77" s="136">
        <f>1-F57</f>
        <v>2.9126213592232997E-2</v>
      </c>
      <c r="D77" s="133">
        <f>C77*F66</f>
        <v>336.34201028654962</v>
      </c>
      <c r="E77" s="133">
        <f>B77+D77</f>
        <v>11486.342010286549</v>
      </c>
      <c r="F77" s="18"/>
      <c r="G77" s="18"/>
    </row>
    <row r="78" spans="1:7">
      <c r="A78" s="81">
        <v>2016</v>
      </c>
      <c r="B78" s="133">
        <f t="shared" ref="B78:B81" si="5">D14</f>
        <v>11380</v>
      </c>
      <c r="C78" s="136">
        <f>1-F58</f>
        <v>5.2132701421800931E-2</v>
      </c>
      <c r="D78" s="133">
        <f>C78*F67</f>
        <v>635.57248226629656</v>
      </c>
      <c r="E78" s="133">
        <f>B78+D78</f>
        <v>12015.572482266296</v>
      </c>
      <c r="F78" s="18"/>
      <c r="G78" s="18"/>
    </row>
    <row r="79" spans="1:7">
      <c r="A79" s="81">
        <v>2017</v>
      </c>
      <c r="B79" s="133">
        <f t="shared" si="5"/>
        <v>11190</v>
      </c>
      <c r="C79" s="136">
        <f>1-F59</f>
        <v>9.0909090909090939E-2</v>
      </c>
      <c r="D79" s="133">
        <f>C79*F68</f>
        <v>1116.9786098025886</v>
      </c>
      <c r="E79" s="133">
        <f>B79+D79</f>
        <v>12306.978609802589</v>
      </c>
      <c r="G79" s="18"/>
    </row>
    <row r="80" spans="1:7">
      <c r="A80" s="81">
        <v>2018</v>
      </c>
      <c r="B80" s="133">
        <f t="shared" si="5"/>
        <v>11470</v>
      </c>
      <c r="C80" s="136">
        <f>1-F60</f>
        <v>0.23076923076923084</v>
      </c>
      <c r="D80" s="133">
        <f>C80*F69</f>
        <v>3201.2010467460336</v>
      </c>
      <c r="E80" s="133">
        <f>B80+D80</f>
        <v>14671.201046746033</v>
      </c>
      <c r="F80" s="18"/>
      <c r="G80" s="18"/>
    </row>
    <row r="81" spans="1:7">
      <c r="A81" s="84">
        <v>2019</v>
      </c>
      <c r="B81" s="137">
        <f t="shared" si="5"/>
        <v>9040</v>
      </c>
      <c r="C81" s="140">
        <f>1-F61</f>
        <v>0.41176470588235292</v>
      </c>
      <c r="D81" s="137">
        <f>C81*F70</f>
        <v>6307.7058327413533</v>
      </c>
      <c r="E81" s="137">
        <f>B81+D81</f>
        <v>15347.705832741354</v>
      </c>
      <c r="F81" s="154"/>
      <c r="G81" s="18"/>
    </row>
    <row r="82" spans="1:7">
      <c r="A82" s="3"/>
      <c r="B82" s="141">
        <f>SUM(B77:B81)</f>
        <v>54230</v>
      </c>
      <c r="C82" s="142"/>
      <c r="D82" s="141">
        <f t="shared" ref="D82:E82" si="6">SUM(D77:D81)</f>
        <v>11597.799981842822</v>
      </c>
      <c r="E82" s="141">
        <f t="shared" si="6"/>
        <v>65827.799981842822</v>
      </c>
      <c r="G82" s="18"/>
    </row>
  </sheetData>
  <mergeCells count="7">
    <mergeCell ref="Y34:AB34"/>
    <mergeCell ref="D40:H40"/>
    <mergeCell ref="C64:D64"/>
    <mergeCell ref="I34:L34"/>
    <mergeCell ref="M34:P34"/>
    <mergeCell ref="Q34:T34"/>
    <mergeCell ref="U34:X34"/>
  </mergeCells>
  <hyperlinks>
    <hyperlink ref="V1" location="TOC!A1" display="Table of Contents" xr:uid="{9EA0BD5A-F361-476C-8C19-508D1F5CF183}"/>
  </hyperlinks>
  <pageMargins left="0.39370078740157483" right="0.39370078740157483" top="0.39370078740157483" bottom="0.39370078740157483" header="0.31496062992125984" footer="0.31496062992125984"/>
  <pageSetup scale="58" orientation="portrait" verticalDpi="1200" r:id="rId1"/>
  <headerFooter>
    <oddFooter>&amp;L&amp;F [&amp;A]&amp;R&amp;P of &amp;N</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9131-D4BC-4C1E-A5F4-DA2CBC6BDAD6}">
  <dimension ref="A1:R63"/>
  <sheetViews>
    <sheetView zoomScaleNormal="100" workbookViewId="0"/>
  </sheetViews>
  <sheetFormatPr defaultColWidth="8.88671875" defaultRowHeight="15.6"/>
  <cols>
    <col min="1" max="1" width="8.88671875" style="2" customWidth="1"/>
    <col min="2" max="2" width="12.6640625" style="2" customWidth="1"/>
    <col min="3" max="4" width="18.77734375" style="2" customWidth="1"/>
    <col min="5" max="5" width="27.44140625" style="2" customWidth="1"/>
    <col min="6" max="6" width="20.5546875" style="2" customWidth="1"/>
    <col min="7" max="7" width="8.88671875" style="2"/>
    <col min="8" max="8" width="8.88671875" style="2" customWidth="1"/>
    <col min="9" max="16384" width="8.88671875" style="2"/>
  </cols>
  <sheetData>
    <row r="1" spans="1:18" ht="17.399999999999999">
      <c r="A1" s="13" t="s">
        <v>2268</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1977</v>
      </c>
      <c r="B3" s="1"/>
      <c r="C3" s="1"/>
      <c r="D3" s="1"/>
      <c r="E3" s="1"/>
      <c r="F3" s="1"/>
      <c r="G3" s="1"/>
      <c r="H3" s="1"/>
      <c r="I3" s="1"/>
      <c r="J3" s="1"/>
      <c r="K3" s="1"/>
      <c r="L3" s="14"/>
    </row>
    <row r="4" spans="1:18">
      <c r="A4" s="3"/>
      <c r="B4" s="3"/>
      <c r="C4" s="3"/>
      <c r="D4" s="3"/>
      <c r="E4" s="3"/>
      <c r="F4" s="3"/>
      <c r="G4" s="3"/>
      <c r="H4" s="3"/>
      <c r="I4" s="3"/>
      <c r="J4" s="3"/>
      <c r="K4" s="3"/>
      <c r="L4" s="3"/>
    </row>
    <row r="5" spans="1:18" ht="15.6" customHeight="1">
      <c r="A5" s="17" t="s">
        <v>91</v>
      </c>
      <c r="B5" s="1" t="s">
        <v>1978</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775</v>
      </c>
      <c r="B9" s="3"/>
      <c r="C9" s="3"/>
      <c r="D9" s="3"/>
      <c r="E9" s="3"/>
      <c r="F9" s="3"/>
      <c r="G9" s="3"/>
      <c r="H9" s="3"/>
      <c r="I9" s="3"/>
      <c r="J9" s="3"/>
      <c r="K9" s="3"/>
      <c r="L9" s="3"/>
      <c r="M9" s="3"/>
      <c r="N9" s="9"/>
    </row>
    <row r="10" spans="1:18">
      <c r="A10" s="2" t="s">
        <v>1979</v>
      </c>
      <c r="M10" s="9"/>
      <c r="N10" s="9"/>
    </row>
    <row r="11" spans="1:18">
      <c r="A11" s="2" t="s">
        <v>1980</v>
      </c>
      <c r="M11" s="9"/>
      <c r="N11" s="9"/>
    </row>
    <row r="12" spans="1:18">
      <c r="A12" s="2" t="s">
        <v>1981</v>
      </c>
      <c r="M12" s="9"/>
      <c r="N12" s="9"/>
    </row>
    <row r="13" spans="1:18">
      <c r="M13" s="9"/>
      <c r="N13" s="9"/>
    </row>
    <row r="14" spans="1:18">
      <c r="A14" s="1"/>
      <c r="B14" s="1"/>
      <c r="C14" s="1"/>
      <c r="D14" s="1"/>
      <c r="E14" s="1"/>
      <c r="F14" s="1"/>
      <c r="G14" s="1"/>
      <c r="H14" s="1"/>
      <c r="I14" s="1"/>
      <c r="J14" s="1"/>
      <c r="K14" s="1"/>
      <c r="L14" s="1"/>
      <c r="M14" s="9"/>
      <c r="N14" s="9"/>
    </row>
    <row r="15" spans="1:18">
      <c r="A15" s="1" t="s">
        <v>1719</v>
      </c>
      <c r="B15" s="1"/>
      <c r="C15" s="1"/>
      <c r="D15" s="1"/>
      <c r="E15" s="1"/>
      <c r="F15" s="1"/>
      <c r="G15" s="1"/>
      <c r="H15" s="1"/>
      <c r="I15" s="1"/>
      <c r="J15" s="1"/>
      <c r="K15" s="1"/>
      <c r="L15" s="1"/>
      <c r="M15" s="9"/>
      <c r="N15" s="9"/>
    </row>
    <row r="16" spans="1:18" ht="46.8">
      <c r="A16" s="1"/>
      <c r="B16" s="4" t="s">
        <v>49</v>
      </c>
      <c r="C16" s="4" t="s">
        <v>1982</v>
      </c>
      <c r="D16" s="4" t="s">
        <v>1983</v>
      </c>
      <c r="E16" s="1"/>
      <c r="F16" s="1"/>
      <c r="G16" s="1"/>
      <c r="H16" s="1"/>
      <c r="I16" s="1"/>
      <c r="J16" s="1"/>
      <c r="K16" s="1"/>
      <c r="L16" s="1"/>
      <c r="M16" s="9"/>
      <c r="N16" s="9"/>
    </row>
    <row r="17" spans="1:14">
      <c r="A17" s="1"/>
      <c r="B17" s="32">
        <v>2019</v>
      </c>
      <c r="C17" s="92">
        <v>9850000</v>
      </c>
      <c r="D17" s="92">
        <v>12108000</v>
      </c>
      <c r="E17" s="1"/>
      <c r="F17" s="1"/>
      <c r="G17" s="1"/>
      <c r="H17" s="1"/>
      <c r="I17" s="1"/>
      <c r="J17" s="1"/>
      <c r="K17" s="1"/>
      <c r="L17" s="1"/>
      <c r="M17" s="9"/>
      <c r="N17" s="9"/>
    </row>
    <row r="18" spans="1:14">
      <c r="A18" s="1"/>
      <c r="B18" s="32">
        <v>2020</v>
      </c>
      <c r="C18" s="92">
        <v>10365000</v>
      </c>
      <c r="D18" s="92">
        <v>12658000</v>
      </c>
      <c r="E18" s="1"/>
      <c r="F18" s="1"/>
      <c r="G18" s="1"/>
      <c r="H18" s="1"/>
      <c r="I18" s="1"/>
      <c r="J18" s="1"/>
      <c r="K18" s="1"/>
      <c r="L18" s="1"/>
      <c r="M18" s="9"/>
      <c r="N18" s="9"/>
    </row>
    <row r="19" spans="1:14">
      <c r="A19" s="1"/>
      <c r="B19" s="32">
        <v>2021</v>
      </c>
      <c r="C19" s="92">
        <v>11275000</v>
      </c>
      <c r="D19" s="92">
        <v>15334000</v>
      </c>
      <c r="E19" s="1"/>
      <c r="F19" s="1"/>
      <c r="G19" s="1"/>
      <c r="H19" s="1"/>
      <c r="I19" s="1"/>
      <c r="J19" s="1"/>
      <c r="K19" s="1"/>
      <c r="L19" s="1"/>
      <c r="M19" s="9"/>
      <c r="N19" s="9"/>
    </row>
    <row r="20" spans="1:14">
      <c r="A20" s="1"/>
      <c r="B20" s="32">
        <v>2022</v>
      </c>
      <c r="C20" s="92">
        <v>12385000</v>
      </c>
      <c r="D20" s="92">
        <v>14357000</v>
      </c>
      <c r="E20" s="1"/>
      <c r="F20" s="1"/>
      <c r="G20" s="1"/>
      <c r="H20" s="1"/>
      <c r="I20" s="1"/>
      <c r="J20" s="1"/>
      <c r="K20" s="1"/>
      <c r="L20" s="1"/>
      <c r="M20" s="9"/>
      <c r="N20" s="9"/>
    </row>
    <row r="21" spans="1:14">
      <c r="A21" s="1"/>
      <c r="B21" s="1"/>
      <c r="C21" s="1"/>
      <c r="D21" s="1"/>
      <c r="E21" s="1"/>
      <c r="F21" s="1"/>
      <c r="G21" s="1"/>
      <c r="H21" s="1"/>
      <c r="I21" s="1"/>
      <c r="J21" s="1"/>
      <c r="K21" s="1"/>
      <c r="L21" s="1"/>
      <c r="M21" s="9"/>
      <c r="N21" s="9"/>
    </row>
    <row r="22" spans="1:14">
      <c r="A22" s="1"/>
      <c r="B22" s="1" t="s">
        <v>1984</v>
      </c>
      <c r="C22" s="1"/>
      <c r="D22" s="1"/>
      <c r="E22" s="1"/>
      <c r="F22" s="654"/>
      <c r="G22" s="1"/>
      <c r="H22" s="1"/>
      <c r="I22" s="1"/>
      <c r="J22" s="1"/>
      <c r="K22" s="1"/>
      <c r="L22" s="1"/>
      <c r="M22" s="9"/>
      <c r="N22" s="9"/>
    </row>
    <row r="23" spans="1:14">
      <c r="A23" s="1"/>
      <c r="B23" s="1" t="s">
        <v>1985</v>
      </c>
      <c r="C23" s="1"/>
      <c r="D23" s="1"/>
      <c r="E23" s="1"/>
      <c r="F23" s="1"/>
      <c r="G23" s="1"/>
      <c r="H23" s="1"/>
      <c r="I23" s="1"/>
      <c r="J23" s="1"/>
      <c r="K23" s="1"/>
      <c r="L23" s="1"/>
      <c r="M23" s="9"/>
      <c r="N23" s="9"/>
    </row>
    <row r="24" spans="1:14">
      <c r="A24" s="1"/>
      <c r="B24" s="1" t="s">
        <v>1986</v>
      </c>
      <c r="C24" s="1"/>
      <c r="D24" s="1"/>
      <c r="E24" s="377">
        <v>0.05</v>
      </c>
      <c r="F24" s="14"/>
      <c r="G24" s="1"/>
      <c r="H24" s="1"/>
      <c r="I24" s="1"/>
      <c r="J24" s="1"/>
      <c r="K24" s="1"/>
      <c r="L24" s="1"/>
      <c r="M24" s="9"/>
      <c r="N24" s="9"/>
    </row>
    <row r="25" spans="1:14">
      <c r="A25" s="1"/>
      <c r="B25" s="1" t="s">
        <v>1987</v>
      </c>
      <c r="C25" s="1"/>
      <c r="D25" s="1"/>
      <c r="E25" s="377">
        <v>7.0000000000000007E-2</v>
      </c>
      <c r="F25" s="14"/>
      <c r="G25" s="1"/>
      <c r="H25" s="1"/>
      <c r="I25" s="1"/>
      <c r="J25" s="1"/>
      <c r="K25" s="1"/>
      <c r="L25" s="1"/>
      <c r="M25" s="9"/>
      <c r="N25" s="9"/>
    </row>
    <row r="26" spans="1:14">
      <c r="A26" s="1"/>
      <c r="B26" s="1" t="s">
        <v>1988</v>
      </c>
      <c r="C26" s="1"/>
      <c r="D26" s="1"/>
      <c r="E26" s="1"/>
      <c r="F26" s="228">
        <v>1.28</v>
      </c>
      <c r="G26" s="1" t="s">
        <v>1989</v>
      </c>
      <c r="H26" s="14"/>
      <c r="I26" s="1"/>
      <c r="J26" s="1"/>
      <c r="K26" s="1"/>
      <c r="L26" s="1"/>
      <c r="M26" s="9"/>
      <c r="N26" s="9"/>
    </row>
    <row r="27" spans="1:14">
      <c r="A27" s="1"/>
      <c r="B27" s="1" t="s">
        <v>1990</v>
      </c>
      <c r="C27" s="1"/>
      <c r="D27" s="1"/>
      <c r="E27" s="1"/>
      <c r="F27" s="1"/>
      <c r="G27" s="1"/>
      <c r="H27" s="1"/>
      <c r="I27" s="1"/>
      <c r="J27" s="1"/>
      <c r="K27" s="1"/>
      <c r="L27" s="1"/>
      <c r="M27" s="9"/>
      <c r="N27" s="9"/>
    </row>
    <row r="28" spans="1:14">
      <c r="A28" s="1"/>
      <c r="B28" s="1"/>
      <c r="C28" s="1"/>
      <c r="D28" s="1"/>
      <c r="E28" s="1"/>
      <c r="F28" s="1"/>
      <c r="G28" s="1"/>
      <c r="H28" s="1"/>
      <c r="I28" s="1"/>
      <c r="J28" s="1"/>
      <c r="K28" s="1"/>
      <c r="L28" s="1"/>
      <c r="M28" s="9"/>
      <c r="N28" s="9"/>
    </row>
    <row r="30" spans="1:14">
      <c r="A30" s="17" t="s">
        <v>133</v>
      </c>
      <c r="B30" s="1" t="s">
        <v>1991</v>
      </c>
      <c r="C30" s="1"/>
      <c r="D30" s="1"/>
      <c r="E30" s="1"/>
      <c r="F30" s="1"/>
      <c r="G30" s="1"/>
      <c r="H30" s="1"/>
      <c r="I30" s="1"/>
      <c r="J30" s="1"/>
      <c r="K30" s="1"/>
      <c r="L30" s="1"/>
    </row>
    <row r="31" spans="1:14">
      <c r="A31" s="3"/>
      <c r="B31" s="3"/>
      <c r="C31" s="3"/>
      <c r="D31" s="3"/>
      <c r="E31" s="3"/>
      <c r="F31" s="3"/>
      <c r="G31" s="3"/>
      <c r="H31" s="3"/>
      <c r="I31" s="3"/>
      <c r="J31" s="3"/>
      <c r="K31" s="3"/>
      <c r="L31" s="3"/>
    </row>
    <row r="32" spans="1:14">
      <c r="A32" s="3" t="s">
        <v>20</v>
      </c>
      <c r="B32" s="3"/>
      <c r="C32" s="3"/>
      <c r="D32" s="3"/>
      <c r="E32" s="3"/>
      <c r="F32" s="3"/>
      <c r="G32" s="3"/>
      <c r="H32" s="3"/>
      <c r="I32" s="3"/>
      <c r="J32" s="3"/>
      <c r="K32" s="3"/>
      <c r="L32" s="3"/>
    </row>
    <row r="33" spans="1:13">
      <c r="A33" s="3"/>
      <c r="B33" s="3"/>
      <c r="C33" s="3"/>
      <c r="D33" s="3"/>
      <c r="E33" s="3"/>
      <c r="F33" s="3"/>
      <c r="G33" s="3"/>
      <c r="H33" s="3"/>
      <c r="I33" s="3"/>
      <c r="J33" s="3"/>
      <c r="K33" s="3"/>
      <c r="L33" s="3"/>
    </row>
    <row r="34" spans="1:13">
      <c r="A34" s="2" t="s">
        <v>668</v>
      </c>
      <c r="D34" s="655">
        <v>45474</v>
      </c>
      <c r="E34" s="60" t="s">
        <v>1992</v>
      </c>
      <c r="G34" s="3"/>
      <c r="H34" s="3"/>
      <c r="I34" s="3"/>
      <c r="J34" s="3"/>
      <c r="K34" s="3"/>
      <c r="L34" s="3"/>
    </row>
    <row r="35" spans="1:13">
      <c r="A35" s="60" t="s">
        <v>1993</v>
      </c>
      <c r="D35" s="151">
        <v>24</v>
      </c>
      <c r="E35" s="60"/>
      <c r="G35" s="3"/>
      <c r="H35" s="3"/>
      <c r="I35" s="3"/>
      <c r="J35" s="3"/>
      <c r="K35" s="3"/>
      <c r="L35" s="3"/>
    </row>
    <row r="36" spans="1:13">
      <c r="A36" s="511"/>
      <c r="B36" s="18"/>
      <c r="G36" s="3"/>
      <c r="H36" s="3"/>
      <c r="I36" s="3"/>
      <c r="J36" s="3"/>
      <c r="K36" s="3"/>
      <c r="L36" s="3"/>
    </row>
    <row r="37" spans="1:13">
      <c r="C37" s="88" t="s">
        <v>1994</v>
      </c>
      <c r="D37" s="87"/>
      <c r="G37" s="3"/>
      <c r="H37" s="3"/>
      <c r="I37" s="3"/>
      <c r="J37" s="3"/>
      <c r="K37" s="3"/>
      <c r="L37" s="3"/>
    </row>
    <row r="38" spans="1:13" ht="46.8">
      <c r="A38" s="36" t="s">
        <v>49</v>
      </c>
      <c r="B38" s="36" t="s">
        <v>591</v>
      </c>
      <c r="C38" s="656">
        <f>E24</f>
        <v>0.05</v>
      </c>
      <c r="D38" s="656">
        <f>E25</f>
        <v>7.0000000000000007E-2</v>
      </c>
      <c r="E38" s="36" t="s">
        <v>1995</v>
      </c>
      <c r="F38" s="36" t="s">
        <v>1996</v>
      </c>
      <c r="G38" s="3"/>
      <c r="H38" s="3"/>
      <c r="I38" s="3"/>
      <c r="J38" s="3"/>
      <c r="K38" s="3"/>
      <c r="L38" s="3"/>
    </row>
    <row r="39" spans="1:13">
      <c r="A39" s="34">
        <f>B17</f>
        <v>2019</v>
      </c>
      <c r="B39" s="34">
        <f t="shared" ref="B39:B40" si="0">B40+12</f>
        <v>60</v>
      </c>
      <c r="C39" s="160">
        <f>(1+$C$38)^($B39/12)</f>
        <v>1.2762815625000001</v>
      </c>
      <c r="D39" s="160">
        <f>(1+$D$38)^($B39/12)</f>
        <v>1.4025517307000002</v>
      </c>
      <c r="E39" s="160">
        <f>D39/C39</f>
        <v>1.0989359808290735</v>
      </c>
      <c r="F39" s="160">
        <f>$F$26/E39</f>
        <v>1.164763027446172</v>
      </c>
      <c r="G39" s="3"/>
      <c r="H39" s="3"/>
      <c r="I39" s="3"/>
      <c r="J39" s="3"/>
      <c r="K39" s="3"/>
      <c r="L39" s="3"/>
    </row>
    <row r="40" spans="1:13">
      <c r="A40" s="34">
        <f>A39+1</f>
        <v>2020</v>
      </c>
      <c r="B40" s="34">
        <f t="shared" si="0"/>
        <v>48</v>
      </c>
      <c r="C40" s="160">
        <f>(1+$C$38)^($B40/12)</f>
        <v>1.21550625</v>
      </c>
      <c r="D40" s="160">
        <f>(1+$D$38)^($B40/12)</f>
        <v>1.31079601</v>
      </c>
      <c r="E40" s="160">
        <f t="shared" ref="E40:E42" si="1">D40/C40</f>
        <v>1.0783951213743246</v>
      </c>
      <c r="F40" s="160">
        <f>$F$26/E40</f>
        <v>1.186948989873718</v>
      </c>
      <c r="M40" s="3"/>
    </row>
    <row r="41" spans="1:13">
      <c r="A41" s="34">
        <f t="shared" ref="A41:A42" si="2">A40+1</f>
        <v>2021</v>
      </c>
      <c r="B41" s="34">
        <f>B42+12</f>
        <v>36</v>
      </c>
      <c r="C41" s="160">
        <f>(1+$C$38)^($B41/12)</f>
        <v>1.1576250000000001</v>
      </c>
      <c r="D41" s="160">
        <f>(1+$D$38)^($B41/12)</f>
        <v>1.2250430000000001</v>
      </c>
      <c r="E41" s="160">
        <f t="shared" si="1"/>
        <v>1.058238203217795</v>
      </c>
      <c r="F41" s="160">
        <f>$F$26/E41</f>
        <v>1.2095575420617888</v>
      </c>
      <c r="M41" s="3"/>
    </row>
    <row r="42" spans="1:13">
      <c r="A42" s="34">
        <f t="shared" si="2"/>
        <v>2022</v>
      </c>
      <c r="B42" s="94">
        <f>D35</f>
        <v>24</v>
      </c>
      <c r="C42" s="160">
        <f>(1+$C$38)^($B42/12)</f>
        <v>1.1025</v>
      </c>
      <c r="D42" s="160">
        <f>(1+$D$38)^($B42/12)</f>
        <v>1.1449</v>
      </c>
      <c r="E42" s="160">
        <f t="shared" si="1"/>
        <v>1.0384580498866214</v>
      </c>
      <c r="F42" s="160">
        <f>$F$26/E42</f>
        <v>1.2325967333391563</v>
      </c>
      <c r="M42" s="3"/>
    </row>
    <row r="44" spans="1:13" ht="15.6" customHeight="1">
      <c r="A44" s="17" t="s">
        <v>18</v>
      </c>
      <c r="B44" s="1" t="s">
        <v>1997</v>
      </c>
      <c r="C44" s="1"/>
      <c r="D44" s="1"/>
      <c r="E44" s="1"/>
      <c r="F44" s="1"/>
      <c r="G44" s="1"/>
      <c r="H44" s="1"/>
      <c r="I44" s="1"/>
      <c r="J44" s="1"/>
      <c r="K44" s="1"/>
      <c r="L44" s="1"/>
    </row>
    <row r="45" spans="1:13">
      <c r="A45" s="3"/>
      <c r="B45" s="3"/>
      <c r="C45" s="3"/>
      <c r="D45" s="3"/>
      <c r="E45" s="3"/>
      <c r="F45" s="3"/>
      <c r="G45" s="3"/>
      <c r="H45" s="3"/>
      <c r="I45" s="3"/>
      <c r="J45" s="3"/>
      <c r="K45" s="3"/>
      <c r="L45" s="3"/>
    </row>
    <row r="46" spans="1:13">
      <c r="A46" s="3" t="s">
        <v>20</v>
      </c>
      <c r="B46" s="3"/>
      <c r="C46" s="3"/>
      <c r="D46" s="3"/>
      <c r="E46" s="3"/>
      <c r="F46" s="3"/>
      <c r="G46" s="3"/>
      <c r="H46" s="3"/>
      <c r="I46" s="3"/>
      <c r="J46" s="3"/>
      <c r="K46" s="3"/>
      <c r="L46" s="3"/>
    </row>
    <row r="47" spans="1:13">
      <c r="A47" s="3"/>
      <c r="B47" s="3"/>
      <c r="C47" s="560"/>
      <c r="D47" s="560"/>
      <c r="E47" s="560"/>
      <c r="F47" s="3"/>
      <c r="G47" s="3"/>
      <c r="H47" s="3"/>
      <c r="I47" s="3"/>
      <c r="J47" s="3"/>
      <c r="K47" s="3"/>
      <c r="L47" s="3"/>
    </row>
    <row r="48" spans="1:13" ht="62.4">
      <c r="A48" s="3"/>
      <c r="B48" s="93" t="s">
        <v>49</v>
      </c>
      <c r="C48" s="36" t="s">
        <v>1982</v>
      </c>
      <c r="D48" s="36" t="s">
        <v>1996</v>
      </c>
      <c r="E48" s="93" t="s">
        <v>1998</v>
      </c>
      <c r="F48" s="3"/>
      <c r="G48" s="3"/>
      <c r="H48" s="3"/>
      <c r="I48" s="3"/>
      <c r="J48" s="3"/>
      <c r="K48" s="3"/>
      <c r="L48" s="3"/>
    </row>
    <row r="49" spans="1:14">
      <c r="B49" s="94">
        <f>$B$17</f>
        <v>2019</v>
      </c>
      <c r="C49" s="83">
        <f>C17</f>
        <v>9850000</v>
      </c>
      <c r="D49" s="332">
        <f>F39</f>
        <v>1.164763027446172</v>
      </c>
      <c r="E49" s="106">
        <f>D49*C17</f>
        <v>11472915.820344795</v>
      </c>
    </row>
    <row r="50" spans="1:14">
      <c r="B50" s="94">
        <f>B49+1</f>
        <v>2020</v>
      </c>
      <c r="C50" s="83">
        <f t="shared" ref="C50:C52" si="3">C18</f>
        <v>10365000</v>
      </c>
      <c r="D50" s="332">
        <f>F40</f>
        <v>1.186948989873718</v>
      </c>
      <c r="E50" s="106">
        <f>D50*C18</f>
        <v>12302726.280041087</v>
      </c>
    </row>
    <row r="51" spans="1:14">
      <c r="B51" s="94">
        <f>B50+1</f>
        <v>2021</v>
      </c>
      <c r="C51" s="83">
        <f t="shared" si="3"/>
        <v>11275000</v>
      </c>
      <c r="D51" s="332">
        <f>F41</f>
        <v>1.2095575420617888</v>
      </c>
      <c r="E51" s="106">
        <f>D51*C19</f>
        <v>13637761.286746668</v>
      </c>
      <c r="M51" s="3"/>
      <c r="N51" s="3"/>
    </row>
    <row r="52" spans="1:14">
      <c r="B52" s="94">
        <f>B51+1</f>
        <v>2022</v>
      </c>
      <c r="C52" s="83">
        <f t="shared" si="3"/>
        <v>12385000</v>
      </c>
      <c r="D52" s="332">
        <f>F42</f>
        <v>1.2325967333391563</v>
      </c>
      <c r="E52" s="106">
        <f>D52*C20</f>
        <v>15265710.542405451</v>
      </c>
      <c r="M52" s="3"/>
      <c r="N52" s="3"/>
    </row>
    <row r="54" spans="1:14">
      <c r="A54" s="17" t="s">
        <v>25</v>
      </c>
      <c r="B54" s="1" t="s">
        <v>1999</v>
      </c>
      <c r="C54" s="1"/>
      <c r="D54" s="1"/>
      <c r="E54" s="1"/>
      <c r="F54" s="1"/>
      <c r="G54" s="1"/>
      <c r="H54" s="1"/>
      <c r="I54" s="1"/>
      <c r="J54" s="1"/>
      <c r="K54" s="1"/>
      <c r="L54" s="1"/>
    </row>
    <row r="55" spans="1:14">
      <c r="A55" s="3"/>
      <c r="B55" s="3"/>
      <c r="C55" s="3"/>
      <c r="D55" s="3"/>
      <c r="E55" s="3"/>
      <c r="F55" s="3"/>
      <c r="G55" s="3"/>
      <c r="H55" s="3"/>
      <c r="I55" s="3"/>
      <c r="J55" s="3"/>
      <c r="K55" s="3"/>
      <c r="L55" s="3"/>
    </row>
    <row r="56" spans="1:14">
      <c r="A56" s="3" t="s">
        <v>20</v>
      </c>
      <c r="B56" s="3"/>
      <c r="C56" s="3"/>
      <c r="D56" s="3"/>
      <c r="E56" s="3"/>
      <c r="F56" s="3"/>
      <c r="G56" s="3"/>
      <c r="H56" s="3"/>
      <c r="I56" s="3"/>
      <c r="J56" s="3"/>
      <c r="K56" s="3"/>
      <c r="L56" s="3"/>
    </row>
    <row r="57" spans="1:14">
      <c r="A57" s="3"/>
      <c r="B57" s="3"/>
      <c r="C57" s="3"/>
      <c r="D57" s="3"/>
      <c r="E57" s="3"/>
      <c r="F57" s="3"/>
      <c r="G57" s="3"/>
      <c r="H57" s="3"/>
      <c r="I57" s="3"/>
      <c r="J57" s="3"/>
      <c r="K57" s="3"/>
      <c r="L57" s="3"/>
    </row>
    <row r="58" spans="1:14">
      <c r="A58" s="3" t="s">
        <v>2000</v>
      </c>
      <c r="B58" s="3"/>
      <c r="C58" s="3"/>
      <c r="D58" s="3"/>
      <c r="E58" s="3"/>
      <c r="F58" s="3"/>
      <c r="G58" s="3"/>
      <c r="H58" s="3"/>
      <c r="I58" s="3"/>
      <c r="J58" s="3"/>
      <c r="K58" s="3"/>
      <c r="L58" s="3"/>
    </row>
    <row r="59" spans="1:14">
      <c r="A59" s="100" t="s">
        <v>2001</v>
      </c>
      <c r="B59" s="3"/>
      <c r="C59" s="3"/>
      <c r="D59" s="3"/>
      <c r="E59" s="3"/>
      <c r="F59" s="3"/>
      <c r="G59" s="3"/>
      <c r="H59" s="3"/>
      <c r="I59" s="3"/>
      <c r="J59" s="3"/>
      <c r="K59" s="3"/>
      <c r="L59" s="3"/>
    </row>
    <row r="60" spans="1:14">
      <c r="A60" s="60" t="s">
        <v>2002</v>
      </c>
    </row>
    <row r="62" spans="1:14">
      <c r="M62" s="3"/>
    </row>
    <row r="63" spans="1:14">
      <c r="M63" s="3"/>
    </row>
  </sheetData>
  <hyperlinks>
    <hyperlink ref="O1" location="TOC!A1" display="Table of Contents" xr:uid="{E6A0BF1D-E9AC-4360-A2B5-FA2DFADEBE55}"/>
  </hyperlinks>
  <pageMargins left="0.7" right="0.7" top="0.75" bottom="0.75" header="0.3" footer="0.3"/>
  <pageSetup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30A7-5B55-4C83-88A1-2A92BECE7182}">
  <dimension ref="A1:O76"/>
  <sheetViews>
    <sheetView zoomScaleNormal="100" workbookViewId="0"/>
  </sheetViews>
  <sheetFormatPr defaultColWidth="8.88671875" defaultRowHeight="15.6"/>
  <cols>
    <col min="1" max="1" width="8.88671875" style="2" customWidth="1"/>
    <col min="2" max="10" width="11.77734375" style="2" customWidth="1"/>
    <col min="11" max="16384" width="8.88671875" style="2"/>
  </cols>
  <sheetData>
    <row r="1" spans="1:15" ht="17.399999999999999">
      <c r="A1" s="13" t="s">
        <v>2269</v>
      </c>
      <c r="B1" s="1"/>
      <c r="C1" s="1"/>
      <c r="D1" s="1" t="s">
        <v>216</v>
      </c>
      <c r="E1" s="1"/>
      <c r="F1" s="1"/>
      <c r="G1" s="1"/>
      <c r="H1" s="1"/>
      <c r="I1" s="1"/>
      <c r="J1" s="1"/>
      <c r="K1" s="1"/>
      <c r="L1" s="14"/>
      <c r="O1" s="21" t="s">
        <v>2927</v>
      </c>
    </row>
    <row r="2" spans="1:15">
      <c r="A2" s="1"/>
      <c r="B2" s="1"/>
      <c r="C2" s="1"/>
      <c r="D2" s="1"/>
      <c r="E2" s="1"/>
      <c r="F2" s="1"/>
      <c r="G2" s="1"/>
      <c r="H2" s="1"/>
      <c r="I2" s="1"/>
      <c r="J2" s="1"/>
      <c r="K2" s="1"/>
      <c r="L2" s="14"/>
      <c r="O2" s="21"/>
    </row>
    <row r="3" spans="1:15">
      <c r="A3" s="831" t="s">
        <v>2003</v>
      </c>
      <c r="B3" s="831"/>
      <c r="C3" s="831"/>
      <c r="D3" s="831"/>
      <c r="E3" s="831"/>
      <c r="F3" s="831"/>
      <c r="G3" s="831"/>
      <c r="H3" s="831"/>
      <c r="I3" s="831"/>
      <c r="J3" s="831"/>
      <c r="K3" s="831"/>
      <c r="L3" s="14"/>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c r="A6" s="43"/>
      <c r="B6" s="163" t="s">
        <v>53</v>
      </c>
      <c r="C6" s="853" t="s">
        <v>1416</v>
      </c>
      <c r="D6" s="841"/>
      <c r="E6" s="841"/>
      <c r="F6" s="841"/>
      <c r="G6" s="841"/>
      <c r="H6" s="841"/>
      <c r="I6" s="841"/>
      <c r="J6" s="163" t="s">
        <v>276</v>
      </c>
      <c r="K6" s="1"/>
      <c r="L6" s="1"/>
    </row>
    <row r="7" spans="1:15">
      <c r="A7" s="43"/>
      <c r="B7" s="166" t="s">
        <v>2004</v>
      </c>
      <c r="C7" s="193">
        <v>12</v>
      </c>
      <c r="D7" s="27">
        <v>24</v>
      </c>
      <c r="E7" s="27">
        <v>36</v>
      </c>
      <c r="F7" s="27">
        <v>48</v>
      </c>
      <c r="G7" s="27">
        <v>60</v>
      </c>
      <c r="H7" s="27">
        <v>72</v>
      </c>
      <c r="I7" s="27">
        <v>84</v>
      </c>
      <c r="J7" s="166" t="s">
        <v>304</v>
      </c>
      <c r="K7" s="1"/>
      <c r="L7" s="1"/>
    </row>
    <row r="8" spans="1:15">
      <c r="A8" s="43"/>
      <c r="B8" s="197">
        <v>2017</v>
      </c>
      <c r="C8" s="32">
        <v>401</v>
      </c>
      <c r="D8" s="32">
        <v>111</v>
      </c>
      <c r="E8" s="32">
        <v>78</v>
      </c>
      <c r="F8" s="32">
        <v>69</v>
      </c>
      <c r="G8" s="32">
        <v>47</v>
      </c>
      <c r="H8" s="32">
        <v>26</v>
      </c>
      <c r="I8" s="657">
        <v>42</v>
      </c>
      <c r="J8" s="32">
        <v>774</v>
      </c>
      <c r="K8" s="1"/>
      <c r="L8" s="1"/>
    </row>
    <row r="9" spans="1:15">
      <c r="A9" s="1"/>
      <c r="B9" s="32">
        <v>2018</v>
      </c>
      <c r="C9" s="32">
        <v>410</v>
      </c>
      <c r="D9" s="32">
        <v>103</v>
      </c>
      <c r="E9" s="32">
        <v>95</v>
      </c>
      <c r="F9" s="32">
        <v>68</v>
      </c>
      <c r="G9" s="32">
        <v>39</v>
      </c>
      <c r="H9" s="657">
        <v>45</v>
      </c>
      <c r="I9" s="657">
        <v>23</v>
      </c>
      <c r="J9" s="32">
        <v>783</v>
      </c>
      <c r="K9" s="1"/>
      <c r="L9" s="1"/>
    </row>
    <row r="10" spans="1:15">
      <c r="A10" s="1"/>
      <c r="B10" s="32">
        <v>2019</v>
      </c>
      <c r="C10" s="32">
        <v>410</v>
      </c>
      <c r="D10" s="32">
        <v>114</v>
      </c>
      <c r="E10" s="32">
        <v>94</v>
      </c>
      <c r="F10" s="32">
        <v>67</v>
      </c>
      <c r="G10" s="657">
        <v>47</v>
      </c>
      <c r="H10" s="657">
        <v>47</v>
      </c>
      <c r="I10" s="657">
        <v>24</v>
      </c>
      <c r="J10" s="32">
        <v>803</v>
      </c>
      <c r="K10" s="1"/>
      <c r="L10" s="1"/>
    </row>
    <row r="11" spans="1:15">
      <c r="A11" s="43"/>
      <c r="B11" s="32">
        <v>2020</v>
      </c>
      <c r="C11" s="32">
        <v>410</v>
      </c>
      <c r="D11" s="32">
        <v>120</v>
      </c>
      <c r="E11" s="32">
        <v>95</v>
      </c>
      <c r="F11" s="657">
        <v>67</v>
      </c>
      <c r="G11" s="657">
        <v>50</v>
      </c>
      <c r="H11" s="657">
        <v>51</v>
      </c>
      <c r="I11" s="657">
        <v>25</v>
      </c>
      <c r="J11" s="32">
        <v>818</v>
      </c>
      <c r="K11" s="1"/>
      <c r="L11" s="1"/>
    </row>
    <row r="12" spans="1:15" ht="16.2">
      <c r="A12" s="1"/>
      <c r="B12" s="32">
        <v>2021</v>
      </c>
      <c r="C12" s="32">
        <v>425</v>
      </c>
      <c r="D12" s="32">
        <v>111</v>
      </c>
      <c r="E12" s="658">
        <v>95</v>
      </c>
      <c r="F12" s="657">
        <v>66</v>
      </c>
      <c r="G12" s="657">
        <v>49</v>
      </c>
      <c r="H12" s="657">
        <v>49</v>
      </c>
      <c r="I12" s="657">
        <v>25</v>
      </c>
      <c r="J12" s="32">
        <v>820</v>
      </c>
      <c r="K12" s="1"/>
      <c r="L12" s="1"/>
    </row>
    <row r="13" spans="1:15">
      <c r="A13" s="1"/>
      <c r="B13" s="32">
        <v>2022</v>
      </c>
      <c r="C13" s="32">
        <v>434</v>
      </c>
      <c r="D13" s="657">
        <v>120</v>
      </c>
      <c r="E13" s="657">
        <v>96</v>
      </c>
      <c r="F13" s="657">
        <v>66</v>
      </c>
      <c r="G13" s="657">
        <v>50</v>
      </c>
      <c r="H13" s="657">
        <v>50</v>
      </c>
      <c r="I13" s="657">
        <v>25</v>
      </c>
      <c r="J13" s="32">
        <v>841</v>
      </c>
      <c r="K13" s="1"/>
      <c r="L13" s="1"/>
    </row>
    <row r="14" spans="1:15">
      <c r="A14" s="1"/>
      <c r="B14" s="1"/>
      <c r="C14" s="1"/>
      <c r="D14" s="1"/>
      <c r="E14" s="1"/>
      <c r="F14" s="1"/>
      <c r="G14" s="1"/>
      <c r="H14" s="1"/>
      <c r="I14" s="1"/>
      <c r="J14" s="1"/>
      <c r="K14" s="1"/>
      <c r="L14" s="1"/>
    </row>
    <row r="15" spans="1:15">
      <c r="A15" s="1"/>
      <c r="B15" s="841" t="s">
        <v>2005</v>
      </c>
      <c r="C15" s="841"/>
      <c r="D15" s="841"/>
      <c r="E15" s="841"/>
      <c r="F15" s="841"/>
      <c r="G15" s="841"/>
      <c r="H15" s="841"/>
      <c r="I15" s="14"/>
      <c r="J15" s="1"/>
      <c r="K15" s="1"/>
      <c r="L15" s="1"/>
    </row>
    <row r="16" spans="1:15">
      <c r="A16" s="1"/>
      <c r="B16" s="27">
        <v>12</v>
      </c>
      <c r="C16" s="27">
        <v>24</v>
      </c>
      <c r="D16" s="27">
        <v>36</v>
      </c>
      <c r="E16" s="27">
        <v>48</v>
      </c>
      <c r="F16" s="27">
        <v>60</v>
      </c>
      <c r="G16" s="27">
        <v>72</v>
      </c>
      <c r="H16" s="27">
        <v>84</v>
      </c>
      <c r="I16" s="14"/>
      <c r="J16" s="1"/>
      <c r="K16" s="1"/>
      <c r="L16" s="1"/>
    </row>
    <row r="17" spans="1:14">
      <c r="A17" s="1"/>
      <c r="B17" s="184">
        <v>0.51</v>
      </c>
      <c r="C17" s="184">
        <v>0.65400000000000003</v>
      </c>
      <c r="D17" s="184">
        <v>0.77</v>
      </c>
      <c r="E17" s="184">
        <v>0.85</v>
      </c>
      <c r="F17" s="184">
        <v>0.91</v>
      </c>
      <c r="G17" s="184">
        <v>0.97</v>
      </c>
      <c r="H17" s="184">
        <v>1</v>
      </c>
      <c r="I17" s="14"/>
      <c r="J17" s="1"/>
      <c r="K17" s="1"/>
      <c r="L17" s="1"/>
    </row>
    <row r="18" spans="1:14">
      <c r="A18" s="1"/>
      <c r="B18" s="1"/>
      <c r="C18" s="1"/>
      <c r="D18" s="1"/>
      <c r="E18" s="1"/>
      <c r="F18" s="1"/>
      <c r="G18" s="1"/>
      <c r="H18" s="1"/>
      <c r="I18" s="1"/>
      <c r="J18" s="1"/>
      <c r="K18" s="1"/>
      <c r="L18" s="1"/>
    </row>
    <row r="19" spans="1:14">
      <c r="A19" s="3"/>
      <c r="B19" s="3"/>
      <c r="C19" s="3"/>
      <c r="D19" s="3"/>
      <c r="E19" s="3"/>
      <c r="F19" s="3"/>
      <c r="G19" s="3"/>
      <c r="H19" s="3"/>
      <c r="I19" s="3"/>
      <c r="J19" s="3"/>
      <c r="K19" s="3"/>
      <c r="L19" s="3"/>
    </row>
    <row r="20" spans="1:14">
      <c r="A20" s="17" t="s">
        <v>91</v>
      </c>
      <c r="B20" s="1" t="s">
        <v>2006</v>
      </c>
      <c r="C20" s="1"/>
      <c r="D20" s="1"/>
      <c r="E20" s="1"/>
      <c r="F20" s="1"/>
      <c r="G20" s="1"/>
      <c r="H20" s="1"/>
      <c r="I20" s="1"/>
      <c r="J20" s="1"/>
      <c r="K20" s="1"/>
      <c r="L20" s="1"/>
      <c r="M20" s="9"/>
      <c r="N20" s="9"/>
    </row>
    <row r="21" spans="1:14">
      <c r="A21" s="3"/>
      <c r="B21" s="3"/>
      <c r="C21" s="3"/>
      <c r="D21" s="3"/>
      <c r="E21" s="3"/>
      <c r="F21" s="3"/>
      <c r="G21" s="3"/>
      <c r="H21" s="3"/>
      <c r="I21" s="3"/>
      <c r="J21" s="3"/>
      <c r="K21" s="3"/>
      <c r="L21" s="3"/>
      <c r="M21" s="3"/>
    </row>
    <row r="22" spans="1:14">
      <c r="A22" s="3" t="s">
        <v>20</v>
      </c>
      <c r="B22" s="3"/>
      <c r="C22" s="3"/>
      <c r="D22" s="3"/>
      <c r="E22" s="3"/>
      <c r="F22" s="3"/>
      <c r="G22" s="3"/>
      <c r="H22" s="3"/>
      <c r="I22" s="3"/>
      <c r="J22" s="3"/>
      <c r="K22" s="3"/>
      <c r="L22" s="3"/>
      <c r="M22" s="3"/>
      <c r="N22" s="9"/>
    </row>
    <row r="23" spans="1:14">
      <c r="A23" s="3"/>
      <c r="B23" s="3"/>
      <c r="C23" s="3"/>
      <c r="D23" s="3"/>
      <c r="E23" s="3"/>
      <c r="F23" s="3"/>
      <c r="G23" s="3"/>
      <c r="H23" s="3"/>
      <c r="I23" s="3"/>
      <c r="J23" s="3"/>
      <c r="K23" s="3"/>
      <c r="L23" s="3"/>
      <c r="M23" s="3"/>
      <c r="N23" s="9"/>
    </row>
    <row r="24" spans="1:14">
      <c r="A24" s="3"/>
      <c r="B24" s="2" t="s">
        <v>2007</v>
      </c>
      <c r="E24" s="18"/>
      <c r="F24" s="34">
        <f>C12+D12</f>
        <v>536</v>
      </c>
      <c r="H24" s="18"/>
      <c r="K24" s="18"/>
      <c r="L24" s="3"/>
      <c r="M24" s="3"/>
      <c r="N24" s="9"/>
    </row>
    <row r="25" spans="1:14">
      <c r="B25" s="2" t="s">
        <v>2008</v>
      </c>
      <c r="F25" s="34">
        <f>ROUND((J12-C12-D12)*(D17-C17)/(1-C17)+C12+D12,0)</f>
        <v>631</v>
      </c>
      <c r="H25" s="18"/>
      <c r="K25" s="18"/>
      <c r="M25" s="9"/>
      <c r="N25" s="9"/>
    </row>
    <row r="26" spans="1:14">
      <c r="B26" s="2" t="s">
        <v>2009</v>
      </c>
      <c r="F26" s="34">
        <f>F25-F24</f>
        <v>95</v>
      </c>
      <c r="H26" s="18"/>
      <c r="K26" s="18"/>
      <c r="M26" s="9"/>
      <c r="N26" s="9"/>
    </row>
    <row r="27" spans="1:14">
      <c r="M27" s="9"/>
      <c r="N27" s="9"/>
    </row>
    <row r="28" spans="1:14">
      <c r="A28" s="1"/>
      <c r="B28" s="1"/>
      <c r="C28" s="1"/>
      <c r="D28" s="1"/>
      <c r="E28" s="1"/>
      <c r="F28" s="1"/>
      <c r="G28" s="1"/>
      <c r="H28" s="1"/>
      <c r="I28" s="1"/>
      <c r="J28" s="1"/>
      <c r="K28" s="1"/>
      <c r="L28" s="1"/>
      <c r="M28" s="9"/>
      <c r="N28" s="9"/>
    </row>
    <row r="29" spans="1:14">
      <c r="A29" s="1" t="s">
        <v>12</v>
      </c>
      <c r="B29" s="1"/>
      <c r="C29" s="1"/>
      <c r="D29" s="1"/>
      <c r="E29" s="1"/>
      <c r="F29" s="1"/>
      <c r="G29" s="1"/>
      <c r="H29" s="1"/>
      <c r="I29" s="1"/>
      <c r="J29" s="1"/>
      <c r="K29" s="1"/>
      <c r="L29" s="1"/>
      <c r="M29" s="9"/>
      <c r="N29" s="9"/>
    </row>
    <row r="30" spans="1:14">
      <c r="A30" s="1"/>
      <c r="B30" s="1"/>
      <c r="C30" s="1"/>
      <c r="D30" s="1"/>
      <c r="E30" s="1"/>
      <c r="F30" s="1"/>
      <c r="G30" s="1"/>
      <c r="H30" s="1"/>
      <c r="I30" s="1"/>
      <c r="J30" s="1"/>
      <c r="K30" s="1"/>
      <c r="L30" s="1"/>
      <c r="M30" s="9"/>
      <c r="N30" s="9"/>
    </row>
    <row r="31" spans="1:14">
      <c r="A31" s="1"/>
      <c r="B31" s="163" t="s">
        <v>53</v>
      </c>
      <c r="C31" s="853" t="s">
        <v>1417</v>
      </c>
      <c r="D31" s="841"/>
      <c r="E31" s="841"/>
      <c r="F31" s="841"/>
      <c r="G31" s="841"/>
      <c r="H31" s="841"/>
      <c r="I31" s="841"/>
      <c r="J31" s="1"/>
      <c r="K31" s="1"/>
      <c r="L31" s="1"/>
      <c r="M31" s="9"/>
      <c r="N31" s="9"/>
    </row>
    <row r="32" spans="1:14">
      <c r="A32" s="1"/>
      <c r="B32" s="166" t="s">
        <v>55</v>
      </c>
      <c r="C32" s="193">
        <v>12</v>
      </c>
      <c r="D32" s="27">
        <v>24</v>
      </c>
      <c r="E32" s="27">
        <v>36</v>
      </c>
      <c r="F32" s="27">
        <v>48</v>
      </c>
      <c r="G32" s="27">
        <v>60</v>
      </c>
      <c r="H32" s="27">
        <v>72</v>
      </c>
      <c r="I32" s="27">
        <v>84</v>
      </c>
      <c r="J32" s="1"/>
      <c r="K32" s="1"/>
      <c r="L32" s="1"/>
      <c r="M32" s="9"/>
      <c r="N32" s="9"/>
    </row>
    <row r="33" spans="1:14">
      <c r="A33" s="1"/>
      <c r="B33" s="197">
        <v>2017</v>
      </c>
      <c r="C33" s="32">
        <v>138</v>
      </c>
      <c r="D33" s="32">
        <v>166</v>
      </c>
      <c r="E33" s="32">
        <v>132</v>
      </c>
      <c r="F33" s="32">
        <v>122</v>
      </c>
      <c r="G33" s="32">
        <v>99</v>
      </c>
      <c r="H33" s="32">
        <v>73</v>
      </c>
      <c r="I33" s="657">
        <v>44</v>
      </c>
      <c r="J33" s="1"/>
      <c r="K33" s="1"/>
      <c r="L33" s="1"/>
      <c r="M33" s="9"/>
      <c r="N33" s="9"/>
    </row>
    <row r="34" spans="1:14">
      <c r="A34" s="1"/>
      <c r="B34" s="32">
        <v>2018</v>
      </c>
      <c r="C34" s="32">
        <v>141</v>
      </c>
      <c r="D34" s="32">
        <v>160</v>
      </c>
      <c r="E34" s="32">
        <v>154</v>
      </c>
      <c r="F34" s="32">
        <v>119</v>
      </c>
      <c r="G34" s="32">
        <v>92</v>
      </c>
      <c r="H34" s="657">
        <v>73</v>
      </c>
      <c r="I34" s="657">
        <v>44</v>
      </c>
      <c r="J34" s="1"/>
      <c r="K34" s="1"/>
      <c r="L34" s="1"/>
      <c r="M34" s="9"/>
      <c r="N34" s="9"/>
    </row>
    <row r="35" spans="1:14">
      <c r="A35" s="1"/>
      <c r="B35" s="32">
        <v>2019</v>
      </c>
      <c r="C35" s="32">
        <v>141</v>
      </c>
      <c r="D35" s="32">
        <v>171</v>
      </c>
      <c r="E35" s="32">
        <v>148</v>
      </c>
      <c r="F35" s="32">
        <v>123</v>
      </c>
      <c r="G35" s="657">
        <v>99</v>
      </c>
      <c r="H35" s="657">
        <v>75</v>
      </c>
      <c r="I35" s="657">
        <v>46</v>
      </c>
      <c r="J35" s="1"/>
      <c r="K35" s="1"/>
      <c r="L35" s="1"/>
      <c r="M35" s="9"/>
      <c r="N35" s="9"/>
    </row>
    <row r="36" spans="1:14">
      <c r="A36" s="1"/>
      <c r="B36" s="32">
        <v>2020</v>
      </c>
      <c r="C36" s="32">
        <v>141</v>
      </c>
      <c r="D36" s="32">
        <v>177</v>
      </c>
      <c r="E36" s="32">
        <v>149</v>
      </c>
      <c r="F36" s="657">
        <v>127</v>
      </c>
      <c r="G36" s="657">
        <v>101</v>
      </c>
      <c r="H36" s="657">
        <v>77</v>
      </c>
      <c r="I36" s="657">
        <v>46</v>
      </c>
      <c r="J36" s="1"/>
      <c r="K36" s="1"/>
      <c r="L36" s="1"/>
      <c r="M36" s="9"/>
      <c r="N36" s="9"/>
    </row>
    <row r="37" spans="1:14">
      <c r="A37" s="1"/>
      <c r="B37" s="32">
        <v>2021</v>
      </c>
      <c r="C37" s="32">
        <v>146</v>
      </c>
      <c r="D37" s="32">
        <v>170</v>
      </c>
      <c r="E37" s="657">
        <v>154</v>
      </c>
      <c r="F37" s="657">
        <v>126</v>
      </c>
      <c r="G37" s="657">
        <v>101</v>
      </c>
      <c r="H37" s="657">
        <v>77</v>
      </c>
      <c r="I37" s="657">
        <v>46</v>
      </c>
      <c r="J37" s="1"/>
      <c r="K37" s="1"/>
      <c r="L37" s="1"/>
      <c r="M37" s="9"/>
      <c r="N37" s="9"/>
    </row>
    <row r="38" spans="1:14">
      <c r="A38" s="1"/>
      <c r="B38" s="32">
        <v>2022</v>
      </c>
      <c r="C38" s="32">
        <v>149</v>
      </c>
      <c r="D38" s="657">
        <v>177</v>
      </c>
      <c r="E38" s="657">
        <v>158</v>
      </c>
      <c r="F38" s="657">
        <v>129</v>
      </c>
      <c r="G38" s="657">
        <v>102</v>
      </c>
      <c r="H38" s="657">
        <v>79</v>
      </c>
      <c r="I38" s="657">
        <v>47</v>
      </c>
      <c r="J38" s="1"/>
      <c r="K38" s="1"/>
      <c r="L38" s="1"/>
      <c r="M38" s="9"/>
      <c r="N38" s="9"/>
    </row>
    <row r="39" spans="1:14">
      <c r="A39" s="1"/>
      <c r="B39" s="1"/>
      <c r="C39" s="1"/>
      <c r="D39" s="1"/>
      <c r="E39" s="1"/>
      <c r="F39" s="1"/>
      <c r="G39" s="1"/>
      <c r="H39" s="1"/>
      <c r="I39" s="1"/>
      <c r="J39" s="1"/>
      <c r="K39" s="1"/>
      <c r="L39" s="1"/>
      <c r="M39" s="9"/>
      <c r="N39" s="9"/>
    </row>
    <row r="40" spans="1:14" ht="46.8">
      <c r="A40" s="1"/>
      <c r="B40" s="4" t="s">
        <v>3</v>
      </c>
      <c r="C40" s="4" t="s">
        <v>5</v>
      </c>
      <c r="D40" s="4" t="s">
        <v>1410</v>
      </c>
      <c r="E40" s="4" t="s">
        <v>1411</v>
      </c>
      <c r="F40" s="4" t="s">
        <v>551</v>
      </c>
      <c r="G40" s="1"/>
      <c r="H40" s="1"/>
      <c r="I40" s="1"/>
      <c r="J40" s="1"/>
      <c r="K40" s="1"/>
      <c r="L40" s="1"/>
      <c r="M40" s="9"/>
      <c r="N40" s="9"/>
    </row>
    <row r="41" spans="1:14">
      <c r="A41" s="1"/>
      <c r="B41" s="32">
        <v>2020</v>
      </c>
      <c r="C41" s="92">
        <v>640000</v>
      </c>
      <c r="D41" s="32">
        <v>796</v>
      </c>
      <c r="E41" s="32">
        <v>786</v>
      </c>
      <c r="F41" s="32">
        <v>792</v>
      </c>
      <c r="G41" s="1"/>
      <c r="H41" s="1"/>
      <c r="I41" s="1"/>
      <c r="J41" s="1"/>
      <c r="K41" s="1"/>
      <c r="L41" s="1"/>
      <c r="M41" s="9"/>
      <c r="N41" s="9"/>
    </row>
    <row r="42" spans="1:14">
      <c r="A42" s="1"/>
      <c r="B42" s="32">
        <v>2021</v>
      </c>
      <c r="C42" s="92">
        <v>675000</v>
      </c>
      <c r="D42" s="32">
        <v>819</v>
      </c>
      <c r="E42" s="32">
        <v>802</v>
      </c>
      <c r="F42" s="32">
        <v>803</v>
      </c>
      <c r="G42" s="1"/>
      <c r="H42" s="1"/>
      <c r="I42" s="1"/>
      <c r="J42" s="1"/>
      <c r="K42" s="1"/>
      <c r="L42" s="1"/>
      <c r="M42" s="9"/>
      <c r="N42" s="9"/>
    </row>
    <row r="43" spans="1:14">
      <c r="A43" s="1"/>
      <c r="B43" s="32">
        <v>2022</v>
      </c>
      <c r="C43" s="92">
        <v>692000</v>
      </c>
      <c r="D43" s="32">
        <v>814</v>
      </c>
      <c r="E43" s="32">
        <v>816</v>
      </c>
      <c r="F43" s="32">
        <v>800</v>
      </c>
      <c r="G43" s="1"/>
      <c r="H43" s="1"/>
      <c r="I43" s="1"/>
      <c r="J43" s="1"/>
      <c r="K43" s="1"/>
      <c r="L43" s="1"/>
      <c r="M43" s="9"/>
      <c r="N43" s="9"/>
    </row>
    <row r="44" spans="1:14">
      <c r="A44" s="1"/>
      <c r="B44" s="1"/>
      <c r="C44" s="1"/>
      <c r="D44" s="1"/>
      <c r="E44" s="1"/>
      <c r="F44" s="1"/>
      <c r="G44" s="1"/>
      <c r="H44" s="1"/>
      <c r="I44" s="1"/>
      <c r="J44" s="1"/>
      <c r="K44" s="1"/>
      <c r="L44" s="1"/>
      <c r="M44" s="9"/>
      <c r="N44" s="9"/>
    </row>
    <row r="45" spans="1:14">
      <c r="A45" s="1"/>
      <c r="B45" s="1" t="s">
        <v>2010</v>
      </c>
      <c r="C45" s="1"/>
      <c r="D45" s="14"/>
      <c r="E45" s="14"/>
      <c r="F45" s="14"/>
      <c r="G45" s="1"/>
      <c r="H45" s="1"/>
      <c r="I45" s="1"/>
      <c r="J45" s="1"/>
      <c r="K45" s="1"/>
      <c r="L45" s="1"/>
      <c r="M45" s="9"/>
      <c r="N45" s="9"/>
    </row>
    <row r="46" spans="1:14">
      <c r="A46" s="1"/>
      <c r="B46" s="1"/>
      <c r="C46" s="1"/>
      <c r="D46" s="1"/>
      <c r="E46" s="1"/>
      <c r="F46" s="1"/>
      <c r="G46" s="1"/>
      <c r="H46" s="1"/>
      <c r="I46" s="1"/>
      <c r="J46" s="1"/>
      <c r="K46" s="1"/>
      <c r="L46" s="1"/>
      <c r="M46" s="9"/>
      <c r="N46" s="9"/>
    </row>
    <row r="47" spans="1:14">
      <c r="A47" s="1"/>
      <c r="B47" s="543" t="s">
        <v>2011</v>
      </c>
      <c r="C47" s="243"/>
      <c r="D47" s="462">
        <v>0.25</v>
      </c>
      <c r="E47" s="1"/>
      <c r="F47" s="1"/>
      <c r="G47" s="1"/>
      <c r="H47" s="14"/>
      <c r="I47" s="1"/>
      <c r="J47" s="1"/>
      <c r="K47" s="1"/>
      <c r="L47" s="1"/>
      <c r="M47" s="9"/>
      <c r="N47" s="9"/>
    </row>
    <row r="48" spans="1:14">
      <c r="A48" s="1"/>
      <c r="B48" s="543" t="s">
        <v>2012</v>
      </c>
      <c r="C48" s="243"/>
      <c r="D48" s="462">
        <v>0.65</v>
      </c>
      <c r="E48" s="1"/>
      <c r="F48" s="1"/>
      <c r="G48" s="1"/>
      <c r="H48" s="14"/>
      <c r="I48" s="1"/>
      <c r="J48" s="1"/>
      <c r="K48" s="1"/>
      <c r="L48" s="1"/>
      <c r="M48" s="9"/>
      <c r="N48" s="9"/>
    </row>
    <row r="49" spans="1:14">
      <c r="A49" s="1"/>
      <c r="B49" s="543" t="s">
        <v>2013</v>
      </c>
      <c r="C49" s="243"/>
      <c r="D49" s="462">
        <v>0.1</v>
      </c>
      <c r="E49" s="1"/>
      <c r="F49" s="1"/>
      <c r="G49" s="1"/>
      <c r="H49" s="1"/>
      <c r="I49" s="1"/>
      <c r="J49" s="1"/>
      <c r="K49" s="1"/>
      <c r="L49" s="1"/>
      <c r="M49" s="9"/>
      <c r="N49" s="9"/>
    </row>
    <row r="50" spans="1:14">
      <c r="A50" s="1"/>
      <c r="B50" s="1"/>
      <c r="C50" s="1"/>
      <c r="D50" s="1"/>
      <c r="E50" s="1"/>
      <c r="F50" s="1"/>
      <c r="G50" s="1"/>
      <c r="H50" s="1"/>
      <c r="I50" s="1"/>
      <c r="J50" s="1"/>
      <c r="K50" s="1"/>
      <c r="L50" s="1"/>
      <c r="M50" s="9"/>
      <c r="N50" s="9"/>
    </row>
    <row r="51" spans="1:14">
      <c r="A51" s="1"/>
      <c r="B51" s="1" t="s">
        <v>2014</v>
      </c>
      <c r="C51" s="1"/>
      <c r="D51" s="1"/>
      <c r="E51" s="1"/>
      <c r="F51" s="1"/>
      <c r="G51" s="377">
        <v>0.02</v>
      </c>
      <c r="H51" s="1"/>
      <c r="I51" s="1"/>
      <c r="J51" s="1"/>
      <c r="K51" s="1"/>
      <c r="L51" s="1"/>
      <c r="M51" s="9"/>
      <c r="N51" s="9"/>
    </row>
    <row r="52" spans="1:14">
      <c r="A52" s="1"/>
      <c r="B52" s="1" t="s">
        <v>2015</v>
      </c>
      <c r="C52" s="1"/>
      <c r="D52" s="1"/>
      <c r="E52" s="1"/>
      <c r="F52" s="1"/>
      <c r="G52" s="377">
        <v>0.03</v>
      </c>
      <c r="H52" s="1"/>
      <c r="I52" s="1"/>
      <c r="J52" s="1"/>
      <c r="K52" s="1"/>
      <c r="L52" s="1"/>
      <c r="M52" s="9"/>
      <c r="N52" s="9"/>
    </row>
    <row r="53" spans="1:14">
      <c r="A53" s="1"/>
      <c r="B53" s="1"/>
      <c r="C53" s="1"/>
      <c r="D53" s="1"/>
      <c r="E53" s="1"/>
      <c r="F53" s="1"/>
      <c r="G53" s="1"/>
      <c r="H53" s="1"/>
      <c r="I53" s="1"/>
      <c r="J53" s="1"/>
      <c r="K53" s="1"/>
      <c r="L53" s="1"/>
      <c r="M53" s="9"/>
      <c r="N53" s="9"/>
    </row>
    <row r="55" spans="1:14">
      <c r="A55" s="17" t="s">
        <v>133</v>
      </c>
      <c r="B55" s="1" t="s">
        <v>2016</v>
      </c>
      <c r="C55" s="1"/>
      <c r="D55" s="1"/>
      <c r="E55" s="1"/>
      <c r="F55" s="1"/>
      <c r="G55" s="1"/>
      <c r="H55" s="1"/>
      <c r="I55" s="1"/>
      <c r="J55" s="1"/>
      <c r="K55" s="1"/>
      <c r="L55" s="1"/>
    </row>
    <row r="56" spans="1:14">
      <c r="A56" s="3"/>
      <c r="B56" s="3"/>
      <c r="C56" s="3"/>
      <c r="D56" s="3"/>
      <c r="E56" s="3"/>
      <c r="F56" s="3"/>
      <c r="G56" s="3"/>
      <c r="H56" s="3"/>
      <c r="I56" s="3"/>
      <c r="J56" s="3"/>
      <c r="K56" s="3"/>
      <c r="L56" s="3"/>
    </row>
    <row r="57" spans="1:14">
      <c r="A57" s="3" t="s">
        <v>20</v>
      </c>
      <c r="B57" s="3"/>
      <c r="C57" s="3"/>
      <c r="D57" s="3"/>
      <c r="E57" s="3"/>
      <c r="F57" s="3"/>
      <c r="G57" s="3"/>
      <c r="H57" s="3"/>
      <c r="I57" s="3"/>
      <c r="J57" s="3"/>
      <c r="K57" s="3"/>
      <c r="L57" s="3"/>
    </row>
    <row r="58" spans="1:14" ht="46.8">
      <c r="A58" s="3"/>
      <c r="B58" s="36" t="s">
        <v>3</v>
      </c>
      <c r="C58" s="36" t="s">
        <v>2017</v>
      </c>
      <c r="D58" s="36" t="s">
        <v>2018</v>
      </c>
      <c r="E58" s="36" t="s">
        <v>2019</v>
      </c>
      <c r="F58" s="36" t="s">
        <v>2020</v>
      </c>
      <c r="G58" s="36" t="s">
        <v>2021</v>
      </c>
      <c r="K58" s="3"/>
      <c r="L58" s="3"/>
    </row>
    <row r="59" spans="1:14">
      <c r="A59" s="3"/>
      <c r="B59" s="34">
        <v>2020</v>
      </c>
      <c r="C59" s="176">
        <f>D41*$D$47+E41*$D$48+F41*$D$49</f>
        <v>789.10000000000014</v>
      </c>
      <c r="D59" s="237">
        <f>C41/C59</f>
        <v>811.05056393359507</v>
      </c>
      <c r="E59" s="34">
        <f>E60+1</f>
        <v>3</v>
      </c>
      <c r="F59" s="132">
        <f>(1+$G$51)^E59</f>
        <v>1.0612079999999999</v>
      </c>
      <c r="G59" s="237">
        <f>F59*D59</f>
        <v>860.69334685084254</v>
      </c>
      <c r="K59" s="3"/>
      <c r="L59" s="3"/>
    </row>
    <row r="60" spans="1:14">
      <c r="B60" s="34">
        <v>2021</v>
      </c>
      <c r="C60" s="176">
        <f>D42*$D$47+E42*$D$48+F42*$D$49</f>
        <v>806.35000000000014</v>
      </c>
      <c r="D60" s="237">
        <f>C42/C60</f>
        <v>837.10547528988639</v>
      </c>
      <c r="E60" s="34">
        <f>E61+1</f>
        <v>2</v>
      </c>
      <c r="F60" s="132">
        <f>(1+$G$51)^E60</f>
        <v>1.0404</v>
      </c>
      <c r="G60" s="237">
        <f t="shared" ref="G60:G61" si="0">F60*D60</f>
        <v>870.92453649159779</v>
      </c>
      <c r="M60" s="3"/>
    </row>
    <row r="61" spans="1:14">
      <c r="B61" s="34">
        <v>2022</v>
      </c>
      <c r="C61" s="176">
        <f>D43*$D$47+E43*$D$48+F43*$D$49</f>
        <v>813.9</v>
      </c>
      <c r="D61" s="237">
        <f>C43/C61</f>
        <v>850.22730065118571</v>
      </c>
      <c r="E61" s="94">
        <v>1</v>
      </c>
      <c r="F61" s="132">
        <f>(1+$G$51)^E61</f>
        <v>1.02</v>
      </c>
      <c r="G61" s="237">
        <f t="shared" si="0"/>
        <v>867.23184666420946</v>
      </c>
      <c r="M61" s="3"/>
    </row>
    <row r="62" spans="1:14">
      <c r="M62" s="3"/>
    </row>
    <row r="63" spans="1:14">
      <c r="B63" s="2" t="s">
        <v>2022</v>
      </c>
      <c r="G63" s="240">
        <f>AVERAGE(G59:G61)</f>
        <v>866.28324333554986</v>
      </c>
    </row>
    <row r="65" spans="2:10">
      <c r="B65" s="2" t="s">
        <v>2023</v>
      </c>
    </row>
    <row r="67" spans="2:10">
      <c r="C67" s="173" t="s">
        <v>304</v>
      </c>
      <c r="D67" s="173"/>
      <c r="E67" s="173"/>
      <c r="F67" s="173"/>
      <c r="G67" s="34" t="s">
        <v>263</v>
      </c>
      <c r="H67" s="34" t="s">
        <v>1446</v>
      </c>
      <c r="I67" s="34" t="s">
        <v>262</v>
      </c>
      <c r="J67" s="34" t="s">
        <v>1447</v>
      </c>
    </row>
    <row r="68" spans="2:10">
      <c r="B68" s="34" t="s">
        <v>1170</v>
      </c>
      <c r="C68" s="34" t="s">
        <v>1432</v>
      </c>
      <c r="D68" s="34"/>
      <c r="E68" s="34"/>
      <c r="F68" s="34" t="s">
        <v>1433</v>
      </c>
      <c r="G68" s="34" t="s">
        <v>759</v>
      </c>
      <c r="H68" s="34" t="str">
        <f>B70&amp;" at"</f>
        <v>2023 at</v>
      </c>
      <c r="I68" s="34" t="s">
        <v>175</v>
      </c>
      <c r="J68" s="34" t="s">
        <v>323</v>
      </c>
    </row>
    <row r="69" spans="2:10">
      <c r="B69" s="35" t="s">
        <v>55</v>
      </c>
      <c r="C69" s="35" t="s">
        <v>65</v>
      </c>
      <c r="D69" s="35" t="s">
        <v>1437</v>
      </c>
      <c r="E69" s="35" t="s">
        <v>1438</v>
      </c>
      <c r="F69" s="35" t="s">
        <v>132</v>
      </c>
      <c r="G69" s="35" t="s">
        <v>1440</v>
      </c>
      <c r="H69" s="128">
        <f>G52</f>
        <v>0.03</v>
      </c>
      <c r="I69" s="35" t="s">
        <v>1172</v>
      </c>
      <c r="J69" s="35" t="s">
        <v>1172</v>
      </c>
    </row>
    <row r="70" spans="2:10">
      <c r="B70" s="34">
        <f>B43+1</f>
        <v>2023</v>
      </c>
      <c r="C70" s="83">
        <f>+D13+E12+F11+G10+H9+I8</f>
        <v>416</v>
      </c>
      <c r="D70" s="83">
        <f>E43+C70-E70</f>
        <v>558</v>
      </c>
      <c r="E70" s="83">
        <f>D38+E37+F36+G35+H34+I33</f>
        <v>674</v>
      </c>
      <c r="F70" s="237">
        <f t="shared" ref="F70:F75" si="1">C70*$D$47+D70*$D$48+E70*$D$49</f>
        <v>534.1</v>
      </c>
      <c r="G70" s="94">
        <v>0</v>
      </c>
      <c r="H70" s="82">
        <f t="shared" ref="H70:H75" si="2">(1+$H$69)^G70</f>
        <v>1</v>
      </c>
      <c r="I70" s="237">
        <f t="shared" ref="I70:I75" si="3">H70*$G$63</f>
        <v>866.28324333554986</v>
      </c>
      <c r="J70" s="83">
        <f>I70*F70</f>
        <v>462681.88026551722</v>
      </c>
    </row>
    <row r="71" spans="2:10">
      <c r="B71" s="34">
        <f>B70+1</f>
        <v>2024</v>
      </c>
      <c r="C71" s="83">
        <f>E13+F12+G11+H10+I9</f>
        <v>282</v>
      </c>
      <c r="D71" s="83">
        <f>D70+C71-E71</f>
        <v>336</v>
      </c>
      <c r="E71" s="83">
        <f>E38+F37+G36+H35+I34</f>
        <v>504</v>
      </c>
      <c r="F71" s="237">
        <f t="shared" si="1"/>
        <v>339.29999999999995</v>
      </c>
      <c r="G71" s="34">
        <f>G70+1</f>
        <v>1</v>
      </c>
      <c r="H71" s="82">
        <f t="shared" si="2"/>
        <v>1.03</v>
      </c>
      <c r="I71" s="237">
        <f t="shared" si="3"/>
        <v>892.27174063561642</v>
      </c>
      <c r="J71" s="83">
        <f t="shared" ref="J71:J75" si="4">I71*F71</f>
        <v>302747.8015976646</v>
      </c>
    </row>
    <row r="72" spans="2:10">
      <c r="B72" s="34">
        <f t="shared" ref="B72:B75" si="5">B71+1</f>
        <v>2025</v>
      </c>
      <c r="C72" s="83">
        <f>F13+G12+H11+I10</f>
        <v>190</v>
      </c>
      <c r="D72" s="83">
        <f t="shared" ref="D72:D75" si="6">D71+C72-E72</f>
        <v>173</v>
      </c>
      <c r="E72" s="83">
        <f>F38+G37+H36+I35</f>
        <v>353</v>
      </c>
      <c r="F72" s="237">
        <f t="shared" si="1"/>
        <v>195.25</v>
      </c>
      <c r="G72" s="34">
        <f t="shared" ref="G72:G75" si="7">G71+1</f>
        <v>2</v>
      </c>
      <c r="H72" s="82">
        <f t="shared" si="2"/>
        <v>1.0609</v>
      </c>
      <c r="I72" s="237">
        <f t="shared" si="3"/>
        <v>919.03989285468481</v>
      </c>
      <c r="J72" s="83">
        <f t="shared" si="4"/>
        <v>179442.5390798772</v>
      </c>
    </row>
    <row r="73" spans="2:10">
      <c r="B73" s="34">
        <f t="shared" si="5"/>
        <v>2026</v>
      </c>
      <c r="C73" s="83">
        <f>G13+H12+I11</f>
        <v>124</v>
      </c>
      <c r="D73" s="83">
        <f t="shared" si="6"/>
        <v>72</v>
      </c>
      <c r="E73" s="83">
        <f>G38+H37+I36</f>
        <v>225</v>
      </c>
      <c r="F73" s="237">
        <f t="shared" si="1"/>
        <v>100.30000000000001</v>
      </c>
      <c r="G73" s="34">
        <f t="shared" si="7"/>
        <v>3</v>
      </c>
      <c r="H73" s="82">
        <f t="shared" si="2"/>
        <v>1.092727</v>
      </c>
      <c r="I73" s="237">
        <f t="shared" si="3"/>
        <v>946.61108964032542</v>
      </c>
      <c r="J73" s="83">
        <f t="shared" si="4"/>
        <v>94945.092290924644</v>
      </c>
    </row>
    <row r="74" spans="2:10">
      <c r="B74" s="34">
        <f t="shared" si="5"/>
        <v>2027</v>
      </c>
      <c r="C74" s="83">
        <f>H13+I12</f>
        <v>75</v>
      </c>
      <c r="D74" s="83">
        <f t="shared" si="6"/>
        <v>22</v>
      </c>
      <c r="E74" s="83">
        <f>H38+I37</f>
        <v>125</v>
      </c>
      <c r="F74" s="237">
        <f t="shared" si="1"/>
        <v>45.55</v>
      </c>
      <c r="G74" s="34">
        <f t="shared" si="7"/>
        <v>4</v>
      </c>
      <c r="H74" s="82">
        <f t="shared" si="2"/>
        <v>1.1255088099999999</v>
      </c>
      <c r="I74" s="237">
        <f t="shared" si="3"/>
        <v>975.00942232953503</v>
      </c>
      <c r="J74" s="83">
        <f t="shared" si="4"/>
        <v>44411.67918711032</v>
      </c>
    </row>
    <row r="75" spans="2:10">
      <c r="B75" s="35">
        <f t="shared" si="5"/>
        <v>2028</v>
      </c>
      <c r="C75" s="86">
        <f>I13</f>
        <v>25</v>
      </c>
      <c r="D75" s="86">
        <f t="shared" si="6"/>
        <v>0</v>
      </c>
      <c r="E75" s="86">
        <f>I38</f>
        <v>47</v>
      </c>
      <c r="F75" s="241">
        <f t="shared" si="1"/>
        <v>10.95</v>
      </c>
      <c r="G75" s="35">
        <f t="shared" si="7"/>
        <v>5</v>
      </c>
      <c r="H75" s="85">
        <f t="shared" si="2"/>
        <v>1.1592740742999998</v>
      </c>
      <c r="I75" s="241">
        <f t="shared" si="3"/>
        <v>1004.259704999421</v>
      </c>
      <c r="J75" s="86">
        <f t="shared" si="4"/>
        <v>10996.64376974366</v>
      </c>
    </row>
    <row r="76" spans="2:10">
      <c r="B76" s="34" t="s">
        <v>132</v>
      </c>
      <c r="J76" s="83">
        <f>SUM(J70:J75)</f>
        <v>1095225.6361908375</v>
      </c>
    </row>
  </sheetData>
  <mergeCells count="4">
    <mergeCell ref="A3:K4"/>
    <mergeCell ref="C6:I6"/>
    <mergeCell ref="B15:H15"/>
    <mergeCell ref="C31:I31"/>
  </mergeCells>
  <hyperlinks>
    <hyperlink ref="O1" location="TOC!A1" display="Table of Contents" xr:uid="{D5787A78-9E6B-4F4B-9A2B-A71F22B195EA}"/>
  </hyperlinks>
  <pageMargins left="0.7" right="0.7" top="0.75" bottom="0.75" header="0.3" footer="0.3"/>
  <pageSetup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BB07-B9B9-446A-9A24-9B3488425D8D}">
  <dimension ref="A1:R37"/>
  <sheetViews>
    <sheetView zoomScaleNormal="100" workbookViewId="0"/>
  </sheetViews>
  <sheetFormatPr defaultColWidth="8.88671875" defaultRowHeight="15.6"/>
  <cols>
    <col min="1" max="1" width="8.88671875" style="2" customWidth="1"/>
    <col min="2" max="2" width="14.6640625" style="2" customWidth="1"/>
    <col min="3" max="6" width="14.77734375" style="2" customWidth="1"/>
    <col min="7" max="15" width="12.77734375" style="2" customWidth="1"/>
    <col min="16" max="16384" width="8.88671875" style="2"/>
  </cols>
  <sheetData>
    <row r="1" spans="1:18" ht="17.399999999999999">
      <c r="A1" s="13" t="s">
        <v>2270</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2024</v>
      </c>
      <c r="B3" s="1"/>
      <c r="C3" s="1"/>
      <c r="D3" s="1"/>
      <c r="E3" s="1"/>
      <c r="F3" s="1"/>
      <c r="G3" s="1"/>
      <c r="H3" s="1"/>
      <c r="I3" s="1"/>
      <c r="J3" s="1"/>
      <c r="K3" s="1"/>
      <c r="L3" s="14"/>
    </row>
    <row r="4" spans="1:18">
      <c r="A4" s="43"/>
      <c r="B4" s="1"/>
      <c r="C4" s="1"/>
      <c r="D4" s="1"/>
      <c r="E4" s="1"/>
      <c r="F4" s="1"/>
      <c r="G4" s="1"/>
      <c r="H4" s="1"/>
      <c r="I4" s="1"/>
      <c r="J4" s="1"/>
      <c r="K4" s="1"/>
      <c r="L4" s="1"/>
    </row>
    <row r="5" spans="1:18" ht="62.4">
      <c r="A5" s="43"/>
      <c r="B5" s="4" t="s">
        <v>49</v>
      </c>
      <c r="C5" s="4" t="s">
        <v>201</v>
      </c>
      <c r="D5" s="4" t="s">
        <v>59</v>
      </c>
      <c r="E5" s="4" t="s">
        <v>2025</v>
      </c>
      <c r="F5" s="1"/>
      <c r="G5" s="1"/>
      <c r="H5" s="1"/>
      <c r="I5" s="1"/>
      <c r="J5" s="1"/>
      <c r="K5" s="1"/>
      <c r="L5" s="1"/>
    </row>
    <row r="6" spans="1:18">
      <c r="A6" s="43"/>
      <c r="B6" s="6">
        <v>2019</v>
      </c>
      <c r="C6" s="7">
        <v>15700</v>
      </c>
      <c r="D6" s="7">
        <v>8200</v>
      </c>
      <c r="E6" s="659">
        <v>1.1000000000000001</v>
      </c>
      <c r="F6" s="1"/>
      <c r="G6" s="1"/>
      <c r="H6" s="1"/>
      <c r="I6" s="1"/>
      <c r="J6" s="1"/>
      <c r="K6" s="1"/>
      <c r="L6" s="1"/>
    </row>
    <row r="7" spans="1:18">
      <c r="A7" s="43"/>
      <c r="B7" s="6">
        <v>2020</v>
      </c>
      <c r="C7" s="7">
        <v>15200</v>
      </c>
      <c r="D7" s="7">
        <v>6200</v>
      </c>
      <c r="E7" s="659">
        <v>1.5</v>
      </c>
      <c r="F7" s="1"/>
      <c r="G7" s="1"/>
      <c r="H7" s="1"/>
      <c r="I7" s="1"/>
      <c r="J7" s="1"/>
      <c r="K7" s="1"/>
      <c r="L7" s="1"/>
    </row>
    <row r="8" spans="1:18">
      <c r="A8" s="43"/>
      <c r="B8" s="6">
        <v>2021</v>
      </c>
      <c r="C8" s="7">
        <v>15800</v>
      </c>
      <c r="D8" s="7">
        <v>3500</v>
      </c>
      <c r="E8" s="659">
        <v>2.2000000000000002</v>
      </c>
      <c r="F8" s="1"/>
      <c r="G8" s="1"/>
      <c r="H8" s="1"/>
      <c r="I8" s="1"/>
      <c r="J8" s="1"/>
      <c r="K8" s="1"/>
      <c r="L8" s="1"/>
    </row>
    <row r="9" spans="1:18">
      <c r="A9" s="1"/>
      <c r="B9" s="6">
        <v>2022</v>
      </c>
      <c r="C9" s="7">
        <v>16300</v>
      </c>
      <c r="D9" s="7">
        <v>1500</v>
      </c>
      <c r="E9" s="659">
        <v>4</v>
      </c>
      <c r="F9" s="1"/>
      <c r="G9" s="1"/>
      <c r="H9" s="1"/>
      <c r="I9" s="1"/>
      <c r="J9" s="1"/>
      <c r="K9" s="1"/>
      <c r="L9" s="1"/>
    </row>
    <row r="10" spans="1:18">
      <c r="A10" s="1"/>
      <c r="B10" s="1"/>
      <c r="C10" s="1"/>
      <c r="D10" s="1"/>
      <c r="E10" s="1"/>
      <c r="F10" s="1"/>
      <c r="G10" s="1"/>
      <c r="H10" s="1"/>
      <c r="I10" s="1"/>
      <c r="J10" s="1"/>
      <c r="K10" s="1"/>
      <c r="L10" s="1"/>
    </row>
    <row r="11" spans="1:18">
      <c r="A11" s="43"/>
      <c r="B11" s="1" t="s">
        <v>2026</v>
      </c>
      <c r="C11" s="1"/>
      <c r="D11" s="377">
        <v>0.03</v>
      </c>
      <c r="E11" s="1"/>
      <c r="F11" s="1"/>
      <c r="G11" s="1"/>
      <c r="H11" s="1"/>
      <c r="I11" s="1"/>
      <c r="J11" s="1"/>
      <c r="K11" s="1"/>
      <c r="L11" s="1"/>
    </row>
    <row r="12" spans="1:18">
      <c r="A12" s="1"/>
      <c r="B12" s="1" t="s">
        <v>2027</v>
      </c>
      <c r="C12" s="1"/>
      <c r="D12" s="1"/>
      <c r="E12" s="1"/>
      <c r="F12" s="1"/>
      <c r="G12" s="377">
        <v>0.1</v>
      </c>
      <c r="H12" s="1"/>
      <c r="I12" s="1"/>
      <c r="J12" s="1"/>
      <c r="K12" s="1"/>
      <c r="L12" s="1"/>
    </row>
    <row r="13" spans="1:18">
      <c r="A13" s="1"/>
      <c r="B13" s="1"/>
      <c r="C13" s="1" t="s">
        <v>2028</v>
      </c>
      <c r="D13" s="1"/>
      <c r="E13" s="1"/>
      <c r="F13" s="1"/>
      <c r="G13" s="358"/>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1" t="s">
        <v>2029</v>
      </c>
      <c r="C16" s="1"/>
      <c r="D16" s="1"/>
      <c r="E16" s="1"/>
      <c r="F16" s="1"/>
      <c r="G16" s="1"/>
      <c r="H16" s="1"/>
      <c r="I16" s="1"/>
      <c r="J16" s="1"/>
      <c r="K16" s="1"/>
      <c r="L16" s="1"/>
      <c r="M16" s="9"/>
      <c r="N16" s="9"/>
      <c r="O16" s="9"/>
      <c r="P16" s="9"/>
      <c r="Q16" s="9"/>
      <c r="R16" s="9"/>
    </row>
    <row r="17" spans="1:15">
      <c r="A17" s="3"/>
      <c r="B17" s="3"/>
      <c r="C17" s="3"/>
      <c r="D17" s="3"/>
      <c r="E17" s="3"/>
      <c r="F17" s="3"/>
      <c r="G17" s="3"/>
      <c r="H17" s="3"/>
      <c r="I17" s="3"/>
      <c r="J17" s="3"/>
      <c r="K17" s="3"/>
      <c r="L17" s="3"/>
      <c r="M17" s="3"/>
    </row>
    <row r="18" spans="1:15">
      <c r="A18" s="3" t="s">
        <v>20</v>
      </c>
      <c r="B18" s="3"/>
      <c r="C18" s="3"/>
      <c r="D18" s="3"/>
      <c r="E18" s="3"/>
      <c r="F18" s="3"/>
      <c r="G18" s="3"/>
      <c r="H18" s="3"/>
      <c r="I18" s="3"/>
      <c r="J18" s="3"/>
      <c r="K18" s="3"/>
      <c r="L18" s="3"/>
      <c r="M18" s="3"/>
      <c r="N18" s="9"/>
    </row>
    <row r="19" spans="1:15">
      <c r="A19" s="3"/>
      <c r="B19" s="3"/>
      <c r="C19" s="3"/>
      <c r="D19" s="3"/>
      <c r="E19" s="3"/>
      <c r="F19" s="3"/>
      <c r="G19" s="3"/>
      <c r="H19" s="3"/>
      <c r="I19" s="3"/>
      <c r="J19" s="3"/>
      <c r="K19" s="3"/>
      <c r="L19" s="3"/>
      <c r="M19" s="3"/>
      <c r="N19" s="9"/>
    </row>
    <row r="20" spans="1:15" ht="46.8">
      <c r="B20" s="93" t="s">
        <v>49</v>
      </c>
      <c r="C20" s="93" t="s">
        <v>201</v>
      </c>
      <c r="D20" s="93" t="s">
        <v>202</v>
      </c>
      <c r="E20" s="93" t="s">
        <v>203</v>
      </c>
      <c r="F20" s="93" t="s">
        <v>1807</v>
      </c>
      <c r="G20" s="93" t="s">
        <v>59</v>
      </c>
      <c r="H20" s="93" t="s">
        <v>1785</v>
      </c>
      <c r="I20" s="93" t="s">
        <v>1808</v>
      </c>
      <c r="J20" s="93" t="s">
        <v>209</v>
      </c>
      <c r="K20" s="93" t="s">
        <v>138</v>
      </c>
      <c r="L20" s="93" t="s">
        <v>2030</v>
      </c>
      <c r="M20" s="93" t="s">
        <v>2031</v>
      </c>
      <c r="N20" s="93" t="s">
        <v>131</v>
      </c>
      <c r="O20" s="93" t="s">
        <v>15</v>
      </c>
    </row>
    <row r="21" spans="1:15">
      <c r="B21" s="94">
        <f t="shared" ref="B21:C24" si="0">B6</f>
        <v>2019</v>
      </c>
      <c r="C21" s="106">
        <f t="shared" si="0"/>
        <v>15700</v>
      </c>
      <c r="D21" s="332">
        <f>E6</f>
        <v>1.1000000000000001</v>
      </c>
      <c r="E21" s="258">
        <f>1/$D21</f>
        <v>0.90909090909090906</v>
      </c>
      <c r="F21" s="106">
        <f>$C21*$E21</f>
        <v>14272.727272727272</v>
      </c>
      <c r="G21" s="106">
        <f>D6</f>
        <v>8200</v>
      </c>
      <c r="H21" s="105">
        <f>(1+$D$11)^($B$24-$B21)</f>
        <v>1.092727</v>
      </c>
      <c r="I21" s="332">
        <v>1.1000000000000001</v>
      </c>
      <c r="J21" s="106">
        <f>$H21*$G21*$I21</f>
        <v>9856.3975399999999</v>
      </c>
      <c r="K21" s="106">
        <f>$J$27*$C21/($H21*$I21)</f>
        <v>8129.5780203630466</v>
      </c>
      <c r="L21" s="258">
        <f>1-$E21</f>
        <v>9.0909090909090939E-2</v>
      </c>
      <c r="M21" s="106">
        <f>$L21*$K21</f>
        <v>739.05254730573176</v>
      </c>
      <c r="N21" s="106">
        <f>$G21+$M21</f>
        <v>8939.0525473057314</v>
      </c>
      <c r="O21" s="106">
        <f>$N21-$G21</f>
        <v>739.05254730573142</v>
      </c>
    </row>
    <row r="22" spans="1:15">
      <c r="B22" s="94">
        <f t="shared" si="0"/>
        <v>2020</v>
      </c>
      <c r="C22" s="106">
        <f t="shared" si="0"/>
        <v>15200</v>
      </c>
      <c r="D22" s="332">
        <f>E7</f>
        <v>1.5</v>
      </c>
      <c r="E22" s="258">
        <f t="shared" ref="E22:E24" si="1">1/$D22</f>
        <v>0.66666666666666663</v>
      </c>
      <c r="F22" s="106">
        <f>$C22*$E22</f>
        <v>10133.333333333332</v>
      </c>
      <c r="G22" s="106">
        <f>D7</f>
        <v>6200</v>
      </c>
      <c r="H22" s="105">
        <f t="shared" ref="H22:H24" si="2">(1+$D$11)^($B$24-$B22)</f>
        <v>1.0609</v>
      </c>
      <c r="I22" s="332">
        <v>1.1000000000000001</v>
      </c>
      <c r="J22" s="106">
        <f>$H22*$G22*$I22</f>
        <v>7235.3380000000006</v>
      </c>
      <c r="K22" s="106">
        <f>$J$27*$C22/($H22*$I22)</f>
        <v>8106.7944896053423</v>
      </c>
      <c r="L22" s="258">
        <f>1-$E22</f>
        <v>0.33333333333333337</v>
      </c>
      <c r="M22" s="106">
        <f>$L22*$K22</f>
        <v>2702.2648298684476</v>
      </c>
      <c r="N22" s="106">
        <f>$G22+$M22</f>
        <v>8902.2648298684471</v>
      </c>
      <c r="O22" s="106">
        <f>$N22-$G22</f>
        <v>2702.2648298684471</v>
      </c>
    </row>
    <row r="23" spans="1:15">
      <c r="B23" s="94">
        <f t="shared" si="0"/>
        <v>2021</v>
      </c>
      <c r="C23" s="106">
        <f t="shared" si="0"/>
        <v>15800</v>
      </c>
      <c r="D23" s="332">
        <f>E8</f>
        <v>2.2000000000000002</v>
      </c>
      <c r="E23" s="258">
        <f t="shared" si="1"/>
        <v>0.45454545454545453</v>
      </c>
      <c r="F23" s="106">
        <f>$C23*$E23</f>
        <v>7181.818181818182</v>
      </c>
      <c r="G23" s="106">
        <f>D8</f>
        <v>3500</v>
      </c>
      <c r="H23" s="105">
        <f t="shared" si="2"/>
        <v>1.03</v>
      </c>
      <c r="I23" s="332">
        <v>1</v>
      </c>
      <c r="J23" s="106">
        <f>$H23*$G23*$I23</f>
        <v>3605</v>
      </c>
      <c r="K23" s="106">
        <f>$J$27*$C23/($H23*$I23)</f>
        <v>9547.5638734355944</v>
      </c>
      <c r="L23" s="258">
        <f>1-$E23</f>
        <v>0.54545454545454541</v>
      </c>
      <c r="M23" s="106">
        <f>$L23*$K23</f>
        <v>5207.7621127830507</v>
      </c>
      <c r="N23" s="106">
        <f>$G23+$M23</f>
        <v>8707.7621127830498</v>
      </c>
      <c r="O23" s="106">
        <f>$N23-$G23</f>
        <v>5207.7621127830498</v>
      </c>
    </row>
    <row r="24" spans="1:15">
      <c r="B24" s="107">
        <f t="shared" si="0"/>
        <v>2022</v>
      </c>
      <c r="C24" s="110">
        <f t="shared" si="0"/>
        <v>16300</v>
      </c>
      <c r="D24" s="335">
        <f>E9</f>
        <v>4</v>
      </c>
      <c r="E24" s="111">
        <f t="shared" si="1"/>
        <v>0.25</v>
      </c>
      <c r="F24" s="110">
        <f>$C24*$E24</f>
        <v>4075</v>
      </c>
      <c r="G24" s="110">
        <f>D9</f>
        <v>1500</v>
      </c>
      <c r="H24" s="109">
        <f t="shared" si="2"/>
        <v>1</v>
      </c>
      <c r="I24" s="335">
        <v>1</v>
      </c>
      <c r="J24" s="110">
        <f>$H24*$G24*$I24</f>
        <v>1500</v>
      </c>
      <c r="K24" s="110">
        <f>$J$27*$C24/($H24*$I24)</f>
        <v>10145.193029817103</v>
      </c>
      <c r="L24" s="111">
        <f>1-$E24</f>
        <v>0.75</v>
      </c>
      <c r="M24" s="110">
        <f>$L24*$K24</f>
        <v>7608.8947723628271</v>
      </c>
      <c r="N24" s="110">
        <f>$G24+$M24</f>
        <v>9108.8947723628262</v>
      </c>
      <c r="O24" s="110">
        <f>$N24-$G24</f>
        <v>7608.8947723628262</v>
      </c>
    </row>
    <row r="25" spans="1:15">
      <c r="B25" s="94" t="s">
        <v>132</v>
      </c>
      <c r="C25" s="3"/>
      <c r="D25" s="3"/>
      <c r="E25" s="3"/>
      <c r="F25" s="106">
        <f>SUM(F21:F24)</f>
        <v>35662.878787878784</v>
      </c>
      <c r="G25" s="106">
        <f>SUM(G21:G24)</f>
        <v>19400</v>
      </c>
      <c r="H25" s="3"/>
      <c r="I25" s="3"/>
      <c r="J25" s="106">
        <f>SUM(J21:J24)</f>
        <v>22196.735540000001</v>
      </c>
      <c r="K25" s="106">
        <f>SUM(K21:K24)</f>
        <v>35929.12941322109</v>
      </c>
      <c r="L25" s="106"/>
      <c r="M25" s="106"/>
      <c r="N25" s="106">
        <f>SUM(N21:N24)</f>
        <v>35657.974262320058</v>
      </c>
      <c r="O25" s="106">
        <f>SUM(O21:O24)</f>
        <v>16257.974262320055</v>
      </c>
    </row>
    <row r="26" spans="1:15">
      <c r="B26" s="3"/>
      <c r="C26" s="3"/>
      <c r="D26" s="3"/>
      <c r="E26" s="3"/>
      <c r="F26" s="3"/>
      <c r="G26" s="3"/>
      <c r="H26" s="3"/>
      <c r="I26" s="3"/>
      <c r="J26" s="3"/>
      <c r="K26" s="3"/>
      <c r="L26" s="3"/>
      <c r="M26" s="3"/>
      <c r="N26" s="3"/>
      <c r="O26" s="3"/>
    </row>
    <row r="27" spans="1:15">
      <c r="B27" s="62"/>
      <c r="C27" s="62"/>
      <c r="D27" s="62"/>
      <c r="E27" s="62"/>
      <c r="F27" s="62"/>
      <c r="G27" s="3" t="s">
        <v>211</v>
      </c>
      <c r="H27" s="3"/>
      <c r="I27" s="3"/>
      <c r="J27" s="258">
        <f>J25/F25</f>
        <v>0.62240448035687745</v>
      </c>
      <c r="K27" s="3"/>
      <c r="L27" s="3"/>
      <c r="M27" s="3"/>
      <c r="N27" s="3"/>
      <c r="O27" s="62"/>
    </row>
    <row r="29" spans="1:15">
      <c r="A29" s="17" t="s">
        <v>133</v>
      </c>
      <c r="B29" s="1" t="s">
        <v>2032</v>
      </c>
      <c r="C29" s="1"/>
      <c r="D29" s="1"/>
      <c r="E29" s="1"/>
      <c r="F29" s="1"/>
      <c r="G29" s="1"/>
      <c r="H29" s="1"/>
      <c r="I29" s="1"/>
      <c r="J29" s="1"/>
      <c r="K29" s="1"/>
      <c r="L29" s="1"/>
    </row>
    <row r="30" spans="1:15">
      <c r="A30" s="3"/>
      <c r="B30" s="3"/>
      <c r="C30" s="3"/>
      <c r="D30" s="3"/>
      <c r="E30" s="3"/>
      <c r="F30" s="3"/>
      <c r="G30" s="3"/>
      <c r="H30" s="3"/>
      <c r="I30" s="3"/>
      <c r="J30" s="3"/>
      <c r="K30" s="3"/>
      <c r="L30" s="3"/>
    </row>
    <row r="31" spans="1:15">
      <c r="A31" s="3" t="s">
        <v>20</v>
      </c>
      <c r="B31" s="3"/>
      <c r="C31" s="3"/>
      <c r="D31" s="3"/>
      <c r="E31" s="3"/>
      <c r="F31" s="3"/>
      <c r="G31" s="3"/>
      <c r="H31" s="3"/>
      <c r="I31" s="3"/>
      <c r="J31" s="3"/>
      <c r="K31" s="3"/>
      <c r="L31" s="3"/>
    </row>
    <row r="32" spans="1:15">
      <c r="A32" s="3"/>
      <c r="B32" s="3" t="s">
        <v>2033</v>
      </c>
      <c r="C32" s="3"/>
      <c r="D32" s="3"/>
      <c r="E32" s="3"/>
      <c r="F32" s="3"/>
      <c r="G32" s="3"/>
      <c r="H32" s="3"/>
      <c r="I32" s="3"/>
      <c r="J32" s="3"/>
      <c r="K32" s="3"/>
      <c r="L32" s="3"/>
    </row>
    <row r="33" spans="1:18">
      <c r="A33" s="3"/>
      <c r="C33" s="3"/>
      <c r="D33" s="3"/>
      <c r="E33" s="3"/>
      <c r="F33" s="3"/>
      <c r="G33" s="3"/>
      <c r="H33" s="3"/>
      <c r="I33" s="3"/>
      <c r="J33" s="3"/>
      <c r="K33" s="3"/>
      <c r="L33" s="3"/>
    </row>
    <row r="34" spans="1:18">
      <c r="B34" s="3" t="s">
        <v>2034</v>
      </c>
      <c r="C34" s="660">
        <f>D8</f>
        <v>3500</v>
      </c>
      <c r="D34" s="3" t="s">
        <v>127</v>
      </c>
      <c r="E34" s="3"/>
      <c r="M34" s="3"/>
    </row>
    <row r="35" spans="1:18">
      <c r="C35" s="661">
        <f>E8</f>
        <v>2.2000000000000002</v>
      </c>
      <c r="D35" s="2" t="s">
        <v>726</v>
      </c>
      <c r="M35" s="3"/>
    </row>
    <row r="36" spans="1:18">
      <c r="C36" s="662">
        <f>C34*C35</f>
        <v>7700.0000000000009</v>
      </c>
      <c r="D36" s="2" t="s">
        <v>2035</v>
      </c>
      <c r="E36" s="60"/>
      <c r="M36" s="3"/>
    </row>
    <row r="37" spans="1:18">
      <c r="C37" s="662">
        <f>C36-C34</f>
        <v>4200.0000000000009</v>
      </c>
      <c r="D37" s="2" t="s">
        <v>2036</v>
      </c>
      <c r="R37" s="21"/>
    </row>
  </sheetData>
  <hyperlinks>
    <hyperlink ref="O1" location="TOC!A1" display="Table of Contents" xr:uid="{B6CE442B-16BC-4969-86BC-FC3ACE7C9BBC}"/>
  </hyperlinks>
  <pageMargins left="0.7" right="0.7" top="0.75" bottom="0.75" header="0.3" footer="0.3"/>
  <pageSetup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2206-2425-4C44-A4C9-869BE807BD2F}">
  <dimension ref="A1:R69"/>
  <sheetViews>
    <sheetView zoomScaleNormal="100" workbookViewId="0"/>
  </sheetViews>
  <sheetFormatPr defaultColWidth="8.88671875" defaultRowHeight="15.6"/>
  <cols>
    <col min="1" max="1" width="8.88671875" style="2" customWidth="1"/>
    <col min="2" max="4" width="12.6640625" style="2" customWidth="1"/>
    <col min="5" max="12" width="11.77734375" style="2" customWidth="1"/>
    <col min="13" max="16384" width="8.88671875" style="2"/>
  </cols>
  <sheetData>
    <row r="1" spans="1:18" ht="17.399999999999999">
      <c r="A1" s="13" t="s">
        <v>2271</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2037</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91</v>
      </c>
      <c r="B6" s="1" t="s">
        <v>2038</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t="s">
        <v>2039</v>
      </c>
      <c r="B10" s="3"/>
      <c r="C10" s="3"/>
      <c r="D10" s="3"/>
      <c r="E10" s="3"/>
      <c r="F10" s="3"/>
      <c r="G10" s="3"/>
      <c r="H10" s="3"/>
      <c r="I10" s="3"/>
      <c r="J10" s="3"/>
      <c r="K10" s="3"/>
      <c r="L10" s="3"/>
      <c r="M10" s="3"/>
      <c r="N10" s="9"/>
    </row>
    <row r="11" spans="1:18">
      <c r="A11" s="2" t="s">
        <v>2040</v>
      </c>
      <c r="M11" s="9"/>
      <c r="N11" s="9"/>
    </row>
    <row r="12" spans="1:18">
      <c r="M12" s="9"/>
      <c r="N12" s="9"/>
    </row>
    <row r="13" spans="1:18">
      <c r="A13" s="1"/>
      <c r="B13" s="1"/>
      <c r="C13" s="1"/>
      <c r="D13" s="1"/>
      <c r="E13" s="1"/>
      <c r="F13" s="1"/>
      <c r="G13" s="1"/>
      <c r="H13" s="1"/>
      <c r="I13" s="1"/>
      <c r="J13" s="1"/>
      <c r="K13" s="1"/>
      <c r="L13" s="1"/>
      <c r="M13" s="9"/>
      <c r="N13" s="9"/>
    </row>
    <row r="14" spans="1:18">
      <c r="A14" s="260" t="s">
        <v>1719</v>
      </c>
      <c r="B14" s="1"/>
      <c r="C14" s="1"/>
      <c r="D14" s="1"/>
      <c r="E14" s="1"/>
      <c r="F14" s="1"/>
      <c r="G14" s="1"/>
      <c r="H14" s="1"/>
      <c r="I14" s="1"/>
      <c r="J14" s="1"/>
      <c r="K14" s="1"/>
      <c r="L14" s="1"/>
      <c r="M14" s="9"/>
      <c r="N14" s="9"/>
    </row>
    <row r="15" spans="1:18">
      <c r="A15" s="1"/>
      <c r="B15" s="1"/>
      <c r="C15" s="1"/>
      <c r="D15" s="1"/>
      <c r="E15" s="1"/>
      <c r="F15" s="1"/>
      <c r="G15" s="1"/>
      <c r="H15" s="1"/>
      <c r="I15" s="1"/>
      <c r="J15" s="1"/>
      <c r="K15" s="1"/>
      <c r="L15" s="1"/>
      <c r="M15" s="9"/>
      <c r="N15" s="9"/>
    </row>
    <row r="16" spans="1:18" ht="46.8">
      <c r="A16" s="1"/>
      <c r="B16" s="4" t="s">
        <v>49</v>
      </c>
      <c r="C16" s="4" t="s">
        <v>4</v>
      </c>
      <c r="D16" s="4" t="s">
        <v>528</v>
      </c>
      <c r="E16" s="4" t="s">
        <v>2041</v>
      </c>
      <c r="F16" s="1"/>
      <c r="G16" s="1"/>
      <c r="H16" s="1"/>
      <c r="I16" s="1"/>
      <c r="J16" s="1"/>
      <c r="K16" s="1"/>
      <c r="L16" s="1"/>
      <c r="M16" s="9"/>
      <c r="N16" s="9"/>
    </row>
    <row r="17" spans="1:14">
      <c r="A17" s="1"/>
      <c r="B17" s="32">
        <v>2016</v>
      </c>
      <c r="C17" s="92">
        <v>15859</v>
      </c>
      <c r="D17" s="92">
        <v>1454</v>
      </c>
      <c r="E17" s="30">
        <v>9.1700000000000004E-2</v>
      </c>
      <c r="F17" s="1"/>
      <c r="G17" s="1"/>
      <c r="H17" s="1"/>
      <c r="I17" s="1"/>
      <c r="J17" s="1"/>
      <c r="K17" s="1"/>
      <c r="L17" s="1"/>
      <c r="M17" s="9"/>
      <c r="N17" s="9"/>
    </row>
    <row r="18" spans="1:14">
      <c r="A18" s="1"/>
      <c r="B18" s="32">
        <v>2017</v>
      </c>
      <c r="C18" s="92">
        <v>16140</v>
      </c>
      <c r="D18" s="92">
        <v>1452</v>
      </c>
      <c r="E18" s="30">
        <v>0.09</v>
      </c>
      <c r="F18" s="1"/>
      <c r="G18" s="1"/>
      <c r="H18" s="1"/>
      <c r="I18" s="1"/>
      <c r="J18" s="1"/>
      <c r="K18" s="1"/>
      <c r="L18" s="1"/>
      <c r="M18" s="9"/>
      <c r="N18" s="9"/>
    </row>
    <row r="19" spans="1:14">
      <c r="A19" s="1"/>
      <c r="B19" s="32">
        <v>2018</v>
      </c>
      <c r="C19" s="92">
        <v>16265</v>
      </c>
      <c r="D19" s="92">
        <v>1457</v>
      </c>
      <c r="E19" s="30">
        <v>8.9599999999999999E-2</v>
      </c>
      <c r="F19" s="1"/>
      <c r="G19" s="1"/>
      <c r="H19" s="1"/>
      <c r="I19" s="1"/>
      <c r="J19" s="1"/>
      <c r="K19" s="1"/>
      <c r="L19" s="1"/>
      <c r="M19" s="9"/>
      <c r="N19" s="9"/>
    </row>
    <row r="20" spans="1:14">
      <c r="A20" s="1"/>
      <c r="B20" s="32">
        <v>2019</v>
      </c>
      <c r="C20" s="92">
        <v>16319</v>
      </c>
      <c r="D20" s="92">
        <v>1453</v>
      </c>
      <c r="E20" s="30">
        <v>8.8999999999999996E-2</v>
      </c>
      <c r="F20" s="1"/>
      <c r="G20" s="1"/>
      <c r="H20" s="1"/>
      <c r="I20" s="1"/>
      <c r="J20" s="1"/>
      <c r="K20" s="1"/>
      <c r="L20" s="1"/>
      <c r="M20" s="9"/>
      <c r="N20" s="9"/>
    </row>
    <row r="21" spans="1:14">
      <c r="A21" s="1"/>
      <c r="B21" s="32">
        <v>2020</v>
      </c>
      <c r="C21" s="92">
        <v>16536</v>
      </c>
      <c r="D21" s="92">
        <v>1442</v>
      </c>
      <c r="E21" s="30">
        <v>8.72E-2</v>
      </c>
      <c r="F21" s="1"/>
      <c r="G21" s="1"/>
      <c r="H21" s="1"/>
      <c r="I21" s="1"/>
      <c r="J21" s="1"/>
      <c r="K21" s="1"/>
      <c r="L21" s="1"/>
      <c r="M21" s="9"/>
      <c r="N21" s="9"/>
    </row>
    <row r="22" spans="1:14">
      <c r="A22" s="1"/>
      <c r="B22" s="32">
        <v>2021</v>
      </c>
      <c r="C22" s="92">
        <v>16928</v>
      </c>
      <c r="D22" s="92">
        <v>1464</v>
      </c>
      <c r="E22" s="30">
        <v>8.6499999999999994E-2</v>
      </c>
      <c r="F22" s="1"/>
      <c r="G22" s="1"/>
      <c r="H22" s="1"/>
      <c r="I22" s="1"/>
      <c r="J22" s="1"/>
      <c r="K22" s="1"/>
      <c r="L22" s="1"/>
      <c r="M22" s="9"/>
      <c r="N22" s="9"/>
    </row>
    <row r="23" spans="1:14">
      <c r="A23" s="1"/>
      <c r="B23" s="32">
        <v>2022</v>
      </c>
      <c r="C23" s="92">
        <v>16842</v>
      </c>
      <c r="D23" s="92">
        <v>1475</v>
      </c>
      <c r="E23" s="30">
        <v>8.7599999999999997E-2</v>
      </c>
      <c r="F23" s="1"/>
      <c r="G23" s="1"/>
      <c r="H23" s="1"/>
      <c r="I23" s="1"/>
      <c r="J23" s="1"/>
      <c r="K23" s="1"/>
      <c r="L23" s="1"/>
      <c r="M23" s="9"/>
      <c r="N23" s="9"/>
    </row>
    <row r="24" spans="1:14">
      <c r="A24" s="1"/>
      <c r="B24" s="46"/>
      <c r="C24" s="46"/>
      <c r="D24" s="46"/>
      <c r="E24" s="46"/>
      <c r="F24" s="1"/>
      <c r="G24" s="1"/>
      <c r="H24" s="1"/>
      <c r="I24" s="1"/>
      <c r="J24" s="1"/>
      <c r="K24" s="1"/>
      <c r="L24" s="1"/>
      <c r="M24" s="9"/>
      <c r="N24" s="9"/>
    </row>
    <row r="25" spans="1:14">
      <c r="A25" s="1"/>
      <c r="B25" s="898" t="s">
        <v>2042</v>
      </c>
      <c r="C25" s="898"/>
      <c r="D25" s="898"/>
      <c r="E25" s="898"/>
      <c r="F25" s="1"/>
      <c r="G25" s="1"/>
      <c r="H25" s="1"/>
      <c r="I25" s="1"/>
      <c r="J25" s="1"/>
      <c r="K25" s="1"/>
      <c r="L25" s="1"/>
      <c r="M25" s="9"/>
      <c r="N25" s="9"/>
    </row>
    <row r="26" spans="1:14">
      <c r="A26" s="1"/>
      <c r="B26" s="942" t="s">
        <v>2043</v>
      </c>
      <c r="C26" s="942"/>
      <c r="D26" s="942"/>
      <c r="E26" s="30">
        <v>-8.6E-3</v>
      </c>
      <c r="F26" s="1"/>
      <c r="G26" s="33"/>
      <c r="H26" s="1"/>
      <c r="I26" s="1"/>
      <c r="J26" s="1"/>
      <c r="K26" s="1"/>
      <c r="L26" s="1"/>
      <c r="M26" s="9"/>
      <c r="N26" s="9"/>
    </row>
    <row r="27" spans="1:14">
      <c r="A27" s="1"/>
      <c r="B27" s="942" t="s">
        <v>2044</v>
      </c>
      <c r="C27" s="942"/>
      <c r="D27" s="942"/>
      <c r="E27" s="30">
        <v>-7.4000000000000003E-3</v>
      </c>
      <c r="F27" s="1"/>
      <c r="G27" s="33"/>
      <c r="H27" s="1"/>
      <c r="I27" s="1"/>
      <c r="J27" s="1"/>
      <c r="K27" s="1"/>
      <c r="L27" s="1"/>
      <c r="M27" s="9"/>
      <c r="N27" s="9"/>
    </row>
    <row r="28" spans="1:14">
      <c r="A28" s="1"/>
      <c r="B28" s="942" t="s">
        <v>2045</v>
      </c>
      <c r="C28" s="942"/>
      <c r="D28" s="942"/>
      <c r="E28" s="30">
        <v>-1.11E-2</v>
      </c>
      <c r="F28" s="1"/>
      <c r="G28" s="33"/>
      <c r="H28" s="1"/>
      <c r="I28" s="1"/>
      <c r="J28" s="1"/>
      <c r="K28" s="1"/>
      <c r="L28" s="1"/>
      <c r="M28" s="9"/>
      <c r="N28" s="9"/>
    </row>
    <row r="29" spans="1:14">
      <c r="A29" s="1"/>
      <c r="B29" s="1"/>
      <c r="C29" s="1"/>
      <c r="D29" s="1"/>
      <c r="E29" s="1"/>
      <c r="F29" s="1"/>
      <c r="G29" s="1"/>
      <c r="H29" s="1"/>
      <c r="I29" s="1"/>
      <c r="J29" s="1"/>
      <c r="K29" s="1"/>
      <c r="L29" s="1"/>
      <c r="M29" s="9"/>
      <c r="N29" s="9"/>
    </row>
    <row r="31" spans="1:14">
      <c r="A31" s="17" t="s">
        <v>133</v>
      </c>
      <c r="B31" s="1" t="s">
        <v>2046</v>
      </c>
      <c r="C31" s="1"/>
      <c r="D31" s="1"/>
      <c r="E31" s="1"/>
      <c r="F31" s="1"/>
      <c r="G31" s="1"/>
      <c r="H31" s="1"/>
      <c r="I31" s="1"/>
      <c r="J31" s="1"/>
      <c r="K31" s="1"/>
      <c r="L31" s="1"/>
    </row>
    <row r="32" spans="1:14">
      <c r="A32" s="3"/>
      <c r="B32" s="3"/>
      <c r="C32" s="3"/>
      <c r="D32" s="3"/>
      <c r="E32" s="3"/>
      <c r="F32" s="3"/>
      <c r="G32" s="3"/>
      <c r="H32" s="3"/>
      <c r="I32" s="3"/>
      <c r="J32" s="3"/>
      <c r="K32" s="3"/>
      <c r="L32" s="3"/>
    </row>
    <row r="33" spans="1:14">
      <c r="A33" s="3" t="s">
        <v>20</v>
      </c>
      <c r="B33" s="3"/>
      <c r="C33" s="3"/>
      <c r="D33" s="3"/>
      <c r="E33" s="3"/>
      <c r="F33" s="3"/>
      <c r="G33" s="3"/>
      <c r="H33" s="3"/>
      <c r="I33" s="3"/>
      <c r="J33" s="3"/>
      <c r="K33" s="3"/>
      <c r="L33" s="3"/>
    </row>
    <row r="34" spans="1:14">
      <c r="A34" s="3"/>
      <c r="B34" s="2" t="s">
        <v>1756</v>
      </c>
      <c r="E34" s="663">
        <f>E28</f>
        <v>-1.11E-2</v>
      </c>
      <c r="F34" s="9"/>
      <c r="G34" s="3"/>
      <c r="H34" s="3"/>
      <c r="I34" s="3"/>
      <c r="J34" s="3"/>
      <c r="K34" s="3"/>
      <c r="L34" s="3"/>
    </row>
    <row r="35" spans="1:14">
      <c r="A35" s="3"/>
      <c r="E35" s="664"/>
      <c r="F35" s="9"/>
      <c r="G35" s="3"/>
      <c r="H35" s="3"/>
      <c r="I35" s="3"/>
      <c r="J35" s="3"/>
      <c r="K35" s="3"/>
      <c r="L35" s="3"/>
    </row>
    <row r="36" spans="1:14">
      <c r="A36" s="3"/>
      <c r="B36" s="2" t="s">
        <v>2047</v>
      </c>
      <c r="E36" s="664"/>
      <c r="F36" s="9"/>
      <c r="G36" s="3"/>
      <c r="H36" s="3"/>
      <c r="I36" s="3"/>
      <c r="J36" s="3"/>
      <c r="K36" s="3"/>
      <c r="L36" s="3"/>
    </row>
    <row r="38" spans="1:14">
      <c r="A38" s="1"/>
      <c r="B38" s="1"/>
      <c r="C38" s="1"/>
      <c r="D38" s="1"/>
      <c r="E38" s="1"/>
      <c r="F38" s="1"/>
      <c r="G38" s="1"/>
      <c r="H38" s="1"/>
      <c r="I38" s="1"/>
      <c r="J38" s="1"/>
      <c r="K38" s="1"/>
      <c r="L38" s="1"/>
      <c r="M38" s="9"/>
      <c r="N38" s="9"/>
    </row>
    <row r="39" spans="1:14">
      <c r="A39" s="260" t="s">
        <v>2048</v>
      </c>
      <c r="B39" s="1"/>
      <c r="C39" s="1"/>
      <c r="D39" s="1"/>
      <c r="E39" s="1"/>
      <c r="F39" s="1"/>
      <c r="G39" s="1"/>
      <c r="H39" s="1"/>
      <c r="I39" s="1"/>
      <c r="J39" s="1"/>
      <c r="K39" s="1"/>
      <c r="L39" s="1"/>
      <c r="M39" s="9"/>
      <c r="N39" s="9"/>
    </row>
    <row r="40" spans="1:14">
      <c r="A40" s="1"/>
      <c r="B40" s="1"/>
      <c r="C40" s="1"/>
      <c r="D40" s="1"/>
      <c r="E40" s="1"/>
      <c r="F40" s="1"/>
      <c r="G40" s="1"/>
      <c r="H40" s="1"/>
      <c r="I40" s="1"/>
      <c r="J40" s="1"/>
      <c r="K40" s="1"/>
      <c r="L40" s="1"/>
      <c r="M40" s="9"/>
      <c r="N40" s="9"/>
    </row>
    <row r="41" spans="1:14" ht="31.2">
      <c r="A41" s="1"/>
      <c r="B41" s="5" t="s">
        <v>49</v>
      </c>
      <c r="C41" s="5" t="s">
        <v>529</v>
      </c>
      <c r="D41" s="1"/>
      <c r="E41" s="1"/>
      <c r="F41" s="1"/>
      <c r="G41" s="1"/>
      <c r="H41" s="1"/>
      <c r="I41" s="1"/>
      <c r="J41" s="1"/>
      <c r="K41" s="1"/>
      <c r="L41" s="1"/>
      <c r="M41" s="9"/>
      <c r="N41" s="9"/>
    </row>
    <row r="42" spans="1:14">
      <c r="A42" s="1"/>
      <c r="B42" s="32">
        <v>2016</v>
      </c>
      <c r="C42" s="92">
        <v>3750</v>
      </c>
      <c r="D42" s="1"/>
      <c r="E42" s="1"/>
      <c r="F42" s="1"/>
      <c r="G42" s="1"/>
      <c r="H42" s="1"/>
      <c r="I42" s="1"/>
      <c r="J42" s="1"/>
      <c r="K42" s="1"/>
      <c r="L42" s="1"/>
      <c r="M42" s="9"/>
      <c r="N42" s="9"/>
    </row>
    <row r="43" spans="1:14">
      <c r="A43" s="1"/>
      <c r="B43" s="32">
        <v>2017</v>
      </c>
      <c r="C43" s="92">
        <v>3993</v>
      </c>
      <c r="D43" s="1"/>
      <c r="E43" s="1"/>
      <c r="F43" s="1"/>
      <c r="G43" s="1"/>
      <c r="H43" s="1"/>
      <c r="I43" s="1"/>
      <c r="J43" s="1"/>
      <c r="K43" s="1"/>
      <c r="L43" s="1"/>
      <c r="M43" s="9"/>
      <c r="N43" s="9"/>
    </row>
    <row r="44" spans="1:14">
      <c r="A44" s="1"/>
      <c r="B44" s="32">
        <v>2018</v>
      </c>
      <c r="C44" s="92">
        <v>4230</v>
      </c>
      <c r="D44" s="1"/>
      <c r="E44" s="1"/>
      <c r="F44" s="1"/>
      <c r="G44" s="1"/>
      <c r="H44" s="1"/>
      <c r="I44" s="1"/>
      <c r="J44" s="1"/>
      <c r="K44" s="1"/>
      <c r="L44" s="1"/>
      <c r="M44" s="9"/>
      <c r="N44" s="9"/>
    </row>
    <row r="45" spans="1:14">
      <c r="A45" s="1"/>
      <c r="B45" s="32">
        <v>2019</v>
      </c>
      <c r="C45" s="92">
        <v>4489</v>
      </c>
      <c r="D45" s="1"/>
      <c r="E45" s="1"/>
      <c r="F45" s="1"/>
      <c r="G45" s="1"/>
      <c r="H45" s="1"/>
      <c r="I45" s="1"/>
      <c r="J45" s="1"/>
      <c r="K45" s="1"/>
      <c r="L45" s="1"/>
      <c r="M45" s="9"/>
      <c r="N45" s="9"/>
    </row>
    <row r="46" spans="1:14">
      <c r="A46" s="1"/>
      <c r="B46" s="32">
        <v>2020</v>
      </c>
      <c r="C46" s="92">
        <v>4679</v>
      </c>
      <c r="D46" s="1"/>
      <c r="E46" s="1"/>
      <c r="F46" s="1"/>
      <c r="G46" s="1"/>
      <c r="H46" s="1"/>
      <c r="I46" s="1"/>
      <c r="J46" s="1"/>
      <c r="K46" s="1"/>
      <c r="L46" s="1"/>
      <c r="M46" s="9"/>
      <c r="N46" s="9"/>
    </row>
    <row r="47" spans="1:14">
      <c r="A47" s="1"/>
      <c r="B47" s="32">
        <v>2021</v>
      </c>
      <c r="C47" s="92">
        <v>5048</v>
      </c>
      <c r="D47" s="1"/>
      <c r="E47" s="1"/>
      <c r="F47" s="1"/>
      <c r="G47" s="1"/>
      <c r="H47" s="1"/>
      <c r="I47" s="1"/>
      <c r="J47" s="1"/>
      <c r="K47" s="1"/>
      <c r="L47" s="1"/>
      <c r="M47" s="9"/>
      <c r="N47" s="9"/>
    </row>
    <row r="48" spans="1:14">
      <c r="A48" s="1"/>
      <c r="B48" s="32">
        <v>2022</v>
      </c>
      <c r="C48" s="92">
        <v>5409</v>
      </c>
      <c r="D48" s="1"/>
      <c r="E48" s="1"/>
      <c r="F48" s="1"/>
      <c r="G48" s="1"/>
      <c r="H48" s="1"/>
      <c r="I48" s="1"/>
      <c r="J48" s="1"/>
      <c r="K48" s="1"/>
      <c r="L48" s="1"/>
      <c r="M48" s="9"/>
      <c r="N48" s="9"/>
    </row>
    <row r="49" spans="1:14">
      <c r="A49" s="1"/>
      <c r="B49" s="1"/>
      <c r="C49" s="1"/>
      <c r="D49" s="1"/>
      <c r="E49" s="1"/>
      <c r="F49" s="1"/>
      <c r="G49" s="1"/>
      <c r="H49" s="1"/>
      <c r="I49" s="1"/>
      <c r="J49" s="1"/>
      <c r="K49" s="1"/>
      <c r="L49" s="1"/>
      <c r="M49" s="9"/>
      <c r="N49" s="9"/>
    </row>
    <row r="50" spans="1:14">
      <c r="A50" s="1"/>
      <c r="B50" s="1" t="s">
        <v>2049</v>
      </c>
      <c r="C50" s="1"/>
      <c r="D50" s="1"/>
      <c r="E50" s="485">
        <v>0.06</v>
      </c>
      <c r="F50" s="1"/>
      <c r="G50" s="1"/>
      <c r="H50" s="1"/>
      <c r="I50" s="1"/>
      <c r="J50" s="1"/>
      <c r="K50" s="1"/>
      <c r="L50" s="1"/>
      <c r="M50" s="9"/>
      <c r="N50" s="9"/>
    </row>
    <row r="51" spans="1:14">
      <c r="A51" s="1"/>
      <c r="B51" s="1" t="s">
        <v>2050</v>
      </c>
      <c r="C51" s="1"/>
      <c r="D51" s="1"/>
      <c r="E51" s="1"/>
      <c r="F51" s="1"/>
      <c r="G51" s="1"/>
      <c r="H51" s="1"/>
      <c r="I51" s="1"/>
      <c r="J51" s="1"/>
      <c r="K51" s="1"/>
      <c r="L51" s="1"/>
      <c r="M51" s="9"/>
      <c r="N51" s="9"/>
    </row>
    <row r="52" spans="1:14">
      <c r="A52" s="1"/>
      <c r="B52" s="1"/>
      <c r="C52" s="1"/>
      <c r="D52" s="1"/>
      <c r="E52" s="1"/>
      <c r="F52" s="1"/>
      <c r="G52" s="1"/>
      <c r="H52" s="1"/>
      <c r="I52" s="1"/>
      <c r="J52" s="1"/>
      <c r="K52" s="1"/>
      <c r="L52" s="1"/>
      <c r="M52" s="9"/>
      <c r="N52" s="9"/>
    </row>
    <row r="54" spans="1:14">
      <c r="A54" s="17" t="s">
        <v>18</v>
      </c>
      <c r="B54" s="831" t="s">
        <v>2051</v>
      </c>
      <c r="C54" s="831"/>
      <c r="D54" s="831"/>
      <c r="E54" s="831"/>
      <c r="F54" s="831"/>
      <c r="G54" s="831"/>
      <c r="H54" s="831"/>
      <c r="I54" s="831"/>
      <c r="J54" s="831"/>
      <c r="K54" s="831"/>
      <c r="L54" s="1"/>
    </row>
    <row r="55" spans="1:14">
      <c r="A55" s="17"/>
      <c r="B55" s="831"/>
      <c r="C55" s="831"/>
      <c r="D55" s="831"/>
      <c r="E55" s="831"/>
      <c r="F55" s="831"/>
      <c r="G55" s="831"/>
      <c r="H55" s="831"/>
      <c r="I55" s="831"/>
      <c r="J55" s="831"/>
      <c r="K55" s="831"/>
      <c r="L55" s="1"/>
    </row>
    <row r="56" spans="1:14">
      <c r="A56" s="3"/>
      <c r="B56" s="3"/>
      <c r="C56" s="3"/>
      <c r="D56" s="3"/>
      <c r="E56" s="3"/>
      <c r="F56" s="3"/>
      <c r="G56" s="3"/>
      <c r="H56" s="3"/>
      <c r="I56" s="3"/>
      <c r="J56" s="3"/>
      <c r="K56" s="3"/>
      <c r="L56" s="3"/>
    </row>
    <row r="57" spans="1:14">
      <c r="A57" s="3" t="s">
        <v>20</v>
      </c>
      <c r="B57" s="3"/>
      <c r="C57" s="3"/>
      <c r="D57" s="3"/>
      <c r="E57" s="3"/>
      <c r="F57" s="3"/>
      <c r="G57" s="3"/>
      <c r="H57" s="3"/>
      <c r="I57" s="3"/>
      <c r="J57" s="3"/>
      <c r="K57" s="3"/>
      <c r="L57" s="3"/>
    </row>
    <row r="58" spans="1:14" ht="46.8">
      <c r="B58" s="93" t="s">
        <v>49</v>
      </c>
      <c r="C58" s="93" t="s">
        <v>515</v>
      </c>
      <c r="D58" s="93" t="s">
        <v>517</v>
      </c>
      <c r="E58" s="93" t="s">
        <v>518</v>
      </c>
      <c r="F58" s="93" t="s">
        <v>1338</v>
      </c>
      <c r="G58" s="93" t="s">
        <v>529</v>
      </c>
      <c r="H58" s="93" t="s">
        <v>525</v>
      </c>
      <c r="I58" s="93" t="s">
        <v>2052</v>
      </c>
      <c r="J58" s="93" t="s">
        <v>1343</v>
      </c>
      <c r="K58" s="93" t="s">
        <v>131</v>
      </c>
      <c r="L58" s="3"/>
    </row>
    <row r="59" spans="1:14">
      <c r="B59" s="94">
        <f t="shared" ref="B59:B63" si="0">B60-1</f>
        <v>2016</v>
      </c>
      <c r="C59" s="665">
        <f t="shared" ref="C59:C65" si="1">E17</f>
        <v>9.1700000000000004E-2</v>
      </c>
      <c r="D59" s="480">
        <f>(1+$E$34)*D60</f>
        <v>0.93522102408139707</v>
      </c>
      <c r="E59" s="665">
        <f>C59*D59</f>
        <v>8.5759767908264117E-2</v>
      </c>
      <c r="F59" s="240">
        <f t="shared" ref="F59:F65" si="2">$E$69*C17/D59</f>
        <v>1472.5704826202646</v>
      </c>
      <c r="G59" s="240">
        <f t="shared" ref="G59:G65" si="3">C42</f>
        <v>3750</v>
      </c>
      <c r="H59" s="480">
        <f t="shared" ref="H59:H64" si="4">(1+$E$50)*H60</f>
        <v>1.4185191122560006</v>
      </c>
      <c r="I59" s="240">
        <f>G59*H59</f>
        <v>5319.4466709600019</v>
      </c>
      <c r="J59" s="240">
        <f t="shared" ref="J59:J65" si="5">$I$69/H59</f>
        <v>3764.5752582991126</v>
      </c>
      <c r="K59" s="106">
        <f>J59*F59</f>
        <v>5543602.404973831</v>
      </c>
      <c r="L59" s="106"/>
    </row>
    <row r="60" spans="1:14">
      <c r="B60" s="94">
        <f t="shared" si="0"/>
        <v>2017</v>
      </c>
      <c r="C60" s="665">
        <f t="shared" si="1"/>
        <v>0.09</v>
      </c>
      <c r="D60" s="480">
        <f t="shared" ref="D60:D64" si="6">(1+$E$34)*D61</f>
        <v>0.94571849942501474</v>
      </c>
      <c r="E60" s="665">
        <f t="shared" ref="E60:E65" si="7">C60*D60</f>
        <v>8.5114664948251317E-2</v>
      </c>
      <c r="F60" s="240">
        <f t="shared" si="2"/>
        <v>1482.0272840183948</v>
      </c>
      <c r="G60" s="240">
        <f t="shared" si="3"/>
        <v>3993</v>
      </c>
      <c r="H60" s="480">
        <f t="shared" si="4"/>
        <v>1.3382255776000005</v>
      </c>
      <c r="I60" s="240">
        <f t="shared" ref="I60:I65" si="8">G60*H60</f>
        <v>5343.5347313568018</v>
      </c>
      <c r="J60" s="240">
        <f t="shared" si="5"/>
        <v>3990.4497737970596</v>
      </c>
      <c r="K60" s="106">
        <f t="shared" ref="K60:K65" si="9">J60*F60</f>
        <v>5913955.4402722744</v>
      </c>
      <c r="L60" s="106"/>
    </row>
    <row r="61" spans="1:14">
      <c r="B61" s="94">
        <f t="shared" si="0"/>
        <v>2018</v>
      </c>
      <c r="C61" s="665">
        <f t="shared" si="1"/>
        <v>8.9599999999999999E-2</v>
      </c>
      <c r="D61" s="480">
        <f t="shared" si="6"/>
        <v>0.95633380465670415</v>
      </c>
      <c r="E61" s="665">
        <f t="shared" si="7"/>
        <v>8.5687508897240694E-2</v>
      </c>
      <c r="F61" s="240">
        <f t="shared" si="2"/>
        <v>1476.9272828786607</v>
      </c>
      <c r="G61" s="240">
        <f t="shared" si="3"/>
        <v>4230</v>
      </c>
      <c r="H61" s="480">
        <f t="shared" si="4"/>
        <v>1.2624769600000003</v>
      </c>
      <c r="I61" s="240">
        <f t="shared" si="8"/>
        <v>5340.2775408000016</v>
      </c>
      <c r="J61" s="240">
        <f t="shared" si="5"/>
        <v>4229.8767602248836</v>
      </c>
      <c r="K61" s="106">
        <f t="shared" si="9"/>
        <v>6247220.3903905293</v>
      </c>
      <c r="L61" s="106"/>
    </row>
    <row r="62" spans="1:14">
      <c r="B62" s="94">
        <f t="shared" si="0"/>
        <v>2019</v>
      </c>
      <c r="C62" s="665">
        <f t="shared" si="1"/>
        <v>8.8999999999999996E-2</v>
      </c>
      <c r="D62" s="480">
        <f t="shared" si="6"/>
        <v>0.96706826236900001</v>
      </c>
      <c r="E62" s="665">
        <f t="shared" si="7"/>
        <v>8.606907535084099E-2</v>
      </c>
      <c r="F62" s="240">
        <f t="shared" si="2"/>
        <v>1465.3823788528539</v>
      </c>
      <c r="G62" s="240">
        <f t="shared" si="3"/>
        <v>4489</v>
      </c>
      <c r="H62" s="480">
        <f t="shared" si="4"/>
        <v>1.1910160000000003</v>
      </c>
      <c r="I62" s="240">
        <f t="shared" si="8"/>
        <v>5346.4708240000009</v>
      </c>
      <c r="J62" s="240">
        <f t="shared" si="5"/>
        <v>4483.6693658383765</v>
      </c>
      <c r="K62" s="106">
        <f t="shared" si="9"/>
        <v>6570290.0813019071</v>
      </c>
      <c r="L62" s="106"/>
      <c r="M62" s="3"/>
      <c r="N62" s="3"/>
    </row>
    <row r="63" spans="1:14">
      <c r="B63" s="94">
        <f t="shared" si="0"/>
        <v>2020</v>
      </c>
      <c r="C63" s="665">
        <f t="shared" si="1"/>
        <v>8.72E-2</v>
      </c>
      <c r="D63" s="480">
        <f t="shared" si="6"/>
        <v>0.97792321000000004</v>
      </c>
      <c r="E63" s="665">
        <f t="shared" si="7"/>
        <v>8.5274903912000002E-2</v>
      </c>
      <c r="F63" s="240">
        <f t="shared" si="2"/>
        <v>1468.3860939533859</v>
      </c>
      <c r="G63" s="240">
        <f t="shared" si="3"/>
        <v>4679</v>
      </c>
      <c r="H63" s="480">
        <f t="shared" si="4"/>
        <v>1.1236000000000002</v>
      </c>
      <c r="I63" s="240">
        <f t="shared" si="8"/>
        <v>5257.3244000000004</v>
      </c>
      <c r="J63" s="240">
        <f t="shared" si="5"/>
        <v>4752.6895277886797</v>
      </c>
      <c r="K63" s="106">
        <f t="shared" si="9"/>
        <v>6978783.211482781</v>
      </c>
      <c r="L63" s="106"/>
      <c r="M63" s="3"/>
      <c r="N63" s="3"/>
    </row>
    <row r="64" spans="1:14">
      <c r="B64" s="94">
        <f>B65-1</f>
        <v>2021</v>
      </c>
      <c r="C64" s="665">
        <f t="shared" si="1"/>
        <v>8.6499999999999994E-2</v>
      </c>
      <c r="D64" s="480">
        <f t="shared" si="6"/>
        <v>0.9889</v>
      </c>
      <c r="E64" s="665">
        <f t="shared" si="7"/>
        <v>8.5539850000000001E-2</v>
      </c>
      <c r="F64" s="240">
        <f t="shared" si="2"/>
        <v>1486.5099707716618</v>
      </c>
      <c r="G64" s="240">
        <f t="shared" si="3"/>
        <v>5048</v>
      </c>
      <c r="H64" s="480">
        <f t="shared" si="4"/>
        <v>1.06</v>
      </c>
      <c r="I64" s="240">
        <f t="shared" si="8"/>
        <v>5350.88</v>
      </c>
      <c r="J64" s="240">
        <f t="shared" si="5"/>
        <v>5037.8508994560007</v>
      </c>
      <c r="K64" s="106">
        <f t="shared" si="9"/>
        <v>7488815.5933023291</v>
      </c>
      <c r="L64" s="106"/>
      <c r="M64" s="3"/>
      <c r="N64" s="3"/>
    </row>
    <row r="65" spans="2:12">
      <c r="B65" s="107">
        <v>2022</v>
      </c>
      <c r="C65" s="666">
        <f t="shared" si="1"/>
        <v>8.7599999999999997E-2</v>
      </c>
      <c r="D65" s="482">
        <v>1</v>
      </c>
      <c r="E65" s="666">
        <f t="shared" si="7"/>
        <v>8.7599999999999997E-2</v>
      </c>
      <c r="F65" s="370">
        <f t="shared" si="2"/>
        <v>1462.5415605764681</v>
      </c>
      <c r="G65" s="370">
        <f t="shared" si="3"/>
        <v>5409</v>
      </c>
      <c r="H65" s="482">
        <v>1</v>
      </c>
      <c r="I65" s="370">
        <f t="shared" si="8"/>
        <v>5409</v>
      </c>
      <c r="J65" s="370">
        <f t="shared" si="5"/>
        <v>5340.1219534233614</v>
      </c>
      <c r="K65" s="110">
        <f t="shared" si="9"/>
        <v>7810150.2954284605</v>
      </c>
      <c r="L65" s="18"/>
    </row>
    <row r="66" spans="2:12">
      <c r="B66" s="3" t="s">
        <v>2053</v>
      </c>
      <c r="C66" s="3"/>
      <c r="D66" s="3"/>
      <c r="E66" s="3"/>
      <c r="F66" s="3"/>
      <c r="G66" s="240"/>
      <c r="H66" s="62"/>
      <c r="I66" s="240"/>
      <c r="J66" s="240"/>
      <c r="K66" s="106">
        <f>SUM(K59:K65)</f>
        <v>46552817.417152114</v>
      </c>
      <c r="L66" s="18"/>
    </row>
    <row r="67" spans="2:12">
      <c r="B67" s="3" t="s">
        <v>2043</v>
      </c>
      <c r="D67" s="3"/>
      <c r="E67" s="640">
        <f>AVERAGE(E59:E64)</f>
        <v>8.5574295169432837E-2</v>
      </c>
      <c r="F67" s="3"/>
      <c r="G67" s="240"/>
      <c r="H67" s="62"/>
      <c r="I67" s="240">
        <f>AVERAGE(I59:I64)</f>
        <v>5326.3223611861349</v>
      </c>
      <c r="J67" s="240"/>
      <c r="K67" s="106"/>
      <c r="L67" s="3"/>
    </row>
    <row r="68" spans="2:12">
      <c r="B68" s="3" t="s">
        <v>2054</v>
      </c>
      <c r="D68" s="3"/>
      <c r="E68" s="640">
        <f>AVERAGE(E62:E64)</f>
        <v>8.5627943087613678E-2</v>
      </c>
      <c r="F68" s="3"/>
      <c r="G68" s="240"/>
      <c r="H68" s="62"/>
      <c r="I68" s="240">
        <f>AVERAGE(I62:I64)</f>
        <v>5318.2250746666678</v>
      </c>
      <c r="J68" s="240"/>
      <c r="K68" s="106"/>
      <c r="L68" s="3"/>
    </row>
    <row r="69" spans="2:12">
      <c r="B69" s="3" t="s">
        <v>2055</v>
      </c>
      <c r="C69" s="62"/>
      <c r="D69" s="3"/>
      <c r="E69" s="667">
        <v>8.6838947902652189E-2</v>
      </c>
      <c r="F69" s="3"/>
      <c r="G69" s="240"/>
      <c r="H69" s="62"/>
      <c r="I69" s="668">
        <v>5340.1219534233614</v>
      </c>
      <c r="J69" s="240"/>
      <c r="K69" s="106"/>
      <c r="L69" s="3"/>
    </row>
  </sheetData>
  <mergeCells count="5">
    <mergeCell ref="B25:E25"/>
    <mergeCell ref="B26:D26"/>
    <mergeCell ref="B27:D27"/>
    <mergeCell ref="B28:D28"/>
    <mergeCell ref="B54:K55"/>
  </mergeCells>
  <hyperlinks>
    <hyperlink ref="O1" location="TOC!A1" display="Table of Contents" xr:uid="{51E9A4F5-386F-4CB2-BD93-84CB3B592245}"/>
  </hyperlinks>
  <pageMargins left="0.7" right="0.7" top="0.75" bottom="0.75" header="0.3" footer="0.3"/>
  <pageSetup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9D160-64AC-4386-94A4-14A9F7CCFD53}">
  <dimension ref="A1:AF79"/>
  <sheetViews>
    <sheetView zoomScaleNormal="100" workbookViewId="0"/>
  </sheetViews>
  <sheetFormatPr defaultColWidth="8.88671875" defaultRowHeight="15.6"/>
  <cols>
    <col min="1" max="1" width="14.6640625" style="2" customWidth="1"/>
    <col min="2" max="2" width="17.88671875" style="2" customWidth="1"/>
    <col min="3" max="7" width="10.77734375" style="2" customWidth="1"/>
    <col min="8" max="8" width="8.88671875" style="2" customWidth="1"/>
    <col min="9" max="12" width="8.88671875" style="2"/>
    <col min="13" max="32" width="4" style="2" customWidth="1"/>
    <col min="33" max="16384" width="8.88671875" style="2"/>
  </cols>
  <sheetData>
    <row r="1" spans="1:15" ht="17.399999999999999">
      <c r="A1" s="13" t="s">
        <v>2272</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2056</v>
      </c>
      <c r="B3" s="1"/>
      <c r="C3" s="1"/>
      <c r="D3" s="1"/>
      <c r="E3" s="1"/>
      <c r="F3" s="1"/>
      <c r="G3" s="1"/>
      <c r="H3" s="1"/>
      <c r="I3" s="1"/>
      <c r="J3" s="1"/>
      <c r="K3" s="1"/>
      <c r="L3" s="14"/>
    </row>
    <row r="4" spans="1:15">
      <c r="A4" s="43"/>
      <c r="B4" s="1"/>
      <c r="C4" s="1"/>
      <c r="D4" s="1"/>
      <c r="E4" s="1"/>
      <c r="F4" s="1"/>
      <c r="G4" s="1"/>
      <c r="H4" s="1"/>
      <c r="I4" s="1"/>
      <c r="J4" s="1"/>
      <c r="K4" s="1"/>
      <c r="L4" s="1"/>
    </row>
    <row r="5" spans="1:15" ht="31.2">
      <c r="A5" s="43"/>
      <c r="B5" s="4" t="s">
        <v>1077</v>
      </c>
      <c r="C5" s="4" t="s">
        <v>629</v>
      </c>
      <c r="D5" s="1"/>
      <c r="E5" s="1"/>
      <c r="F5" s="1"/>
      <c r="G5" s="1"/>
      <c r="H5" s="1"/>
      <c r="I5" s="1"/>
      <c r="J5" s="1"/>
      <c r="K5" s="1"/>
      <c r="L5" s="1"/>
    </row>
    <row r="6" spans="1:15">
      <c r="A6" s="43"/>
      <c r="B6" s="491">
        <v>43647</v>
      </c>
      <c r="C6" s="156">
        <v>0.03</v>
      </c>
      <c r="D6" s="1"/>
      <c r="E6" s="1"/>
      <c r="F6" s="1"/>
      <c r="G6" s="1"/>
      <c r="H6" s="1"/>
      <c r="I6" s="1"/>
      <c r="J6" s="1"/>
      <c r="K6" s="1"/>
      <c r="L6" s="1"/>
    </row>
    <row r="7" spans="1:15">
      <c r="A7" s="43"/>
      <c r="B7" s="491">
        <v>44013</v>
      </c>
      <c r="C7" s="156">
        <v>7.0000000000000007E-2</v>
      </c>
      <c r="D7" s="1"/>
      <c r="E7" s="1"/>
      <c r="F7" s="1"/>
      <c r="G7" s="1"/>
      <c r="H7" s="1"/>
      <c r="I7" s="1"/>
      <c r="J7" s="1"/>
      <c r="K7" s="1"/>
      <c r="L7" s="1"/>
    </row>
    <row r="8" spans="1:15">
      <c r="A8" s="43"/>
      <c r="B8" s="491">
        <v>44652</v>
      </c>
      <c r="C8" s="156">
        <v>0.06</v>
      </c>
      <c r="D8" s="1"/>
      <c r="E8" s="1"/>
      <c r="F8" s="1"/>
      <c r="G8" s="1"/>
      <c r="H8" s="1"/>
      <c r="I8" s="1"/>
      <c r="J8" s="1"/>
      <c r="K8" s="1"/>
      <c r="L8" s="1"/>
    </row>
    <row r="9" spans="1:15">
      <c r="A9" s="1"/>
      <c r="B9" s="1"/>
      <c r="C9" s="1"/>
      <c r="D9" s="1"/>
      <c r="E9" s="1"/>
      <c r="F9" s="1"/>
      <c r="G9" s="1"/>
      <c r="H9" s="1"/>
      <c r="I9" s="1"/>
      <c r="J9" s="1"/>
      <c r="K9" s="1"/>
      <c r="L9" s="1"/>
    </row>
    <row r="10" spans="1:15">
      <c r="A10" s="1"/>
      <c r="B10" s="1" t="s">
        <v>2057</v>
      </c>
      <c r="C10" s="1"/>
      <c r="D10" s="1"/>
      <c r="E10" s="1"/>
      <c r="F10" s="1"/>
      <c r="G10" s="1"/>
      <c r="H10" s="1"/>
      <c r="I10" s="1"/>
      <c r="J10" s="1"/>
      <c r="K10" s="1"/>
      <c r="L10" s="1"/>
    </row>
    <row r="11" spans="1:15">
      <c r="A11" s="43"/>
      <c r="B11" s="1" t="s">
        <v>2058</v>
      </c>
      <c r="C11" s="1"/>
      <c r="D11" s="1"/>
      <c r="E11" s="1"/>
      <c r="F11" s="1"/>
      <c r="G11" s="1"/>
      <c r="H11" s="1"/>
      <c r="I11" s="1"/>
      <c r="J11" s="1"/>
      <c r="K11" s="1"/>
      <c r="L11" s="1"/>
    </row>
    <row r="12" spans="1:15">
      <c r="A12" s="1"/>
      <c r="B12" s="1" t="s">
        <v>2059</v>
      </c>
      <c r="C12" s="1"/>
      <c r="D12" s="1"/>
      <c r="E12" s="1"/>
      <c r="F12" s="1"/>
      <c r="G12" s="1"/>
      <c r="H12" s="1"/>
      <c r="I12" s="1"/>
      <c r="J12" s="1"/>
      <c r="K12" s="1"/>
      <c r="L12" s="1"/>
    </row>
    <row r="13" spans="1:15">
      <c r="A13" s="1"/>
      <c r="B13" s="1" t="s">
        <v>2060</v>
      </c>
      <c r="C13" s="1"/>
      <c r="D13" s="1"/>
      <c r="E13" s="1"/>
      <c r="F13" s="1"/>
      <c r="G13" s="1"/>
      <c r="H13" s="1"/>
      <c r="I13" s="1"/>
      <c r="J13" s="1"/>
      <c r="K13" s="1"/>
      <c r="L13" s="1"/>
    </row>
    <row r="14" spans="1:15">
      <c r="A14" s="1"/>
      <c r="B14" s="1"/>
      <c r="C14" s="1" t="s">
        <v>2061</v>
      </c>
      <c r="D14" s="1"/>
      <c r="E14" s="1"/>
      <c r="F14" s="1"/>
      <c r="G14" s="1"/>
      <c r="H14" s="1"/>
      <c r="I14" s="1"/>
      <c r="J14" s="1"/>
      <c r="K14" s="1"/>
      <c r="L14" s="1"/>
    </row>
    <row r="15" spans="1:15">
      <c r="A15" s="1"/>
      <c r="B15" s="1" t="s">
        <v>2062</v>
      </c>
      <c r="C15" s="1"/>
      <c r="D15" s="1"/>
      <c r="E15" s="1"/>
      <c r="F15" s="1"/>
      <c r="G15" s="1"/>
      <c r="H15" s="1"/>
      <c r="I15" s="1"/>
      <c r="J15" s="1"/>
      <c r="K15" s="1"/>
      <c r="L15" s="1"/>
    </row>
    <row r="16" spans="1:15">
      <c r="A16" s="1"/>
      <c r="B16" s="1"/>
      <c r="C16" s="1"/>
      <c r="D16" s="1"/>
      <c r="E16" s="1"/>
      <c r="F16" s="1"/>
      <c r="G16" s="1"/>
      <c r="H16" s="1"/>
      <c r="I16" s="1"/>
      <c r="J16" s="1"/>
      <c r="K16" s="1"/>
      <c r="L16" s="1"/>
    </row>
    <row r="17" spans="1:32">
      <c r="A17" s="3"/>
      <c r="B17" s="3"/>
      <c r="C17" s="3"/>
      <c r="D17" s="3"/>
      <c r="E17" s="3"/>
      <c r="F17" s="3"/>
      <c r="G17" s="3"/>
      <c r="H17" s="3"/>
      <c r="I17" s="3"/>
      <c r="J17" s="3"/>
      <c r="K17" s="3"/>
      <c r="L17" s="3"/>
    </row>
    <row r="18" spans="1:32">
      <c r="A18" s="17" t="s">
        <v>91</v>
      </c>
      <c r="B18" s="1" t="s">
        <v>2063</v>
      </c>
      <c r="C18" s="1"/>
      <c r="D18" s="1"/>
      <c r="E18" s="1"/>
      <c r="F18" s="1"/>
      <c r="G18" s="1"/>
      <c r="H18" s="1"/>
      <c r="I18" s="1"/>
      <c r="J18" s="1"/>
      <c r="K18" s="1"/>
      <c r="L18" s="1"/>
      <c r="M18" s="9"/>
      <c r="N18" s="9"/>
      <c r="O18" s="9"/>
      <c r="P18" s="9"/>
      <c r="Q18" s="9"/>
      <c r="R18" s="9"/>
    </row>
    <row r="19" spans="1:32">
      <c r="A19" s="3"/>
      <c r="B19" s="3"/>
      <c r="C19" s="3"/>
      <c r="D19" s="3"/>
      <c r="E19" s="3"/>
      <c r="F19" s="3"/>
      <c r="G19" s="3"/>
      <c r="H19" s="3"/>
      <c r="I19" s="3"/>
      <c r="J19" s="3"/>
      <c r="K19" s="3"/>
      <c r="L19" s="3"/>
      <c r="M19" s="3"/>
    </row>
    <row r="20" spans="1:32">
      <c r="A20" s="3" t="s">
        <v>20</v>
      </c>
      <c r="B20" s="3"/>
      <c r="C20" s="3"/>
      <c r="D20" s="3"/>
      <c r="E20" s="3"/>
      <c r="F20" s="3"/>
      <c r="G20" s="3"/>
      <c r="H20" s="3"/>
      <c r="I20" s="3"/>
      <c r="J20" s="3"/>
      <c r="K20" s="3"/>
      <c r="L20" s="3"/>
      <c r="M20" s="3"/>
      <c r="N20" s="9"/>
    </row>
    <row r="21" spans="1:32">
      <c r="A21" s="3"/>
      <c r="B21" s="3"/>
      <c r="C21" s="3"/>
      <c r="D21" s="3"/>
      <c r="E21" s="3"/>
      <c r="F21" s="3"/>
      <c r="G21" s="3"/>
      <c r="H21" s="3"/>
      <c r="I21" s="3"/>
      <c r="J21" s="3"/>
      <c r="K21" s="3"/>
      <c r="L21" s="3"/>
      <c r="M21" s="3"/>
      <c r="N21" s="9"/>
    </row>
    <row r="22" spans="1:32">
      <c r="A22" s="3" t="s">
        <v>2064</v>
      </c>
      <c r="B22" s="3"/>
      <c r="C22" s="3"/>
      <c r="D22" s="3"/>
      <c r="E22" s="3"/>
      <c r="F22" s="3"/>
      <c r="G22" s="3"/>
      <c r="H22" s="3"/>
      <c r="I22" s="3"/>
      <c r="J22" s="3"/>
      <c r="K22" s="3"/>
      <c r="L22" s="3"/>
      <c r="M22" s="3"/>
      <c r="N22" s="9"/>
    </row>
    <row r="24" spans="1:32">
      <c r="A24" s="17" t="s">
        <v>133</v>
      </c>
      <c r="B24" s="831" t="s">
        <v>2065</v>
      </c>
      <c r="C24" s="831"/>
      <c r="D24" s="831"/>
      <c r="E24" s="831"/>
      <c r="F24" s="831"/>
      <c r="G24" s="831"/>
      <c r="H24" s="831"/>
      <c r="I24" s="831"/>
      <c r="J24" s="831"/>
      <c r="K24" s="831"/>
      <c r="L24" s="1"/>
    </row>
    <row r="25" spans="1:32">
      <c r="A25" s="17"/>
      <c r="B25" s="831"/>
      <c r="C25" s="831"/>
      <c r="D25" s="831"/>
      <c r="E25" s="831"/>
      <c r="F25" s="831"/>
      <c r="G25" s="831"/>
      <c r="H25" s="831"/>
      <c r="I25" s="831"/>
      <c r="J25" s="831"/>
      <c r="K25" s="831"/>
      <c r="L25" s="1"/>
    </row>
    <row r="26" spans="1:32">
      <c r="A26" s="3"/>
      <c r="B26" s="3"/>
      <c r="C26" s="3"/>
      <c r="D26" s="3"/>
      <c r="E26" s="3"/>
      <c r="F26" s="3"/>
      <c r="G26" s="3"/>
      <c r="H26" s="3"/>
      <c r="I26" s="3"/>
      <c r="J26" s="3"/>
      <c r="K26" s="3"/>
      <c r="L26" s="3"/>
    </row>
    <row r="27" spans="1:32" ht="16.2">
      <c r="A27" s="3" t="s">
        <v>20</v>
      </c>
      <c r="B27" s="3"/>
      <c r="C27" s="3"/>
      <c r="D27" s="3"/>
      <c r="E27" s="3"/>
      <c r="F27" s="3"/>
      <c r="G27" s="3"/>
      <c r="H27" s="3"/>
      <c r="I27" s="3"/>
      <c r="J27" s="3"/>
      <c r="K27" s="3"/>
      <c r="L27" s="3"/>
      <c r="M27" s="114" t="s">
        <v>189</v>
      </c>
    </row>
    <row r="28" spans="1:32">
      <c r="A28" s="3"/>
      <c r="B28" s="3"/>
      <c r="C28" s="3"/>
      <c r="D28" s="3"/>
      <c r="E28" s="3"/>
      <c r="F28" s="3"/>
      <c r="G28" s="3"/>
      <c r="H28" s="3"/>
      <c r="I28" s="3"/>
      <c r="J28" s="3"/>
      <c r="K28" s="3"/>
      <c r="L28" s="3"/>
      <c r="M28" s="923">
        <v>2019</v>
      </c>
      <c r="N28" s="923"/>
      <c r="O28" s="923"/>
      <c r="P28" s="923"/>
      <c r="Q28" s="923">
        <f>M28+1</f>
        <v>2020</v>
      </c>
      <c r="R28" s="923"/>
      <c r="S28" s="923"/>
      <c r="T28" s="923"/>
      <c r="U28" s="923">
        <f>Q28+1</f>
        <v>2021</v>
      </c>
      <c r="V28" s="923"/>
      <c r="W28" s="923"/>
      <c r="X28" s="923"/>
      <c r="Y28" s="923">
        <f>U28+1</f>
        <v>2022</v>
      </c>
      <c r="Z28" s="923"/>
      <c r="AA28" s="923"/>
      <c r="AB28" s="923"/>
      <c r="AC28" s="923">
        <f>Y28+1</f>
        <v>2023</v>
      </c>
      <c r="AD28" s="923"/>
      <c r="AE28" s="923"/>
      <c r="AF28" s="923"/>
    </row>
    <row r="29" spans="1:32" ht="19.95" customHeight="1">
      <c r="A29" s="2" t="s">
        <v>2066</v>
      </c>
      <c r="B29" s="3"/>
      <c r="C29" s="3"/>
      <c r="D29" s="3"/>
      <c r="E29" s="3"/>
      <c r="F29" s="3"/>
      <c r="G29" s="3"/>
      <c r="H29" s="3"/>
      <c r="I29" s="3"/>
      <c r="J29" s="3"/>
      <c r="K29" s="3"/>
      <c r="L29" s="3"/>
      <c r="M29" s="535"/>
      <c r="N29" s="536"/>
      <c r="O29" s="536"/>
      <c r="P29" s="537"/>
      <c r="Q29" s="535"/>
      <c r="R29" s="536"/>
      <c r="S29" s="536"/>
      <c r="T29" s="537"/>
      <c r="U29" s="535"/>
      <c r="V29" s="536"/>
      <c r="W29" s="536"/>
      <c r="X29" s="537"/>
      <c r="Y29" s="535"/>
      <c r="Z29" s="536"/>
      <c r="AA29" s="536"/>
      <c r="AB29" s="537"/>
      <c r="AC29" s="535"/>
      <c r="AD29" s="536"/>
      <c r="AE29" s="536"/>
      <c r="AF29" s="537"/>
    </row>
    <row r="30" spans="1:32" ht="19.95" customHeight="1">
      <c r="A30" s="553" t="s">
        <v>242</v>
      </c>
      <c r="B30" s="553"/>
      <c r="C30" s="3"/>
      <c r="D30" s="3"/>
      <c r="E30" s="3"/>
      <c r="F30" s="3"/>
      <c r="G30" s="3"/>
      <c r="H30" s="3"/>
      <c r="M30" s="538"/>
      <c r="N30" s="9">
        <v>1</v>
      </c>
      <c r="O30" s="9"/>
      <c r="P30" s="539"/>
      <c r="Q30" s="538"/>
      <c r="R30" s="943">
        <f>1+N33</f>
        <v>1.03</v>
      </c>
      <c r="S30" s="943"/>
      <c r="T30" s="539"/>
      <c r="U30" s="538"/>
      <c r="V30" s="943">
        <f>R30*(1+R33)</f>
        <v>1.1021000000000001</v>
      </c>
      <c r="W30" s="943"/>
      <c r="X30" s="539"/>
      <c r="Y30" s="538"/>
      <c r="Z30" s="9"/>
      <c r="AA30" s="9"/>
      <c r="AB30" s="539"/>
      <c r="AC30" s="538"/>
      <c r="AD30" s="944">
        <f>V30*(1+Y33)</f>
        <v>1.1682260000000002</v>
      </c>
      <c r="AE30" s="944"/>
      <c r="AF30" s="539"/>
    </row>
    <row r="31" spans="1:32" ht="19.95" customHeight="1">
      <c r="A31" s="94" t="s">
        <v>243</v>
      </c>
      <c r="B31" s="94" t="s">
        <v>244</v>
      </c>
      <c r="C31" s="94" t="s">
        <v>193</v>
      </c>
      <c r="D31" s="615" t="s">
        <v>194</v>
      </c>
      <c r="E31" s="274"/>
      <c r="F31" s="274"/>
      <c r="G31" s="274"/>
      <c r="H31" s="274"/>
      <c r="M31" s="538"/>
      <c r="N31" s="9"/>
      <c r="O31" s="9"/>
      <c r="P31" s="539"/>
      <c r="Q31" s="538"/>
      <c r="R31" s="9"/>
      <c r="S31" s="9"/>
      <c r="T31" s="539"/>
      <c r="U31" s="538"/>
      <c r="V31" s="9"/>
      <c r="W31" s="9"/>
      <c r="X31" s="539"/>
      <c r="Y31" s="538"/>
      <c r="Z31" s="9"/>
      <c r="AA31" s="9"/>
      <c r="AB31" s="539"/>
      <c r="AC31" s="538"/>
      <c r="AD31" s="9"/>
      <c r="AE31" s="9"/>
      <c r="AF31" s="539"/>
    </row>
    <row r="32" spans="1:32" ht="19.95" customHeight="1">
      <c r="A32" s="107" t="s">
        <v>245</v>
      </c>
      <c r="B32" s="107" t="s">
        <v>246</v>
      </c>
      <c r="C32" s="107" t="s">
        <v>196</v>
      </c>
      <c r="D32" s="107">
        <f t="shared" ref="D32:E32" si="0">E32-1</f>
        <v>2019</v>
      </c>
      <c r="E32" s="107">
        <f t="shared" si="0"/>
        <v>2020</v>
      </c>
      <c r="F32" s="107">
        <f>G32-1</f>
        <v>2021</v>
      </c>
      <c r="G32" s="107">
        <v>2022</v>
      </c>
      <c r="M32" s="540"/>
      <c r="N32" s="541"/>
      <c r="O32" s="541"/>
      <c r="P32" s="542"/>
      <c r="Q32" s="540"/>
      <c r="R32" s="541"/>
      <c r="S32" s="541"/>
      <c r="T32" s="542"/>
      <c r="U32" s="540"/>
      <c r="V32" s="541"/>
      <c r="W32" s="541"/>
      <c r="X32" s="542"/>
      <c r="Y32" s="540"/>
      <c r="Z32" s="541"/>
      <c r="AA32" s="541"/>
      <c r="AB32" s="542"/>
      <c r="AC32" s="540"/>
      <c r="AD32" s="541"/>
      <c r="AE32" s="541"/>
      <c r="AF32" s="542"/>
    </row>
    <row r="33" spans="1:32">
      <c r="A33" s="443"/>
      <c r="B33" s="125">
        <v>0</v>
      </c>
      <c r="C33" s="126">
        <v>1</v>
      </c>
      <c r="D33" s="580">
        <f>1-D34</f>
        <v>0.875</v>
      </c>
      <c r="E33" s="580">
        <f>D34</f>
        <v>0.125</v>
      </c>
      <c r="F33" s="580">
        <v>0</v>
      </c>
      <c r="G33" s="580">
        <v>0</v>
      </c>
      <c r="N33" s="669">
        <f>$C$6</f>
        <v>0.03</v>
      </c>
      <c r="R33" s="669">
        <f>$C$7</f>
        <v>7.0000000000000007E-2</v>
      </c>
      <c r="Y33" s="669">
        <f>$C$8</f>
        <v>0.06</v>
      </c>
    </row>
    <row r="34" spans="1:32">
      <c r="A34" s="581">
        <f t="shared" ref="A34:B36" si="1">B6</f>
        <v>43647</v>
      </c>
      <c r="B34" s="670">
        <f t="shared" si="1"/>
        <v>0.03</v>
      </c>
      <c r="C34" s="126">
        <f>C33*(1+B34)</f>
        <v>1.03</v>
      </c>
      <c r="D34" s="580">
        <f>0.5*0.5*0.5</f>
        <v>0.125</v>
      </c>
      <c r="E34" s="580">
        <f>1-E33-E35</f>
        <v>0.75</v>
      </c>
      <c r="F34" s="580">
        <f>E33</f>
        <v>0.125</v>
      </c>
      <c r="G34" s="580">
        <v>0</v>
      </c>
    </row>
    <row r="35" spans="1:32">
      <c r="A35" s="581">
        <f t="shared" si="1"/>
        <v>44013</v>
      </c>
      <c r="B35" s="670">
        <f t="shared" si="1"/>
        <v>7.0000000000000007E-2</v>
      </c>
      <c r="C35" s="126">
        <f t="shared" ref="C35:C36" si="2">C34*(1+B35)</f>
        <v>1.1021000000000001</v>
      </c>
      <c r="D35" s="580">
        <v>0</v>
      </c>
      <c r="E35" s="580">
        <f>E33</f>
        <v>0.125</v>
      </c>
      <c r="F35" s="580">
        <f>1-F34</f>
        <v>0.875</v>
      </c>
      <c r="G35" s="580">
        <f>1-G36</f>
        <v>0.71875</v>
      </c>
    </row>
    <row r="36" spans="1:32">
      <c r="A36" s="582">
        <f t="shared" si="1"/>
        <v>44652</v>
      </c>
      <c r="B36" s="671">
        <f t="shared" si="1"/>
        <v>0.06</v>
      </c>
      <c r="C36" s="129">
        <f t="shared" si="2"/>
        <v>1.1682260000000002</v>
      </c>
      <c r="D36" s="583">
        <v>0</v>
      </c>
      <c r="E36" s="583">
        <v>0</v>
      </c>
      <c r="F36" s="583">
        <v>0</v>
      </c>
      <c r="G36" s="583">
        <f>0.5*0.75*0.75</f>
        <v>0.28125</v>
      </c>
    </row>
    <row r="37" spans="1:32">
      <c r="A37" s="443"/>
      <c r="B37" s="125"/>
      <c r="C37" s="3"/>
      <c r="D37" s="580">
        <f>SUM(D33:D36)</f>
        <v>1</v>
      </c>
      <c r="E37" s="580">
        <f>SUM(E33:E36)</f>
        <v>1</v>
      </c>
      <c r="F37" s="580">
        <f>SUM(F33:F36)</f>
        <v>1</v>
      </c>
      <c r="G37" s="580">
        <f>SUM(G33:G36)</f>
        <v>1</v>
      </c>
    </row>
    <row r="38" spans="1:32">
      <c r="A38" s="443"/>
      <c r="B38" s="181"/>
      <c r="C38" s="3"/>
      <c r="D38" s="3"/>
      <c r="E38" s="3"/>
      <c r="F38" s="3"/>
      <c r="G38" s="3"/>
    </row>
    <row r="39" spans="1:32">
      <c r="A39" s="449" t="s">
        <v>639</v>
      </c>
      <c r="B39" s="3"/>
      <c r="C39" s="3"/>
      <c r="D39" s="126">
        <f>SUMPRODUCT($C$33:$C$36,D33:D36)</f>
        <v>1.0037499999999999</v>
      </c>
      <c r="E39" s="126">
        <f>SUMPRODUCT($C$33:$C$36,E33:E36)</f>
        <v>1.0352625</v>
      </c>
      <c r="F39" s="126">
        <f>SUMPRODUCT($C$33:$C$36,F33:F36)</f>
        <v>1.0930875</v>
      </c>
      <c r="G39" s="126">
        <f>SUMPRODUCT($C$33:$C$36,G33:G36)</f>
        <v>1.1206979375000001</v>
      </c>
    </row>
    <row r="40" spans="1:32">
      <c r="A40" s="181"/>
      <c r="B40" s="3"/>
      <c r="C40" s="3"/>
      <c r="D40" s="3"/>
      <c r="E40" s="3"/>
      <c r="F40" s="3"/>
      <c r="G40" s="3"/>
    </row>
    <row r="41" spans="1:32">
      <c r="A41" s="449" t="s">
        <v>1084</v>
      </c>
      <c r="B41" s="3"/>
      <c r="C41" s="3"/>
      <c r="D41" s="105">
        <f>$C$36/D39</f>
        <v>1.1638615193026154</v>
      </c>
      <c r="E41" s="105">
        <f>$C$36/E39</f>
        <v>1.1284345757718455</v>
      </c>
      <c r="F41" s="105">
        <f>$C$36/F39</f>
        <v>1.0687396937573619</v>
      </c>
      <c r="G41" s="105">
        <f>$C$36/G39</f>
        <v>1.0424093423478795</v>
      </c>
    </row>
    <row r="42" spans="1:32">
      <c r="M42" s="923">
        <v>2019</v>
      </c>
      <c r="N42" s="923"/>
      <c r="O42" s="923"/>
      <c r="P42" s="923"/>
      <c r="Q42" s="923">
        <f>M42+1</f>
        <v>2020</v>
      </c>
      <c r="R42" s="923"/>
      <c r="S42" s="923"/>
      <c r="T42" s="923"/>
      <c r="U42" s="923">
        <f>Q42+1</f>
        <v>2021</v>
      </c>
      <c r="V42" s="923"/>
      <c r="W42" s="923"/>
      <c r="X42" s="923"/>
      <c r="Y42" s="923">
        <f>U42+1</f>
        <v>2022</v>
      </c>
      <c r="Z42" s="923"/>
      <c r="AA42" s="923"/>
      <c r="AB42" s="923"/>
      <c r="AC42" s="923">
        <f>Y42+1</f>
        <v>2023</v>
      </c>
      <c r="AD42" s="923"/>
      <c r="AE42" s="923"/>
      <c r="AF42" s="923"/>
    </row>
    <row r="43" spans="1:32" ht="19.95" customHeight="1">
      <c r="A43" s="2" t="s">
        <v>2067</v>
      </c>
      <c r="M43" s="535"/>
      <c r="N43" s="536"/>
      <c r="O43" s="536"/>
      <c r="P43" s="537"/>
      <c r="Q43" s="535"/>
      <c r="R43" s="536"/>
      <c r="S43" s="536"/>
      <c r="T43" s="537"/>
      <c r="U43" s="535"/>
      <c r="V43" s="536"/>
      <c r="W43" s="536"/>
      <c r="X43" s="537"/>
      <c r="Y43" s="535"/>
      <c r="Z43" s="536"/>
      <c r="AA43" s="536"/>
      <c r="AB43" s="537"/>
      <c r="AC43" s="535"/>
      <c r="AD43" s="536"/>
      <c r="AE43" s="536"/>
      <c r="AF43" s="537"/>
    </row>
    <row r="44" spans="1:32" ht="19.95" customHeight="1">
      <c r="A44" s="553" t="s">
        <v>242</v>
      </c>
      <c r="B44" s="553"/>
      <c r="C44" s="3"/>
      <c r="D44" s="3"/>
      <c r="E44" s="3"/>
      <c r="F44" s="3"/>
      <c r="G44" s="3"/>
      <c r="H44" s="3"/>
      <c r="M44" s="538"/>
      <c r="N44" s="9">
        <v>1</v>
      </c>
      <c r="O44" s="9"/>
      <c r="P44" s="539"/>
      <c r="Q44" s="538"/>
      <c r="R44" s="943">
        <f>1+N47</f>
        <v>1.03</v>
      </c>
      <c r="S44" s="943"/>
      <c r="T44" s="539"/>
      <c r="U44" s="538"/>
      <c r="V44" s="943">
        <f>R44*(1+R47)</f>
        <v>1.1021000000000001</v>
      </c>
      <c r="W44" s="943"/>
      <c r="X44" s="539"/>
      <c r="Y44" s="538"/>
      <c r="Z44" s="9"/>
      <c r="AA44" s="9"/>
      <c r="AB44" s="539"/>
      <c r="AC44" s="538"/>
      <c r="AD44" s="944">
        <f>V44*(1+Y47)</f>
        <v>1.1682260000000002</v>
      </c>
      <c r="AE44" s="944"/>
      <c r="AF44" s="539"/>
    </row>
    <row r="45" spans="1:32" ht="19.95" customHeight="1">
      <c r="A45" s="94" t="s">
        <v>243</v>
      </c>
      <c r="B45" s="94" t="s">
        <v>244</v>
      </c>
      <c r="C45" s="94" t="s">
        <v>193</v>
      </c>
      <c r="D45" s="615" t="s">
        <v>194</v>
      </c>
      <c r="E45" s="274"/>
      <c r="F45" s="274"/>
      <c r="G45" s="274"/>
      <c r="H45" s="274"/>
      <c r="M45" s="538"/>
      <c r="N45" s="9"/>
      <c r="O45" s="9"/>
      <c r="P45" s="539"/>
      <c r="Q45" s="538"/>
      <c r="R45" s="9"/>
      <c r="S45" s="9"/>
      <c r="T45" s="539"/>
      <c r="U45" s="538"/>
      <c r="V45" s="9"/>
      <c r="W45" s="9"/>
      <c r="X45" s="539"/>
      <c r="Y45" s="538"/>
      <c r="Z45" s="9"/>
      <c r="AA45" s="9"/>
      <c r="AB45" s="539"/>
      <c r="AC45" s="538"/>
      <c r="AD45" s="9"/>
      <c r="AE45" s="9"/>
      <c r="AF45" s="539"/>
    </row>
    <row r="46" spans="1:32" ht="19.95" customHeight="1">
      <c r="A46" s="107" t="s">
        <v>245</v>
      </c>
      <c r="B46" s="107" t="s">
        <v>246</v>
      </c>
      <c r="C46" s="107" t="s">
        <v>196</v>
      </c>
      <c r="D46" s="107">
        <f t="shared" ref="D46:E46" si="3">E46-1</f>
        <v>2019</v>
      </c>
      <c r="E46" s="107">
        <f t="shared" si="3"/>
        <v>2020</v>
      </c>
      <c r="F46" s="107">
        <f>G46-1</f>
        <v>2021</v>
      </c>
      <c r="G46" s="107">
        <v>2022</v>
      </c>
      <c r="M46" s="540"/>
      <c r="N46" s="541"/>
      <c r="O46" s="541"/>
      <c r="P46" s="542"/>
      <c r="Q46" s="540"/>
      <c r="R46" s="541"/>
      <c r="S46" s="541"/>
      <c r="T46" s="542"/>
      <c r="U46" s="540"/>
      <c r="V46" s="541"/>
      <c r="W46" s="541"/>
      <c r="X46" s="542"/>
      <c r="Y46" s="540"/>
      <c r="Z46" s="541"/>
      <c r="AA46" s="541"/>
      <c r="AB46" s="542"/>
      <c r="AC46" s="540"/>
      <c r="AD46" s="541"/>
      <c r="AE46" s="541"/>
      <c r="AF46" s="542"/>
    </row>
    <row r="47" spans="1:32">
      <c r="A47" s="443"/>
      <c r="B47" s="125">
        <v>0</v>
      </c>
      <c r="C47" s="126">
        <v>1</v>
      </c>
      <c r="D47" s="580">
        <f>D33</f>
        <v>0.875</v>
      </c>
      <c r="E47" s="580">
        <f>D48</f>
        <v>0.125</v>
      </c>
      <c r="F47" s="580">
        <v>0</v>
      </c>
      <c r="G47" s="580">
        <v>0</v>
      </c>
      <c r="N47" s="669">
        <f>$C$6</f>
        <v>0.03</v>
      </c>
      <c r="R47" s="669">
        <f>$C$7</f>
        <v>7.0000000000000007E-2</v>
      </c>
      <c r="Y47" s="669">
        <f>$C$8</f>
        <v>0.06</v>
      </c>
    </row>
    <row r="48" spans="1:32">
      <c r="A48" s="581">
        <f t="shared" ref="A48:B50" si="4">A34</f>
        <v>43647</v>
      </c>
      <c r="B48" s="670">
        <f t="shared" si="4"/>
        <v>0.03</v>
      </c>
      <c r="C48" s="126">
        <f>C47*(1+B48)</f>
        <v>1.03</v>
      </c>
      <c r="D48" s="580">
        <f>D34</f>
        <v>0.125</v>
      </c>
      <c r="E48" s="580">
        <f>1-E47-E49</f>
        <v>0.625</v>
      </c>
      <c r="F48" s="580">
        <v>0</v>
      </c>
      <c r="G48" s="580">
        <v>0</v>
      </c>
    </row>
    <row r="49" spans="1:12">
      <c r="A49" s="581">
        <f t="shared" si="4"/>
        <v>44013</v>
      </c>
      <c r="B49" s="670">
        <f t="shared" si="4"/>
        <v>7.0000000000000007E-2</v>
      </c>
      <c r="C49" s="126">
        <f t="shared" ref="C49:C50" si="5">C48*(1+B49)</f>
        <v>1.1021000000000001</v>
      </c>
      <c r="D49" s="580">
        <v>0</v>
      </c>
      <c r="E49" s="580">
        <f>0.5*0.5</f>
        <v>0.25</v>
      </c>
      <c r="F49" s="580">
        <v>1</v>
      </c>
      <c r="G49" s="580">
        <v>0.5</v>
      </c>
    </row>
    <row r="50" spans="1:12">
      <c r="A50" s="582">
        <f t="shared" si="4"/>
        <v>44652</v>
      </c>
      <c r="B50" s="671">
        <f t="shared" si="4"/>
        <v>0.06</v>
      </c>
      <c r="C50" s="129">
        <f t="shared" si="5"/>
        <v>1.1682260000000002</v>
      </c>
      <c r="D50" s="583">
        <v>0</v>
      </c>
      <c r="E50" s="583">
        <v>0</v>
      </c>
      <c r="F50" s="583"/>
      <c r="G50" s="583">
        <v>0.5</v>
      </c>
    </row>
    <row r="51" spans="1:12">
      <c r="A51" s="443"/>
      <c r="B51" s="125"/>
      <c r="C51" s="3"/>
      <c r="D51" s="580">
        <f>SUM(D47:D50)</f>
        <v>1</v>
      </c>
      <c r="E51" s="580">
        <f>SUM(E47:E50)</f>
        <v>1</v>
      </c>
      <c r="F51" s="580">
        <f>SUM(F47:F50)</f>
        <v>1</v>
      </c>
      <c r="G51" s="580">
        <f>SUM(G47:G50)</f>
        <v>1</v>
      </c>
    </row>
    <row r="52" spans="1:12">
      <c r="A52" s="443"/>
      <c r="B52" s="181"/>
      <c r="C52" s="3"/>
      <c r="D52" s="3"/>
      <c r="E52" s="3"/>
      <c r="F52" s="3"/>
      <c r="G52" s="3"/>
    </row>
    <row r="53" spans="1:12">
      <c r="A53" s="449" t="s">
        <v>639</v>
      </c>
      <c r="B53" s="3"/>
      <c r="C53" s="3"/>
      <c r="D53" s="126">
        <f>SUMPRODUCT($C$47:$C$50,D47:D50)</f>
        <v>1.0037499999999999</v>
      </c>
      <c r="E53" s="126">
        <f>SUMPRODUCT($C$47:$C$50,E47:E50)</f>
        <v>1.0442750000000001</v>
      </c>
      <c r="F53" s="126">
        <f>SUMPRODUCT($C$47:$C$50,F47:F50)</f>
        <v>1.1021000000000001</v>
      </c>
      <c r="G53" s="126">
        <f>SUMPRODUCT($C$47:$C$50,G47:G50)</f>
        <v>1.1351630000000001</v>
      </c>
    </row>
    <row r="54" spans="1:12">
      <c r="A54" s="181"/>
      <c r="B54" s="3"/>
      <c r="C54" s="3"/>
      <c r="D54" s="3"/>
      <c r="E54" s="3"/>
      <c r="F54" s="3"/>
      <c r="G54" s="3"/>
    </row>
    <row r="55" spans="1:12">
      <c r="A55" s="449" t="s">
        <v>1084</v>
      </c>
      <c r="B55" s="3"/>
      <c r="C55" s="3"/>
      <c r="D55" s="105">
        <f>$C$50/D53</f>
        <v>1.1638615193026154</v>
      </c>
      <c r="E55" s="105">
        <f>$C$50/E53</f>
        <v>1.1186957458523858</v>
      </c>
      <c r="F55" s="105">
        <f>$C$50/F53</f>
        <v>1.06</v>
      </c>
      <c r="G55" s="105">
        <f>$C$50/G53</f>
        <v>1.029126213592233</v>
      </c>
    </row>
    <row r="56" spans="1:12">
      <c r="A56" s="3"/>
      <c r="B56" s="3"/>
      <c r="C56" s="3"/>
      <c r="D56" s="3"/>
      <c r="E56" s="3"/>
      <c r="F56" s="3"/>
      <c r="G56" s="3"/>
    </row>
    <row r="57" spans="1:12">
      <c r="A57" s="3" t="s">
        <v>2068</v>
      </c>
      <c r="B57" s="3"/>
      <c r="C57" s="3"/>
      <c r="D57" s="105">
        <f>$C$58*D55+(1-$C$58)*D41</f>
        <v>1.1638615193026154</v>
      </c>
      <c r="E57" s="105">
        <f>$C$58*E55+(1-$C$58)*E41</f>
        <v>1.1235651608121158</v>
      </c>
      <c r="F57" s="105">
        <f>$C$58*F55+(1-$C$58)*F41</f>
        <v>1.0643698468786811</v>
      </c>
      <c r="G57" s="105">
        <f>$C$58*G55+(1-$C$58)*G41</f>
        <v>1.0357677779700563</v>
      </c>
    </row>
    <row r="58" spans="1:12">
      <c r="A58" s="100" t="s">
        <v>2069</v>
      </c>
      <c r="B58" s="3"/>
      <c r="C58" s="276">
        <v>0.5</v>
      </c>
      <c r="D58" s="3"/>
      <c r="E58" s="3"/>
      <c r="F58" s="3"/>
      <c r="G58" s="3"/>
      <c r="H58" s="3"/>
    </row>
    <row r="60" spans="1:12">
      <c r="A60" s="1" t="s">
        <v>2070</v>
      </c>
      <c r="B60" s="1"/>
      <c r="C60" s="1"/>
      <c r="D60" s="1"/>
      <c r="E60" s="1"/>
      <c r="F60" s="1"/>
      <c r="G60" s="1"/>
      <c r="H60" s="1"/>
      <c r="I60" s="1"/>
      <c r="J60" s="1"/>
      <c r="K60" s="1"/>
      <c r="L60" s="1"/>
    </row>
    <row r="62" spans="1:12">
      <c r="A62" s="17" t="s">
        <v>18</v>
      </c>
      <c r="B62" s="1" t="s">
        <v>2071</v>
      </c>
      <c r="C62" s="1"/>
      <c r="D62" s="1"/>
      <c r="E62" s="1"/>
      <c r="F62" s="1"/>
      <c r="G62" s="1"/>
      <c r="H62" s="1"/>
      <c r="I62" s="1"/>
      <c r="J62" s="1"/>
      <c r="K62" s="1"/>
      <c r="L62" s="1"/>
    </row>
    <row r="63" spans="1:12">
      <c r="A63" s="3"/>
      <c r="B63" s="3"/>
      <c r="C63" s="3"/>
      <c r="D63" s="3"/>
      <c r="E63" s="3"/>
      <c r="F63" s="3"/>
      <c r="G63" s="3"/>
      <c r="H63" s="3"/>
      <c r="I63" s="3"/>
      <c r="J63" s="3"/>
      <c r="K63" s="3"/>
      <c r="L63" s="3"/>
    </row>
    <row r="64" spans="1:12">
      <c r="A64" s="3" t="s">
        <v>20</v>
      </c>
      <c r="B64" s="3"/>
      <c r="C64" s="3"/>
      <c r="D64" s="3"/>
      <c r="E64" s="3"/>
      <c r="F64" s="3"/>
      <c r="G64" s="3"/>
      <c r="H64" s="3"/>
      <c r="I64" s="3"/>
      <c r="J64" s="3"/>
      <c r="K64" s="3"/>
      <c r="L64" s="3"/>
    </row>
    <row r="65" spans="1:13">
      <c r="A65" s="3"/>
      <c r="B65" s="3"/>
      <c r="C65" s="3"/>
      <c r="D65" s="3"/>
      <c r="E65" s="3"/>
      <c r="F65" s="3"/>
      <c r="G65" s="3"/>
      <c r="H65" s="3"/>
      <c r="I65" s="3"/>
      <c r="J65" s="3"/>
      <c r="K65" s="3"/>
      <c r="L65" s="3"/>
    </row>
    <row r="66" spans="1:13">
      <c r="A66" s="3" t="s">
        <v>2072</v>
      </c>
      <c r="B66" s="3"/>
      <c r="C66" s="3"/>
      <c r="D66" s="3"/>
      <c r="E66" s="3"/>
      <c r="F66" s="3"/>
      <c r="G66" s="3"/>
      <c r="H66" s="3"/>
      <c r="I66" s="3"/>
      <c r="J66" s="3"/>
      <c r="K66" s="3"/>
      <c r="L66" s="3"/>
    </row>
    <row r="67" spans="1:13">
      <c r="A67" s="2" t="s">
        <v>2073</v>
      </c>
    </row>
    <row r="69" spans="1:13">
      <c r="A69" s="260" t="s">
        <v>2074</v>
      </c>
      <c r="B69" s="1"/>
      <c r="C69" s="1"/>
      <c r="D69" s="1"/>
      <c r="E69" s="1"/>
      <c r="F69" s="1"/>
      <c r="G69" s="1"/>
      <c r="H69" s="1"/>
      <c r="I69" s="1"/>
      <c r="J69" s="1"/>
      <c r="K69" s="1"/>
      <c r="L69" s="1"/>
    </row>
    <row r="71" spans="1:13">
      <c r="A71" s="17" t="s">
        <v>25</v>
      </c>
      <c r="B71" s="1" t="s">
        <v>2075</v>
      </c>
      <c r="C71" s="1"/>
      <c r="D71" s="1"/>
      <c r="E71" s="1"/>
      <c r="F71" s="1"/>
      <c r="G71" s="1"/>
      <c r="H71" s="1"/>
      <c r="I71" s="1"/>
      <c r="J71" s="1"/>
      <c r="K71" s="1"/>
      <c r="L71" s="1"/>
    </row>
    <row r="72" spans="1:13">
      <c r="A72" s="3"/>
      <c r="B72" s="3"/>
      <c r="C72" s="3"/>
      <c r="D72" s="3"/>
      <c r="E72" s="3"/>
      <c r="F72" s="3"/>
      <c r="G72" s="3"/>
      <c r="H72" s="3"/>
      <c r="I72" s="3"/>
      <c r="J72" s="3"/>
      <c r="K72" s="3"/>
      <c r="L72" s="3"/>
    </row>
    <row r="73" spans="1:13">
      <c r="A73" s="3" t="s">
        <v>20</v>
      </c>
      <c r="B73" s="3"/>
      <c r="C73" s="3"/>
      <c r="D73" s="3"/>
      <c r="E73" s="3"/>
      <c r="F73" s="3"/>
      <c r="G73" s="3"/>
      <c r="H73" s="3"/>
      <c r="I73" s="3"/>
      <c r="J73" s="3"/>
      <c r="K73" s="3"/>
      <c r="L73" s="3"/>
    </row>
    <row r="74" spans="1:13">
      <c r="A74" s="3" t="s">
        <v>1134</v>
      </c>
      <c r="B74" s="3"/>
      <c r="C74" s="3"/>
      <c r="D74" s="3"/>
      <c r="E74" s="3"/>
      <c r="F74" s="3"/>
      <c r="G74" s="3"/>
      <c r="H74" s="3"/>
      <c r="I74" s="3"/>
      <c r="J74" s="3"/>
      <c r="K74" s="3"/>
      <c r="L74" s="3"/>
    </row>
    <row r="75" spans="1:13">
      <c r="A75" s="3" t="s">
        <v>2076</v>
      </c>
      <c r="B75" s="3"/>
      <c r="C75" s="3"/>
      <c r="D75" s="3"/>
      <c r="E75" s="3"/>
      <c r="F75" s="3"/>
      <c r="G75" s="3"/>
      <c r="H75" s="3"/>
      <c r="I75" s="3"/>
      <c r="J75" s="3"/>
      <c r="K75" s="3"/>
      <c r="L75" s="3"/>
    </row>
    <row r="76" spans="1:13">
      <c r="A76" s="2" t="s">
        <v>2077</v>
      </c>
    </row>
    <row r="77" spans="1:13">
      <c r="A77" s="2" t="s">
        <v>2078</v>
      </c>
    </row>
    <row r="78" spans="1:13">
      <c r="M78" s="3"/>
    </row>
    <row r="79" spans="1:13">
      <c r="M79" s="3"/>
    </row>
  </sheetData>
  <mergeCells count="17">
    <mergeCell ref="AC28:AF28"/>
    <mergeCell ref="B24:K25"/>
    <mergeCell ref="M28:P28"/>
    <mergeCell ref="Q28:T28"/>
    <mergeCell ref="U28:X28"/>
    <mergeCell ref="Y28:AB28"/>
    <mergeCell ref="M42:P42"/>
    <mergeCell ref="Q42:T42"/>
    <mergeCell ref="U42:X42"/>
    <mergeCell ref="Y42:AB42"/>
    <mergeCell ref="AC42:AF42"/>
    <mergeCell ref="R44:S44"/>
    <mergeCell ref="V44:W44"/>
    <mergeCell ref="AD44:AE44"/>
    <mergeCell ref="R30:S30"/>
    <mergeCell ref="V30:W30"/>
    <mergeCell ref="AD30:AE30"/>
  </mergeCells>
  <hyperlinks>
    <hyperlink ref="O1" location="TOC!A1" display="Table of Contents" xr:uid="{39E50D29-A8D3-432D-8FF8-45EC26072CA5}"/>
  </hyperlinks>
  <pageMargins left="0.7" right="0.7" top="0.75" bottom="0.75" header="0.3" footer="0.3"/>
  <pageSetup orientation="portrait" verticalDpi="0"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F16A-2C6B-4329-837F-D615C25B8D45}">
  <dimension ref="A1:R85"/>
  <sheetViews>
    <sheetView zoomScaleNormal="100" workbookViewId="0"/>
  </sheetViews>
  <sheetFormatPr defaultColWidth="8.88671875" defaultRowHeight="15.6"/>
  <cols>
    <col min="1" max="1" width="8.88671875" style="2" customWidth="1"/>
    <col min="2" max="7" width="13.77734375" style="2" customWidth="1"/>
    <col min="8" max="8" width="23.6640625" style="2" customWidth="1"/>
    <col min="9" max="16384" width="8.88671875" style="2"/>
  </cols>
  <sheetData>
    <row r="1" spans="1:18" ht="17.399999999999999">
      <c r="A1" s="13" t="s">
        <v>2273</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2079</v>
      </c>
      <c r="B3" s="1"/>
      <c r="C3" s="1"/>
      <c r="D3" s="1"/>
      <c r="E3" s="1"/>
      <c r="F3" s="1"/>
      <c r="G3" s="1"/>
      <c r="H3" s="1"/>
      <c r="I3" s="1"/>
      <c r="J3" s="1"/>
      <c r="K3" s="1"/>
      <c r="L3" s="14"/>
    </row>
    <row r="4" spans="1:18">
      <c r="A4" s="3"/>
      <c r="B4" s="3"/>
      <c r="C4" s="3"/>
      <c r="D4" s="3"/>
      <c r="E4" s="3"/>
      <c r="F4" s="3"/>
      <c r="G4" s="3"/>
      <c r="H4" s="3"/>
      <c r="I4" s="3"/>
      <c r="J4" s="3"/>
      <c r="K4" s="3"/>
      <c r="L4" s="3"/>
    </row>
    <row r="5" spans="1:18">
      <c r="A5" s="17" t="s">
        <v>91</v>
      </c>
      <c r="B5" s="1" t="s">
        <v>2080</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2081</v>
      </c>
      <c r="B9" s="3"/>
      <c r="C9" s="3"/>
      <c r="D9" s="3"/>
      <c r="E9" s="3"/>
      <c r="F9" s="3"/>
      <c r="G9" s="3"/>
      <c r="H9" s="3"/>
      <c r="I9" s="3"/>
      <c r="J9" s="3"/>
      <c r="K9" s="3"/>
      <c r="L9" s="3"/>
      <c r="M9" s="3"/>
      <c r="N9" s="9"/>
    </row>
    <row r="10" spans="1:18">
      <c r="A10" s="60" t="s">
        <v>2082</v>
      </c>
      <c r="M10" s="9"/>
      <c r="N10" s="9"/>
    </row>
    <row r="11" spans="1:18">
      <c r="A11" s="60" t="s">
        <v>2083</v>
      </c>
      <c r="M11" s="9"/>
      <c r="N11" s="9"/>
    </row>
    <row r="12" spans="1:18">
      <c r="A12" s="60" t="s">
        <v>2084</v>
      </c>
      <c r="M12" s="9"/>
      <c r="N12" s="9"/>
    </row>
    <row r="13" spans="1:18">
      <c r="A13" s="60" t="s">
        <v>2085</v>
      </c>
      <c r="M13" s="9"/>
      <c r="N13" s="9"/>
    </row>
    <row r="15" spans="1:18">
      <c r="A15" s="17" t="s">
        <v>133</v>
      </c>
      <c r="B15" s="1" t="s">
        <v>2086</v>
      </c>
      <c r="C15" s="1"/>
      <c r="D15" s="1"/>
      <c r="E15" s="1"/>
      <c r="F15" s="1"/>
      <c r="G15" s="1"/>
      <c r="H15" s="1"/>
      <c r="I15" s="1"/>
      <c r="J15" s="1"/>
      <c r="K15" s="1"/>
      <c r="L15" s="1"/>
    </row>
    <row r="16" spans="1:18">
      <c r="A16" s="3"/>
      <c r="B16" s="3"/>
      <c r="C16" s="3"/>
      <c r="D16" s="3"/>
      <c r="E16" s="3"/>
      <c r="F16" s="3"/>
      <c r="G16" s="3"/>
      <c r="H16" s="3"/>
      <c r="I16" s="3"/>
      <c r="J16" s="3"/>
      <c r="K16" s="3"/>
      <c r="L16" s="3"/>
    </row>
    <row r="17" spans="1:12">
      <c r="A17" s="3" t="s">
        <v>20</v>
      </c>
      <c r="B17" s="3"/>
      <c r="C17" s="3"/>
      <c r="D17" s="3"/>
      <c r="E17" s="3"/>
      <c r="F17" s="3"/>
      <c r="G17" s="3"/>
      <c r="H17" s="3"/>
      <c r="I17" s="3"/>
      <c r="J17" s="3"/>
      <c r="K17" s="3"/>
      <c r="L17" s="3"/>
    </row>
    <row r="18" spans="1:12">
      <c r="A18" s="3"/>
      <c r="B18" s="3"/>
      <c r="C18" s="3"/>
      <c r="D18" s="3"/>
      <c r="E18" s="3"/>
      <c r="F18" s="3"/>
      <c r="G18" s="3"/>
      <c r="H18" s="3"/>
      <c r="I18" s="3"/>
      <c r="J18" s="3"/>
      <c r="K18" s="3"/>
      <c r="L18" s="3"/>
    </row>
    <row r="19" spans="1:12">
      <c r="A19" s="3" t="s">
        <v>2087</v>
      </c>
      <c r="B19" s="3"/>
      <c r="C19" s="3"/>
      <c r="D19" s="3"/>
      <c r="E19" s="3"/>
      <c r="F19" s="3"/>
      <c r="G19" s="3"/>
      <c r="H19" s="3"/>
      <c r="I19" s="3"/>
      <c r="J19" s="3"/>
      <c r="K19" s="3"/>
      <c r="L19" s="3"/>
    </row>
    <row r="21" spans="1:12">
      <c r="A21" s="260" t="s">
        <v>2088</v>
      </c>
      <c r="B21" s="1"/>
      <c r="C21" s="1"/>
      <c r="D21" s="1"/>
      <c r="E21" s="1"/>
      <c r="F21" s="1"/>
      <c r="G21" s="1"/>
      <c r="H21" s="1"/>
      <c r="I21" s="1"/>
      <c r="J21" s="1"/>
      <c r="K21" s="1"/>
      <c r="L21" s="1"/>
    </row>
    <row r="22" spans="1:12">
      <c r="A22" s="1"/>
      <c r="B22" s="1"/>
      <c r="C22" s="1"/>
      <c r="D22" s="1"/>
      <c r="E22" s="1"/>
      <c r="F22" s="1"/>
      <c r="G22" s="1"/>
      <c r="H22" s="1"/>
      <c r="I22" s="1"/>
      <c r="J22" s="1"/>
      <c r="K22" s="1"/>
      <c r="L22" s="1"/>
    </row>
    <row r="23" spans="1:12" ht="33" customHeight="1">
      <c r="A23" s="1"/>
      <c r="B23" s="828" t="s">
        <v>642</v>
      </c>
      <c r="C23" s="841" t="s">
        <v>88</v>
      </c>
      <c r="D23" s="841"/>
      <c r="E23" s="841"/>
      <c r="F23" s="841"/>
      <c r="G23" s="841"/>
      <c r="H23" s="829" t="s">
        <v>2089</v>
      </c>
      <c r="I23" s="1"/>
      <c r="J23" s="1"/>
      <c r="K23" s="1"/>
      <c r="L23" s="1"/>
    </row>
    <row r="24" spans="1:12">
      <c r="A24" s="1"/>
      <c r="B24" s="828"/>
      <c r="C24" s="27">
        <v>12</v>
      </c>
      <c r="D24" s="27">
        <v>24</v>
      </c>
      <c r="E24" s="27">
        <v>36</v>
      </c>
      <c r="F24" s="27">
        <v>48</v>
      </c>
      <c r="G24" s="27">
        <v>60</v>
      </c>
      <c r="H24" s="829"/>
      <c r="I24" s="1"/>
      <c r="J24" s="1"/>
      <c r="K24" s="1"/>
      <c r="L24" s="1"/>
    </row>
    <row r="25" spans="1:12">
      <c r="A25" s="1"/>
      <c r="B25" s="32">
        <v>2018</v>
      </c>
      <c r="C25" s="92">
        <v>6750</v>
      </c>
      <c r="D25" s="92">
        <v>8295</v>
      </c>
      <c r="E25" s="92">
        <v>9780</v>
      </c>
      <c r="F25" s="92">
        <v>10670</v>
      </c>
      <c r="G25" s="92">
        <v>10990</v>
      </c>
      <c r="H25" s="92">
        <v>11753</v>
      </c>
      <c r="I25" s="1"/>
      <c r="J25" s="1"/>
      <c r="K25" s="1"/>
      <c r="L25" s="1"/>
    </row>
    <row r="26" spans="1:12">
      <c r="A26" s="1"/>
      <c r="B26" s="32">
        <v>2019</v>
      </c>
      <c r="C26" s="92">
        <v>7375</v>
      </c>
      <c r="D26" s="92">
        <v>9268</v>
      </c>
      <c r="E26" s="92">
        <v>10843</v>
      </c>
      <c r="F26" s="92">
        <v>11808</v>
      </c>
      <c r="G26" s="32"/>
      <c r="H26" s="92">
        <v>13006</v>
      </c>
      <c r="I26" s="1"/>
      <c r="J26" s="1"/>
      <c r="K26" s="1"/>
      <c r="L26" s="1"/>
    </row>
    <row r="27" spans="1:12">
      <c r="A27" s="1"/>
      <c r="B27" s="32">
        <v>2020</v>
      </c>
      <c r="C27" s="92">
        <v>8000</v>
      </c>
      <c r="D27" s="92">
        <v>10240</v>
      </c>
      <c r="E27" s="92">
        <v>12083</v>
      </c>
      <c r="F27" s="32"/>
      <c r="G27" s="32"/>
      <c r="H27" s="92">
        <v>14507</v>
      </c>
      <c r="I27" s="1"/>
      <c r="J27" s="1"/>
      <c r="K27" s="1"/>
      <c r="L27" s="1"/>
    </row>
    <row r="28" spans="1:12">
      <c r="A28" s="1"/>
      <c r="B28" s="32">
        <v>2021</v>
      </c>
      <c r="C28" s="92">
        <v>8625</v>
      </c>
      <c r="D28" s="92">
        <v>11213</v>
      </c>
      <c r="E28" s="32"/>
      <c r="F28" s="32"/>
      <c r="G28" s="32"/>
      <c r="H28" s="92">
        <v>15836</v>
      </c>
      <c r="I28" s="1"/>
      <c r="J28" s="1"/>
      <c r="K28" s="1"/>
      <c r="L28" s="1"/>
    </row>
    <row r="29" spans="1:12">
      <c r="A29" s="1"/>
      <c r="B29" s="32">
        <v>2022</v>
      </c>
      <c r="C29" s="92">
        <v>9250</v>
      </c>
      <c r="D29" s="32"/>
      <c r="E29" s="32"/>
      <c r="F29" s="32"/>
      <c r="G29" s="32"/>
      <c r="H29" s="92">
        <v>16544</v>
      </c>
      <c r="I29" s="1"/>
      <c r="J29" s="1"/>
      <c r="K29" s="1"/>
      <c r="L29" s="1"/>
    </row>
    <row r="30" spans="1:12">
      <c r="A30" s="1"/>
      <c r="B30" s="1"/>
      <c r="C30" s="1"/>
      <c r="D30" s="1"/>
      <c r="E30" s="1"/>
      <c r="F30" s="1"/>
      <c r="G30" s="1"/>
      <c r="H30" s="1"/>
      <c r="I30" s="1"/>
      <c r="J30" s="1"/>
      <c r="K30" s="1"/>
      <c r="L30" s="1"/>
    </row>
    <row r="31" spans="1:12" ht="46.8">
      <c r="A31" s="1"/>
      <c r="B31" s="4" t="s">
        <v>3</v>
      </c>
      <c r="C31" s="4" t="s">
        <v>178</v>
      </c>
      <c r="D31" s="4" t="s">
        <v>2090</v>
      </c>
      <c r="E31" s="4" t="s">
        <v>2091</v>
      </c>
      <c r="F31" s="1"/>
      <c r="G31" s="1"/>
      <c r="H31" s="1"/>
      <c r="I31" s="1"/>
      <c r="J31" s="1"/>
      <c r="K31" s="1"/>
      <c r="L31" s="1"/>
    </row>
    <row r="32" spans="1:12">
      <c r="A32" s="1"/>
      <c r="B32" s="32">
        <v>2018</v>
      </c>
      <c r="C32" s="92">
        <v>14750</v>
      </c>
      <c r="D32" s="32">
        <v>195</v>
      </c>
      <c r="E32" s="184">
        <v>1.103</v>
      </c>
      <c r="F32" s="1"/>
      <c r="G32" s="1"/>
      <c r="H32" s="1"/>
      <c r="I32" s="1"/>
      <c r="J32" s="1"/>
      <c r="K32" s="1"/>
      <c r="L32" s="1"/>
    </row>
    <row r="33" spans="1:12">
      <c r="A33" s="1"/>
      <c r="B33" s="32">
        <v>2019</v>
      </c>
      <c r="C33" s="92">
        <v>15895</v>
      </c>
      <c r="D33" s="32">
        <v>205</v>
      </c>
      <c r="E33" s="184">
        <v>1.0980000000000001</v>
      </c>
      <c r="F33" s="1"/>
      <c r="G33" s="1"/>
      <c r="H33" s="1"/>
      <c r="I33" s="1"/>
      <c r="J33" s="1"/>
      <c r="K33" s="1"/>
      <c r="L33" s="1"/>
    </row>
    <row r="34" spans="1:12">
      <c r="A34" s="1"/>
      <c r="B34" s="32">
        <v>2020</v>
      </c>
      <c r="C34" s="92">
        <v>17400</v>
      </c>
      <c r="D34" s="32">
        <v>225</v>
      </c>
      <c r="E34" s="184">
        <v>1.06</v>
      </c>
      <c r="F34" s="1"/>
      <c r="G34" s="1"/>
      <c r="H34" s="1"/>
      <c r="I34" s="1"/>
      <c r="J34" s="1"/>
      <c r="K34" s="1"/>
      <c r="L34" s="1"/>
    </row>
    <row r="35" spans="1:12">
      <c r="A35" s="1"/>
      <c r="B35" s="32">
        <v>2021</v>
      </c>
      <c r="C35" s="92">
        <v>18705</v>
      </c>
      <c r="D35" s="32">
        <v>235</v>
      </c>
      <c r="E35" s="184">
        <v>1.034</v>
      </c>
      <c r="F35" s="1"/>
      <c r="G35" s="1"/>
      <c r="H35" s="1"/>
      <c r="I35" s="1"/>
      <c r="J35" s="1"/>
      <c r="K35" s="1"/>
      <c r="L35" s="1"/>
    </row>
    <row r="36" spans="1:12">
      <c r="A36" s="1"/>
      <c r="B36" s="32">
        <v>2022</v>
      </c>
      <c r="C36" s="92">
        <v>20010</v>
      </c>
      <c r="D36" s="32">
        <v>236</v>
      </c>
      <c r="E36" s="184">
        <v>1</v>
      </c>
      <c r="F36" s="1"/>
      <c r="G36" s="1"/>
      <c r="H36" s="1"/>
      <c r="I36" s="1"/>
      <c r="J36" s="1"/>
      <c r="K36" s="1"/>
      <c r="L36" s="1"/>
    </row>
    <row r="37" spans="1:12">
      <c r="A37" s="1"/>
      <c r="B37" s="1"/>
      <c r="C37" s="1"/>
      <c r="D37" s="1"/>
      <c r="E37" s="1"/>
      <c r="F37" s="1"/>
      <c r="G37" s="1"/>
      <c r="H37" s="1"/>
      <c r="I37" s="1"/>
      <c r="J37" s="1"/>
      <c r="K37" s="1"/>
      <c r="L37" s="1"/>
    </row>
    <row r="38" spans="1:12">
      <c r="A38" s="1"/>
      <c r="B38" s="260" t="s">
        <v>2092</v>
      </c>
      <c r="C38" s="1"/>
      <c r="D38" s="1"/>
      <c r="E38" s="1"/>
      <c r="F38" s="462">
        <v>0.03</v>
      </c>
      <c r="G38" s="1"/>
      <c r="H38" s="14"/>
      <c r="I38" s="1"/>
      <c r="J38" s="1"/>
      <c r="K38" s="1"/>
      <c r="L38" s="1"/>
    </row>
    <row r="40" spans="1:12">
      <c r="A40" s="17" t="s">
        <v>18</v>
      </c>
      <c r="B40" s="1" t="s">
        <v>2093</v>
      </c>
      <c r="C40" s="1"/>
      <c r="D40" s="1"/>
      <c r="E40" s="1"/>
      <c r="F40" s="1"/>
      <c r="G40" s="1"/>
      <c r="H40" s="1"/>
      <c r="I40" s="1"/>
      <c r="J40" s="1"/>
      <c r="K40" s="1"/>
      <c r="L40" s="1"/>
    </row>
    <row r="41" spans="1:12">
      <c r="A41" s="3"/>
      <c r="B41" s="3"/>
      <c r="C41" s="3"/>
      <c r="D41" s="3"/>
      <c r="E41" s="3"/>
      <c r="F41" s="3"/>
      <c r="G41" s="3"/>
      <c r="H41" s="3"/>
      <c r="I41" s="3"/>
      <c r="J41" s="3"/>
      <c r="K41" s="3"/>
      <c r="L41" s="3"/>
    </row>
    <row r="42" spans="1:12">
      <c r="A42" s="3" t="s">
        <v>20</v>
      </c>
      <c r="B42" s="3"/>
      <c r="C42" s="3"/>
      <c r="D42" s="3"/>
      <c r="E42" s="3"/>
      <c r="F42" s="3"/>
      <c r="G42" s="3"/>
      <c r="H42" s="3"/>
      <c r="I42" s="3"/>
      <c r="J42" s="3"/>
      <c r="K42" s="3"/>
      <c r="L42" s="3"/>
    </row>
    <row r="43" spans="1:12" ht="62.4">
      <c r="A43" s="93" t="s">
        <v>49</v>
      </c>
      <c r="B43" s="93" t="s">
        <v>2094</v>
      </c>
      <c r="C43" s="93" t="s">
        <v>2095</v>
      </c>
      <c r="D43" s="93" t="s">
        <v>2096</v>
      </c>
      <c r="E43" s="93" t="s">
        <v>2091</v>
      </c>
      <c r="F43" s="93" t="s">
        <v>2097</v>
      </c>
      <c r="G43" s="93" t="s">
        <v>2098</v>
      </c>
      <c r="H43" s="93" t="s">
        <v>2099</v>
      </c>
      <c r="J43" s="3"/>
      <c r="K43" s="3"/>
      <c r="L43" s="3"/>
    </row>
    <row r="44" spans="1:12">
      <c r="A44" s="94">
        <v>2018</v>
      </c>
      <c r="B44" s="635">
        <f>C32</f>
        <v>14750</v>
      </c>
      <c r="C44" s="635">
        <f>H25</f>
        <v>11753</v>
      </c>
      <c r="D44" s="672">
        <f t="shared" ref="D44:D46" si="0">D45*(1+$F$38)</f>
        <v>1.1255088100000001</v>
      </c>
      <c r="E44" s="673">
        <f>E32</f>
        <v>1.103</v>
      </c>
      <c r="F44" s="635">
        <f t="shared" ref="F44:F48" si="1">B44*E44</f>
        <v>16269.25</v>
      </c>
      <c r="G44" s="635">
        <f t="shared" ref="G44:G48" si="2">C44*D44</f>
        <v>13228.105043930002</v>
      </c>
      <c r="H44" s="95">
        <f t="shared" ref="H44:H48" si="3">G44/F44</f>
        <v>0.81307405344007877</v>
      </c>
      <c r="J44" s="3"/>
      <c r="K44" s="3"/>
      <c r="L44" s="3"/>
    </row>
    <row r="45" spans="1:12">
      <c r="A45" s="94">
        <v>2019</v>
      </c>
      <c r="B45" s="635">
        <f t="shared" ref="B45:B48" si="4">C33</f>
        <v>15895</v>
      </c>
      <c r="C45" s="635">
        <f>H26</f>
        <v>13006</v>
      </c>
      <c r="D45" s="672">
        <f t="shared" si="0"/>
        <v>1.092727</v>
      </c>
      <c r="E45" s="673">
        <f t="shared" ref="E45:E48" si="5">E33</f>
        <v>1.0980000000000001</v>
      </c>
      <c r="F45" s="635">
        <f t="shared" si="1"/>
        <v>17452.710000000003</v>
      </c>
      <c r="G45" s="635">
        <f t="shared" si="2"/>
        <v>14212.007362</v>
      </c>
      <c r="H45" s="95">
        <f t="shared" si="3"/>
        <v>0.81431521878264168</v>
      </c>
      <c r="J45" s="3"/>
      <c r="K45" s="3"/>
      <c r="L45" s="3"/>
    </row>
    <row r="46" spans="1:12">
      <c r="A46" s="94">
        <v>2020</v>
      </c>
      <c r="B46" s="635">
        <f t="shared" si="4"/>
        <v>17400</v>
      </c>
      <c r="C46" s="635">
        <f>H27</f>
        <v>14507</v>
      </c>
      <c r="D46" s="672">
        <f t="shared" si="0"/>
        <v>1.0609</v>
      </c>
      <c r="E46" s="673">
        <f t="shared" si="5"/>
        <v>1.06</v>
      </c>
      <c r="F46" s="635">
        <f t="shared" si="1"/>
        <v>18444</v>
      </c>
      <c r="G46" s="635">
        <f t="shared" si="2"/>
        <v>15390.476299999998</v>
      </c>
      <c r="H46" s="95">
        <f t="shared" si="3"/>
        <v>0.83444352092821505</v>
      </c>
      <c r="J46" s="3"/>
      <c r="K46" s="3"/>
      <c r="L46" s="3"/>
    </row>
    <row r="47" spans="1:12">
      <c r="A47" s="94">
        <v>2021</v>
      </c>
      <c r="B47" s="635">
        <f t="shared" si="4"/>
        <v>18705</v>
      </c>
      <c r="C47" s="635">
        <f>H28</f>
        <v>15836</v>
      </c>
      <c r="D47" s="672">
        <f>D48*(1+$F$38)</f>
        <v>1.03</v>
      </c>
      <c r="E47" s="673">
        <f t="shared" si="5"/>
        <v>1.034</v>
      </c>
      <c r="F47" s="635">
        <f t="shared" si="1"/>
        <v>19340.97</v>
      </c>
      <c r="G47" s="635">
        <f t="shared" si="2"/>
        <v>16311.08</v>
      </c>
      <c r="H47" s="95">
        <f t="shared" si="3"/>
        <v>0.84334343106886567</v>
      </c>
    </row>
    <row r="48" spans="1:12">
      <c r="A48" s="94">
        <v>2022</v>
      </c>
      <c r="B48" s="635">
        <f t="shared" si="4"/>
        <v>20010</v>
      </c>
      <c r="C48" s="635">
        <f>H29</f>
        <v>16544</v>
      </c>
      <c r="D48" s="674">
        <v>1</v>
      </c>
      <c r="E48" s="675">
        <f t="shared" si="5"/>
        <v>1</v>
      </c>
      <c r="F48" s="635">
        <f t="shared" si="1"/>
        <v>20010</v>
      </c>
      <c r="G48" s="635">
        <f t="shared" si="2"/>
        <v>16544</v>
      </c>
      <c r="H48" s="258">
        <f t="shared" si="3"/>
        <v>0.82678660669665172</v>
      </c>
    </row>
    <row r="50" spans="1:13">
      <c r="A50" s="17" t="s">
        <v>25</v>
      </c>
      <c r="B50" s="1" t="s">
        <v>2100</v>
      </c>
      <c r="C50" s="1"/>
      <c r="D50" s="1"/>
      <c r="E50" s="1"/>
      <c r="F50" s="1"/>
      <c r="G50" s="1"/>
      <c r="H50" s="1"/>
      <c r="I50" s="1"/>
      <c r="J50" s="1"/>
      <c r="K50" s="1"/>
      <c r="L50" s="1"/>
    </row>
    <row r="51" spans="1:13">
      <c r="A51" s="3"/>
      <c r="B51" s="3"/>
      <c r="C51" s="3"/>
      <c r="D51" s="3"/>
      <c r="E51" s="3"/>
      <c r="F51" s="3"/>
      <c r="G51" s="3"/>
      <c r="H51" s="3"/>
      <c r="I51" s="3"/>
      <c r="J51" s="3"/>
      <c r="K51" s="3"/>
      <c r="L51" s="3"/>
    </row>
    <row r="52" spans="1:13">
      <c r="A52" s="3" t="s">
        <v>20</v>
      </c>
      <c r="B52" s="3"/>
      <c r="C52" s="3"/>
      <c r="D52" s="3"/>
      <c r="E52" s="3"/>
      <c r="F52" s="3"/>
      <c r="G52" s="3"/>
      <c r="H52" s="3"/>
      <c r="I52" s="3"/>
      <c r="J52" s="3"/>
      <c r="K52" s="3"/>
      <c r="L52" s="3"/>
    </row>
    <row r="53" spans="1:13">
      <c r="A53" s="3"/>
      <c r="B53" s="3"/>
      <c r="C53" s="3"/>
      <c r="D53" s="3"/>
      <c r="E53" s="3"/>
      <c r="F53" s="3"/>
      <c r="G53" s="3"/>
      <c r="H53" s="3"/>
      <c r="I53" s="3"/>
      <c r="J53" s="3"/>
      <c r="K53" s="3"/>
      <c r="L53" s="3"/>
    </row>
    <row r="54" spans="1:13" ht="31.2">
      <c r="A54" s="93" t="s">
        <v>49</v>
      </c>
      <c r="B54" s="93" t="s">
        <v>790</v>
      </c>
      <c r="C54" s="3"/>
      <c r="D54" s="3"/>
      <c r="E54" s="3"/>
      <c r="F54" s="3"/>
      <c r="G54" s="3"/>
      <c r="H54" s="3"/>
      <c r="I54" s="3"/>
      <c r="J54" s="3"/>
      <c r="K54" s="3"/>
      <c r="L54" s="3"/>
    </row>
    <row r="55" spans="1:13">
      <c r="A55" s="94">
        <v>2018</v>
      </c>
      <c r="B55" s="676">
        <f>G44/D32</f>
        <v>67.836436122717956</v>
      </c>
    </row>
    <row r="56" spans="1:13">
      <c r="A56" s="94">
        <v>2019</v>
      </c>
      <c r="B56" s="676">
        <f>G45/D33</f>
        <v>69.3268651804878</v>
      </c>
    </row>
    <row r="57" spans="1:13">
      <c r="A57" s="94">
        <v>2020</v>
      </c>
      <c r="B57" s="676">
        <f>G46/D34</f>
        <v>68.402116888888884</v>
      </c>
      <c r="M57" s="3"/>
    </row>
    <row r="58" spans="1:13">
      <c r="A58" s="94">
        <v>2021</v>
      </c>
      <c r="B58" s="676">
        <f>G47/D35</f>
        <v>69.408851063829786</v>
      </c>
      <c r="M58" s="3"/>
    </row>
    <row r="59" spans="1:13">
      <c r="A59" s="94">
        <v>2022</v>
      </c>
      <c r="B59" s="677">
        <f>G48/D36</f>
        <v>70.101694915254242</v>
      </c>
    </row>
    <row r="61" spans="1:13">
      <c r="A61" s="17" t="s">
        <v>147</v>
      </c>
      <c r="B61" s="1" t="s">
        <v>2101</v>
      </c>
      <c r="C61" s="1"/>
      <c r="D61" s="1"/>
      <c r="E61" s="1"/>
      <c r="F61" s="1"/>
      <c r="G61" s="1"/>
      <c r="H61" s="1"/>
      <c r="I61" s="1"/>
      <c r="J61" s="1"/>
      <c r="K61" s="1"/>
      <c r="L61" s="1"/>
    </row>
    <row r="62" spans="1:13">
      <c r="A62" s="17"/>
      <c r="B62" s="1"/>
      <c r="C62" s="1"/>
      <c r="D62" s="1"/>
      <c r="E62" s="1"/>
      <c r="F62" s="1"/>
      <c r="G62" s="1"/>
      <c r="H62" s="1"/>
      <c r="I62" s="1"/>
      <c r="J62" s="1"/>
      <c r="K62" s="1"/>
      <c r="L62" s="1"/>
    </row>
    <row r="63" spans="1:13">
      <c r="A63" s="17"/>
      <c r="B63" s="33" t="s">
        <v>73</v>
      </c>
      <c r="C63" s="204" t="s">
        <v>2102</v>
      </c>
      <c r="D63" s="1"/>
      <c r="E63" s="1"/>
      <c r="F63" s="377">
        <v>0.82</v>
      </c>
      <c r="G63" s="204" t="s">
        <v>2103</v>
      </c>
      <c r="H63" s="1"/>
      <c r="I63" s="1"/>
      <c r="J63" s="1"/>
      <c r="K63" s="1"/>
      <c r="L63" s="1"/>
    </row>
    <row r="64" spans="1:13">
      <c r="A64" s="17"/>
      <c r="B64" s="33"/>
      <c r="C64" s="678"/>
      <c r="D64" s="1"/>
      <c r="E64" s="1"/>
      <c r="F64" s="1"/>
      <c r="G64" s="1"/>
      <c r="H64" s="1"/>
      <c r="I64" s="1"/>
      <c r="J64" s="1"/>
      <c r="K64" s="1"/>
      <c r="L64" s="1"/>
    </row>
    <row r="65" spans="1:12">
      <c r="A65" s="17"/>
      <c r="B65" s="33" t="s">
        <v>75</v>
      </c>
      <c r="C65" s="204" t="s">
        <v>2104</v>
      </c>
      <c r="D65" s="1"/>
      <c r="E65" s="14"/>
      <c r="F65" s="228">
        <v>69</v>
      </c>
      <c r="G65" s="204" t="s">
        <v>2103</v>
      </c>
      <c r="H65" s="1"/>
      <c r="I65" s="1"/>
      <c r="J65" s="1"/>
      <c r="K65" s="1"/>
      <c r="L65" s="1"/>
    </row>
    <row r="66" spans="1:12">
      <c r="A66" s="17"/>
      <c r="B66" s="33"/>
      <c r="C66" s="204"/>
      <c r="D66" s="1"/>
      <c r="E66" s="1"/>
      <c r="F66" s="1"/>
      <c r="G66" s="1"/>
      <c r="H66" s="1"/>
      <c r="I66" s="1"/>
      <c r="J66" s="1"/>
      <c r="K66" s="1"/>
      <c r="L66" s="1"/>
    </row>
    <row r="67" spans="1:12">
      <c r="A67" s="3"/>
      <c r="B67" s="679"/>
      <c r="C67" s="18"/>
      <c r="D67" s="3"/>
      <c r="E67" s="3"/>
      <c r="F67" s="3"/>
      <c r="G67" s="3"/>
      <c r="H67" s="3"/>
      <c r="I67" s="3"/>
      <c r="J67" s="3"/>
      <c r="K67" s="3"/>
      <c r="L67" s="3"/>
    </row>
    <row r="68" spans="1:12">
      <c r="A68" s="3" t="s">
        <v>20</v>
      </c>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t="s">
        <v>2105</v>
      </c>
      <c r="B70" s="3"/>
      <c r="C70" s="3"/>
      <c r="D70" s="3"/>
      <c r="E70" s="332">
        <f>H28/D28</f>
        <v>1.4122893070543119</v>
      </c>
      <c r="F70" s="3"/>
    </row>
    <row r="71" spans="1:12">
      <c r="A71" s="3" t="s">
        <v>2106</v>
      </c>
      <c r="B71" s="3"/>
      <c r="C71" s="3"/>
      <c r="D71" s="3"/>
      <c r="E71" s="136">
        <f>1-1/E70</f>
        <v>0.29192978024753724</v>
      </c>
      <c r="F71" s="3"/>
    </row>
    <row r="72" spans="1:12">
      <c r="A72" s="3"/>
      <c r="B72" s="3"/>
      <c r="C72" s="3"/>
      <c r="D72" s="3"/>
      <c r="E72" s="3"/>
      <c r="F72" s="3"/>
    </row>
    <row r="73" spans="1:12">
      <c r="A73" s="100" t="s">
        <v>2107</v>
      </c>
      <c r="B73" s="3"/>
      <c r="C73" s="3"/>
      <c r="D73" s="3"/>
      <c r="E73" s="3"/>
      <c r="F73" s="3"/>
    </row>
    <row r="74" spans="1:12">
      <c r="A74" s="3"/>
      <c r="B74" s="3"/>
      <c r="C74" s="3"/>
      <c r="D74" s="3"/>
      <c r="E74" s="3"/>
      <c r="F74" s="3"/>
    </row>
    <row r="75" spans="1:12">
      <c r="A75" s="3" t="s">
        <v>2108</v>
      </c>
      <c r="B75" s="3"/>
      <c r="C75" s="3"/>
      <c r="D75" s="3"/>
      <c r="E75" s="635">
        <f>B47</f>
        <v>18705</v>
      </c>
      <c r="F75" s="3"/>
    </row>
    <row r="76" spans="1:12">
      <c r="A76" s="3" t="s">
        <v>2109</v>
      </c>
      <c r="B76" s="3"/>
      <c r="C76" s="3"/>
      <c r="D76" s="3"/>
      <c r="E76" s="332">
        <f>F63*E47/D47</f>
        <v>0.82318446601941742</v>
      </c>
      <c r="F76" s="3"/>
    </row>
    <row r="77" spans="1:12">
      <c r="A77" s="3" t="s">
        <v>2110</v>
      </c>
      <c r="B77" s="3"/>
      <c r="C77" s="3"/>
      <c r="D77" s="3"/>
      <c r="E77" s="635">
        <f>E76*E75</f>
        <v>15397.665436893203</v>
      </c>
      <c r="F77" s="3"/>
    </row>
    <row r="78" spans="1:12">
      <c r="A78" s="100" t="s">
        <v>2111</v>
      </c>
      <c r="B78" s="3"/>
      <c r="C78" s="3"/>
      <c r="D78" s="3"/>
      <c r="E78" s="635">
        <f>$D$28+E77*$E$71</f>
        <v>15708.037087317332</v>
      </c>
      <c r="F78" s="3"/>
    </row>
    <row r="79" spans="1:12">
      <c r="A79" s="100"/>
      <c r="B79" s="3"/>
      <c r="C79" s="3"/>
      <c r="D79" s="3"/>
      <c r="E79" s="3"/>
      <c r="F79" s="3"/>
    </row>
    <row r="80" spans="1:12">
      <c r="A80" s="100" t="s">
        <v>2112</v>
      </c>
      <c r="B80" s="3"/>
      <c r="C80" s="3"/>
      <c r="D80" s="3"/>
      <c r="E80" s="3"/>
      <c r="F80" s="3"/>
    </row>
    <row r="81" spans="1:6">
      <c r="A81" s="100"/>
      <c r="B81" s="3"/>
      <c r="C81" s="3"/>
      <c r="D81" s="3"/>
      <c r="E81" s="3"/>
      <c r="F81" s="3"/>
    </row>
    <row r="82" spans="1:6">
      <c r="A82" s="100" t="s">
        <v>2113</v>
      </c>
      <c r="B82" s="3"/>
      <c r="C82" s="3"/>
      <c r="D82" s="3"/>
      <c r="E82" s="635">
        <f>F65*D35/D47</f>
        <v>15742.718446601941</v>
      </c>
      <c r="F82" s="3"/>
    </row>
    <row r="83" spans="1:6">
      <c r="A83" s="100"/>
      <c r="B83" s="3"/>
      <c r="C83" s="3"/>
      <c r="D83" s="3"/>
      <c r="E83" s="3"/>
      <c r="F83" s="3"/>
    </row>
    <row r="84" spans="1:6">
      <c r="A84" s="100" t="s">
        <v>2114</v>
      </c>
      <c r="B84" s="3"/>
      <c r="C84" s="3"/>
      <c r="D84" s="3"/>
      <c r="E84" s="635">
        <f>$D$28+E82*$E$71</f>
        <v>15808.768336615354</v>
      </c>
      <c r="F84" s="3"/>
    </row>
    <row r="85" spans="1:6">
      <c r="A85" s="3"/>
      <c r="B85" s="3"/>
      <c r="C85" s="3"/>
      <c r="D85" s="3"/>
      <c r="E85" s="3"/>
      <c r="F85" s="3"/>
    </row>
  </sheetData>
  <mergeCells count="3">
    <mergeCell ref="B23:B24"/>
    <mergeCell ref="C23:G23"/>
    <mergeCell ref="H23:H24"/>
  </mergeCells>
  <hyperlinks>
    <hyperlink ref="O1" location="TOC!A1" display="Table of Contents" xr:uid="{F95F0B6F-1B7F-4663-ADA4-06503AA074CE}"/>
  </hyperlinks>
  <pageMargins left="0.7" right="0.7" top="0.75" bottom="0.75" header="0.3" footer="0.3"/>
  <pageSetup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1915-AE37-486C-BE5D-2F0BAECF2A8B}">
  <dimension ref="A1:R69"/>
  <sheetViews>
    <sheetView zoomScaleNormal="100" workbookViewId="0"/>
  </sheetViews>
  <sheetFormatPr defaultColWidth="8.88671875" defaultRowHeight="15.6"/>
  <cols>
    <col min="1" max="1" width="12.88671875" style="2" customWidth="1"/>
    <col min="2" max="2" width="19.33203125" style="2" customWidth="1"/>
    <col min="3" max="5" width="14.6640625" style="2" customWidth="1"/>
    <col min="6" max="6" width="17.33203125" style="2" customWidth="1"/>
    <col min="7" max="7" width="8.88671875" style="2"/>
    <col min="8" max="8" width="8.88671875" style="2" customWidth="1"/>
    <col min="9" max="16384" width="8.88671875" style="2"/>
  </cols>
  <sheetData>
    <row r="1" spans="1:18" ht="17.399999999999999">
      <c r="A1" s="13" t="s">
        <v>2274</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2115</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91</v>
      </c>
      <c r="B6" s="1" t="s">
        <v>2116</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t="s">
        <v>2117</v>
      </c>
      <c r="B10" s="3"/>
      <c r="C10" s="3"/>
      <c r="D10" s="3"/>
      <c r="E10" s="3"/>
      <c r="F10" s="3"/>
      <c r="G10" s="3"/>
      <c r="H10" s="3"/>
      <c r="I10" s="3"/>
      <c r="J10" s="3"/>
      <c r="K10" s="3"/>
      <c r="L10" s="3"/>
      <c r="M10" s="3"/>
      <c r="N10" s="9"/>
    </row>
    <row r="11" spans="1:18">
      <c r="M11" s="9"/>
      <c r="N11" s="9"/>
    </row>
    <row r="12" spans="1:18">
      <c r="A12" s="1"/>
      <c r="B12" s="1"/>
      <c r="C12" s="1"/>
      <c r="D12" s="1"/>
      <c r="E12" s="1"/>
      <c r="F12" s="1"/>
      <c r="G12" s="1"/>
      <c r="H12" s="1"/>
      <c r="I12" s="1"/>
      <c r="J12" s="1"/>
      <c r="K12" s="1"/>
      <c r="L12" s="1"/>
    </row>
    <row r="13" spans="1:18">
      <c r="A13" s="260" t="s">
        <v>1719</v>
      </c>
      <c r="B13" s="1"/>
      <c r="C13" s="1"/>
      <c r="D13" s="1"/>
      <c r="E13" s="1"/>
      <c r="F13" s="1"/>
      <c r="G13" s="1"/>
      <c r="H13" s="1"/>
      <c r="I13" s="1"/>
      <c r="J13" s="1"/>
      <c r="K13" s="1"/>
      <c r="L13" s="1"/>
    </row>
    <row r="14" spans="1:18">
      <c r="A14" s="1"/>
      <c r="B14" s="1"/>
      <c r="C14" s="1"/>
      <c r="D14" s="1"/>
      <c r="E14" s="1"/>
      <c r="F14" s="1"/>
      <c r="G14" s="1"/>
      <c r="H14" s="1"/>
      <c r="I14" s="1"/>
      <c r="J14" s="1"/>
      <c r="K14" s="1"/>
      <c r="L14" s="1"/>
    </row>
    <row r="15" spans="1:18" ht="46.8">
      <c r="A15" s="1"/>
      <c r="B15" s="4" t="s">
        <v>3</v>
      </c>
      <c r="C15" s="4" t="s">
        <v>153</v>
      </c>
      <c r="D15" s="4" t="s">
        <v>47</v>
      </c>
      <c r="E15" s="4" t="s">
        <v>2118</v>
      </c>
      <c r="F15" s="1"/>
      <c r="G15" s="1"/>
      <c r="H15" s="1"/>
      <c r="I15" s="1"/>
      <c r="J15" s="1"/>
      <c r="K15" s="1"/>
      <c r="L15" s="1"/>
    </row>
    <row r="16" spans="1:18">
      <c r="A16" s="1"/>
      <c r="B16" s="32">
        <v>2016</v>
      </c>
      <c r="C16" s="92">
        <v>461512</v>
      </c>
      <c r="D16" s="92">
        <v>5177046</v>
      </c>
      <c r="E16" s="92">
        <v>6750220</v>
      </c>
      <c r="F16" s="1"/>
      <c r="G16" s="1"/>
      <c r="H16" s="1"/>
      <c r="I16" s="1"/>
      <c r="J16" s="1"/>
      <c r="K16" s="1"/>
      <c r="L16" s="1"/>
    </row>
    <row r="17" spans="1:12">
      <c r="A17" s="1"/>
      <c r="B17" s="32">
        <v>2017</v>
      </c>
      <c r="C17" s="92">
        <v>493686</v>
      </c>
      <c r="D17" s="92">
        <v>5615887</v>
      </c>
      <c r="E17" s="92">
        <v>7026059</v>
      </c>
      <c r="F17" s="1"/>
      <c r="G17" s="1"/>
      <c r="H17" s="1"/>
      <c r="I17" s="1"/>
      <c r="J17" s="1"/>
      <c r="K17" s="1"/>
      <c r="L17" s="1"/>
    </row>
    <row r="18" spans="1:12">
      <c r="A18" s="1"/>
      <c r="B18" s="32">
        <v>2018</v>
      </c>
      <c r="C18" s="92">
        <v>530358</v>
      </c>
      <c r="D18" s="92">
        <v>6172433</v>
      </c>
      <c r="E18" s="92">
        <v>7435117</v>
      </c>
      <c r="F18" s="1"/>
      <c r="G18" s="1"/>
      <c r="H18" s="1"/>
      <c r="I18" s="1"/>
      <c r="J18" s="1"/>
      <c r="K18" s="1"/>
      <c r="L18" s="1"/>
    </row>
    <row r="19" spans="1:12">
      <c r="A19" s="1"/>
      <c r="B19" s="32">
        <v>2019</v>
      </c>
      <c r="C19" s="92">
        <v>571399</v>
      </c>
      <c r="D19" s="92">
        <v>6749414</v>
      </c>
      <c r="E19" s="92">
        <v>7835156</v>
      </c>
      <c r="F19" s="1"/>
      <c r="G19" s="1"/>
      <c r="H19" s="1"/>
      <c r="I19" s="1"/>
      <c r="J19" s="1"/>
      <c r="K19" s="1"/>
      <c r="L19" s="1"/>
    </row>
    <row r="20" spans="1:12">
      <c r="A20" s="1"/>
      <c r="B20" s="32">
        <v>2020</v>
      </c>
      <c r="C20" s="92">
        <v>622827</v>
      </c>
      <c r="D20" s="92">
        <v>7607009</v>
      </c>
      <c r="E20" s="92">
        <v>8295015</v>
      </c>
      <c r="F20" s="1"/>
      <c r="G20" s="1"/>
      <c r="H20" s="1"/>
      <c r="I20" s="1"/>
      <c r="J20" s="1"/>
      <c r="K20" s="1"/>
      <c r="L20" s="1"/>
    </row>
    <row r="21" spans="1:12">
      <c r="A21" s="1"/>
      <c r="B21" s="32">
        <v>2021</v>
      </c>
      <c r="C21" s="92">
        <v>665497</v>
      </c>
      <c r="D21" s="92">
        <v>8102719</v>
      </c>
      <c r="E21" s="92">
        <v>8667071</v>
      </c>
      <c r="F21" s="1"/>
      <c r="G21" s="1"/>
      <c r="H21" s="1"/>
      <c r="I21" s="1"/>
      <c r="J21" s="1"/>
      <c r="K21" s="1"/>
      <c r="L21" s="1"/>
    </row>
    <row r="22" spans="1:12">
      <c r="A22" s="1"/>
      <c r="B22" s="32">
        <v>2022</v>
      </c>
      <c r="C22" s="92">
        <v>725652</v>
      </c>
      <c r="D22" s="92">
        <v>8760790</v>
      </c>
      <c r="E22" s="92">
        <v>9164015</v>
      </c>
      <c r="F22" s="1"/>
      <c r="G22" s="1"/>
      <c r="H22" s="1"/>
      <c r="I22" s="1"/>
      <c r="J22" s="1"/>
      <c r="K22" s="1"/>
      <c r="L22" s="1"/>
    </row>
    <row r="23" spans="1:12">
      <c r="A23" s="1"/>
      <c r="B23" s="1"/>
      <c r="C23" s="1"/>
      <c r="D23" s="1"/>
      <c r="E23" s="1"/>
      <c r="F23" s="1"/>
      <c r="G23" s="1"/>
      <c r="H23" s="1"/>
      <c r="I23" s="1"/>
      <c r="J23" s="1"/>
      <c r="K23" s="1"/>
      <c r="L23" s="1"/>
    </row>
    <row r="24" spans="1:12">
      <c r="A24" s="1"/>
      <c r="B24" s="1" t="s">
        <v>2119</v>
      </c>
      <c r="C24" s="1"/>
      <c r="D24" s="650">
        <v>45231</v>
      </c>
      <c r="E24" s="1" t="s">
        <v>1457</v>
      </c>
      <c r="F24" s="1"/>
      <c r="G24" s="1"/>
      <c r="H24" s="1"/>
      <c r="I24" s="1"/>
      <c r="J24" s="1"/>
      <c r="K24" s="1"/>
      <c r="L24" s="1"/>
    </row>
    <row r="25" spans="1:12">
      <c r="A25" s="1"/>
      <c r="B25" s="1" t="s">
        <v>2120</v>
      </c>
      <c r="C25" s="1"/>
      <c r="D25" s="1"/>
      <c r="E25" s="1"/>
      <c r="F25" s="1"/>
      <c r="G25" s="1"/>
      <c r="H25" s="1"/>
      <c r="I25" s="1"/>
      <c r="J25" s="1"/>
      <c r="K25" s="1"/>
      <c r="L25" s="1"/>
    </row>
    <row r="26" spans="1:12">
      <c r="A26" s="1"/>
      <c r="B26" s="1" t="s">
        <v>2121</v>
      </c>
      <c r="C26" s="1"/>
      <c r="D26" s="1"/>
      <c r="E26" s="1"/>
      <c r="F26" s="1"/>
      <c r="G26" s="1"/>
      <c r="H26" s="1"/>
      <c r="I26" s="1"/>
      <c r="J26" s="1"/>
      <c r="K26" s="1"/>
      <c r="L26" s="1"/>
    </row>
    <row r="27" spans="1:12">
      <c r="A27" s="1"/>
      <c r="B27" s="1" t="s">
        <v>2122</v>
      </c>
      <c r="C27" s="1"/>
      <c r="D27" s="1"/>
      <c r="E27" s="1"/>
      <c r="F27" s="1"/>
      <c r="G27" s="1"/>
      <c r="H27" s="1"/>
      <c r="I27" s="1"/>
      <c r="J27" s="1"/>
      <c r="K27" s="1"/>
      <c r="L27" s="1"/>
    </row>
    <row r="28" spans="1:12">
      <c r="A28" s="1"/>
      <c r="B28" s="1"/>
      <c r="C28" s="1"/>
      <c r="D28" s="1"/>
      <c r="E28" s="1"/>
      <c r="F28" s="1"/>
      <c r="G28" s="1"/>
      <c r="H28" s="1"/>
      <c r="I28" s="1"/>
      <c r="J28" s="1"/>
      <c r="K28" s="1"/>
      <c r="L28" s="1"/>
    </row>
    <row r="30" spans="1:12">
      <c r="A30" s="17" t="s">
        <v>133</v>
      </c>
      <c r="B30" s="1" t="s">
        <v>2123</v>
      </c>
      <c r="C30" s="1"/>
      <c r="D30" s="1"/>
      <c r="E30" s="1"/>
      <c r="F30" s="1"/>
      <c r="G30" s="1"/>
      <c r="H30" s="1"/>
      <c r="I30" s="1"/>
      <c r="J30" s="1"/>
      <c r="K30" s="1"/>
      <c r="L30" s="1"/>
    </row>
    <row r="31" spans="1:12">
      <c r="A31" s="3"/>
      <c r="B31" s="3"/>
      <c r="C31" s="3"/>
      <c r="D31" s="3"/>
      <c r="E31" s="3"/>
      <c r="F31" s="3"/>
      <c r="G31" s="3"/>
      <c r="H31" s="3"/>
      <c r="I31" s="3"/>
      <c r="J31" s="3"/>
      <c r="K31" s="3"/>
      <c r="L31" s="3"/>
    </row>
    <row r="32" spans="1:12">
      <c r="A32" s="3" t="s">
        <v>20</v>
      </c>
      <c r="B32" s="3"/>
      <c r="C32" s="3"/>
      <c r="D32" s="3"/>
      <c r="E32" s="3"/>
      <c r="F32" s="3"/>
      <c r="G32" s="3"/>
      <c r="H32" s="3"/>
      <c r="I32" s="3"/>
      <c r="J32" s="3"/>
      <c r="K32" s="3"/>
      <c r="L32" s="3"/>
    </row>
    <row r="33" spans="1:13">
      <c r="A33" s="3"/>
      <c r="B33" s="3"/>
      <c r="C33" s="3"/>
      <c r="D33" s="3"/>
      <c r="E33" s="3"/>
      <c r="F33" s="3"/>
      <c r="G33" s="3"/>
      <c r="H33" s="3"/>
      <c r="I33" s="3"/>
      <c r="J33" s="3"/>
      <c r="K33" s="3"/>
      <c r="L33" s="3"/>
    </row>
    <row r="34" spans="1:13" ht="46.8">
      <c r="A34" s="93" t="s">
        <v>3</v>
      </c>
      <c r="B34" s="93" t="s">
        <v>2124</v>
      </c>
      <c r="C34" s="93" t="s">
        <v>1352</v>
      </c>
      <c r="E34" s="3"/>
      <c r="F34" s="3"/>
      <c r="G34" s="3"/>
      <c r="H34" s="3"/>
      <c r="I34" s="3"/>
      <c r="J34" s="3"/>
      <c r="K34" s="3"/>
      <c r="L34" s="3"/>
    </row>
    <row r="35" spans="1:13">
      <c r="A35" s="94">
        <f t="shared" ref="A35:A41" si="0">B16</f>
        <v>2016</v>
      </c>
      <c r="B35" s="644">
        <f t="shared" ref="B35:B41" si="1">C16/E16</f>
        <v>6.836991979520668E-2</v>
      </c>
      <c r="M35" s="3"/>
    </row>
    <row r="36" spans="1:13">
      <c r="A36" s="94">
        <f t="shared" si="0"/>
        <v>2017</v>
      </c>
      <c r="B36" s="644">
        <f t="shared" si="1"/>
        <v>7.0264994928166707E-2</v>
      </c>
      <c r="C36" s="644">
        <f t="shared" ref="C36:C41" si="2">B36/B35-1</f>
        <v>2.7717966302088337E-2</v>
      </c>
      <c r="M36" s="3"/>
    </row>
    <row r="37" spans="1:13">
      <c r="A37" s="94">
        <f t="shared" si="0"/>
        <v>2018</v>
      </c>
      <c r="B37" s="644">
        <f t="shared" si="1"/>
        <v>7.1331493505751159E-2</v>
      </c>
      <c r="C37" s="644">
        <f t="shared" si="2"/>
        <v>1.5178234605649044E-2</v>
      </c>
      <c r="M37" s="3"/>
    </row>
    <row r="38" spans="1:13">
      <c r="A38" s="94">
        <f t="shared" si="0"/>
        <v>2019</v>
      </c>
      <c r="B38" s="644">
        <f t="shared" si="1"/>
        <v>7.2927584339099308E-2</v>
      </c>
      <c r="C38" s="644">
        <f t="shared" si="2"/>
        <v>2.2375682253441997E-2</v>
      </c>
      <c r="M38" s="3"/>
    </row>
    <row r="39" spans="1:13">
      <c r="A39" s="94">
        <f t="shared" si="0"/>
        <v>2020</v>
      </c>
      <c r="B39" s="644">
        <f t="shared" si="1"/>
        <v>7.5084493518094902E-2</v>
      </c>
      <c r="C39" s="644">
        <f t="shared" si="2"/>
        <v>2.9576040376798618E-2</v>
      </c>
      <c r="M39" s="3"/>
    </row>
    <row r="40" spans="1:13">
      <c r="A40" s="94">
        <f t="shared" si="0"/>
        <v>2021</v>
      </c>
      <c r="B40" s="644">
        <f t="shared" si="1"/>
        <v>7.6784533090821575E-2</v>
      </c>
      <c r="C40" s="644">
        <f t="shared" si="2"/>
        <v>2.2641686626240221E-2</v>
      </c>
      <c r="M40" s="3"/>
    </row>
    <row r="41" spans="1:13">
      <c r="A41" s="107">
        <f t="shared" si="0"/>
        <v>2022</v>
      </c>
      <c r="B41" s="179">
        <f t="shared" si="1"/>
        <v>7.9184942407885622E-2</v>
      </c>
      <c r="C41" s="179">
        <f t="shared" si="2"/>
        <v>3.126162549200906E-2</v>
      </c>
      <c r="M41" s="3"/>
    </row>
    <row r="42" spans="1:13">
      <c r="A42" s="2" t="s">
        <v>2125</v>
      </c>
      <c r="C42" s="96">
        <f>AVERAGE(C36:C41)</f>
        <v>2.4791872609371213E-2</v>
      </c>
      <c r="M42" s="3"/>
    </row>
    <row r="43" spans="1:13">
      <c r="A43" s="2" t="s">
        <v>2126</v>
      </c>
      <c r="C43" s="96">
        <f>AVERAGE(C36,C38,C39,C40)</f>
        <v>2.5577843889642293E-2</v>
      </c>
      <c r="M43" s="3"/>
    </row>
    <row r="44" spans="1:13">
      <c r="A44" s="60"/>
    </row>
    <row r="45" spans="1:13">
      <c r="A45" s="2" t="s">
        <v>2127</v>
      </c>
      <c r="C45" s="112">
        <f>C43</f>
        <v>2.5577843889642293E-2</v>
      </c>
    </row>
    <row r="46" spans="1:13">
      <c r="A46" s="2" t="s">
        <v>2128</v>
      </c>
      <c r="B46" s="18"/>
    </row>
    <row r="47" spans="1:13">
      <c r="C47" s="18"/>
    </row>
    <row r="49" spans="1:14">
      <c r="A49" s="17" t="s">
        <v>18</v>
      </c>
      <c r="B49" s="1" t="s">
        <v>2129</v>
      </c>
      <c r="C49" s="1"/>
      <c r="D49" s="1"/>
      <c r="E49" s="1"/>
      <c r="F49" s="1"/>
      <c r="G49" s="1"/>
      <c r="H49" s="1"/>
      <c r="I49" s="1"/>
      <c r="J49" s="1"/>
      <c r="K49" s="1"/>
      <c r="L49" s="1"/>
    </row>
    <row r="50" spans="1:14">
      <c r="A50" s="3"/>
      <c r="B50" s="3"/>
      <c r="C50" s="3"/>
      <c r="D50" s="3"/>
      <c r="E50" s="3"/>
      <c r="F50" s="3"/>
      <c r="G50" s="3"/>
      <c r="H50" s="3"/>
      <c r="I50" s="3"/>
      <c r="J50" s="3"/>
      <c r="K50" s="3"/>
      <c r="L50" s="3"/>
    </row>
    <row r="51" spans="1:14">
      <c r="A51" s="3" t="s">
        <v>20</v>
      </c>
      <c r="B51" s="3"/>
      <c r="C51" s="3"/>
      <c r="D51" s="3"/>
      <c r="E51" s="3"/>
      <c r="F51" s="3"/>
      <c r="G51" s="3"/>
      <c r="H51" s="3"/>
      <c r="I51" s="3"/>
      <c r="J51" s="3"/>
      <c r="K51" s="3"/>
      <c r="L51" s="3"/>
    </row>
    <row r="52" spans="1:14">
      <c r="A52" s="3"/>
      <c r="B52" s="3"/>
      <c r="C52" s="3"/>
      <c r="D52" s="3"/>
      <c r="E52" s="3"/>
      <c r="F52" s="3"/>
      <c r="G52" s="3"/>
      <c r="H52" s="3"/>
      <c r="I52" s="3"/>
      <c r="J52" s="3"/>
      <c r="K52" s="3"/>
      <c r="L52" s="3"/>
    </row>
    <row r="53" spans="1:14">
      <c r="A53" s="2" t="str">
        <f>"Average earned premium date in "&amp;A41</f>
        <v>Average earned premium date in 2022</v>
      </c>
      <c r="B53" s="18"/>
      <c r="C53" s="18"/>
      <c r="D53" s="680">
        <f>DATE(A41,7,1)</f>
        <v>44743</v>
      </c>
      <c r="F53" s="18"/>
      <c r="G53" s="18"/>
      <c r="H53" s="18"/>
      <c r="I53" s="18"/>
      <c r="J53" s="18"/>
      <c r="K53" s="18"/>
      <c r="M53" s="3"/>
      <c r="N53" s="3"/>
    </row>
    <row r="54" spans="1:14">
      <c r="A54" s="2" t="s">
        <v>1778</v>
      </c>
      <c r="C54" s="18"/>
      <c r="E54" s="34" t="s">
        <v>2130</v>
      </c>
      <c r="F54" s="18"/>
      <c r="G54" s="18"/>
      <c r="H54" s="18"/>
      <c r="I54" s="18"/>
      <c r="J54" s="18"/>
      <c r="K54" s="18"/>
      <c r="M54" s="3"/>
      <c r="N54" s="3"/>
    </row>
    <row r="55" spans="1:14">
      <c r="A55" s="18"/>
      <c r="B55" s="60" t="s">
        <v>1780</v>
      </c>
      <c r="C55" s="18"/>
      <c r="D55" s="680">
        <f>DATE(1+YEAR(D24),MONTH(D24),1)</f>
        <v>45597</v>
      </c>
      <c r="E55" s="34">
        <f>(12*YEAR(D55)+MONTH(D55))-(12*YEAR($D$53)+MONTH($D$53))</f>
        <v>28</v>
      </c>
      <c r="F55" s="18"/>
      <c r="G55" s="18"/>
      <c r="H55" s="18"/>
      <c r="I55" s="18"/>
      <c r="J55" s="18"/>
      <c r="K55" s="18"/>
    </row>
    <row r="56" spans="1:14">
      <c r="F56" s="18"/>
      <c r="G56" s="18"/>
      <c r="H56" s="18"/>
      <c r="I56" s="18"/>
      <c r="J56" s="18"/>
      <c r="K56" s="18"/>
      <c r="L56" s="18"/>
      <c r="M56" s="18"/>
    </row>
    <row r="57" spans="1:14" ht="31.2">
      <c r="A57" s="93" t="s">
        <v>3</v>
      </c>
      <c r="B57" s="93" t="s">
        <v>591</v>
      </c>
      <c r="C57" s="93" t="s">
        <v>1265</v>
      </c>
      <c r="D57" s="93" t="s">
        <v>2131</v>
      </c>
      <c r="E57" s="93" t="s">
        <v>174</v>
      </c>
      <c r="F57" s="93" t="s">
        <v>2132</v>
      </c>
      <c r="G57" s="18"/>
      <c r="H57" s="18"/>
      <c r="I57" s="18"/>
      <c r="J57" s="18"/>
      <c r="K57" s="18"/>
      <c r="L57" s="18"/>
      <c r="M57" s="18"/>
    </row>
    <row r="58" spans="1:14">
      <c r="A58" s="94">
        <f t="shared" ref="A58:A64" si="3">B16</f>
        <v>2016</v>
      </c>
      <c r="B58" s="34">
        <f t="shared" ref="B58:B62" si="4">B59+12</f>
        <v>100</v>
      </c>
      <c r="C58" s="176">
        <f>B58/12</f>
        <v>8.3333333333333339</v>
      </c>
      <c r="D58" s="82">
        <f t="shared" ref="D58:D64" si="5">(1+$C$45)^C58</f>
        <v>1.2342560077303741</v>
      </c>
      <c r="E58" s="83">
        <f t="shared" ref="E58:E64" si="6">D58*C16</f>
        <v>569623.95863966038</v>
      </c>
      <c r="F58" s="177">
        <f t="shared" ref="F58:F64" si="7">E58/E16</f>
        <v>8.4385984255277657E-2</v>
      </c>
      <c r="G58" s="18"/>
      <c r="H58" s="18"/>
      <c r="I58" s="18"/>
      <c r="J58" s="18"/>
      <c r="K58" s="18"/>
      <c r="L58" s="18"/>
      <c r="M58" s="18"/>
    </row>
    <row r="59" spans="1:14">
      <c r="A59" s="94">
        <f t="shared" si="3"/>
        <v>2017</v>
      </c>
      <c r="B59" s="34">
        <f t="shared" si="4"/>
        <v>88</v>
      </c>
      <c r="C59" s="176">
        <f t="shared" ref="C59:C64" si="8">B59/12</f>
        <v>7.333333333333333</v>
      </c>
      <c r="D59" s="82">
        <f t="shared" si="5"/>
        <v>1.2034737441765431</v>
      </c>
      <c r="E59" s="83">
        <f t="shared" si="6"/>
        <v>594138.13886754087</v>
      </c>
      <c r="F59" s="177">
        <f t="shared" si="7"/>
        <v>8.4562076530746585E-2</v>
      </c>
      <c r="G59" s="18"/>
      <c r="H59" s="18"/>
      <c r="I59" s="18"/>
      <c r="J59" s="18"/>
      <c r="K59" s="18"/>
      <c r="L59" s="18"/>
      <c r="M59" s="18"/>
    </row>
    <row r="60" spans="1:14">
      <c r="A60" s="94">
        <f t="shared" si="3"/>
        <v>2018</v>
      </c>
      <c r="B60" s="34">
        <f t="shared" si="4"/>
        <v>76</v>
      </c>
      <c r="C60" s="176">
        <f t="shared" si="8"/>
        <v>6.333333333333333</v>
      </c>
      <c r="D60" s="82">
        <f t="shared" si="5"/>
        <v>1.1734591882486527</v>
      </c>
      <c r="E60" s="83">
        <f t="shared" si="6"/>
        <v>622353.46816117899</v>
      </c>
      <c r="F60" s="177">
        <f t="shared" si="7"/>
        <v>8.3704596465822789E-2</v>
      </c>
      <c r="G60" s="18"/>
      <c r="H60" s="18"/>
      <c r="I60" s="18"/>
      <c r="J60" s="18"/>
      <c r="K60" s="18"/>
      <c r="L60" s="18"/>
      <c r="M60" s="18"/>
    </row>
    <row r="61" spans="1:14">
      <c r="A61" s="94">
        <f t="shared" si="3"/>
        <v>2019</v>
      </c>
      <c r="B61" s="34">
        <f t="shared" si="4"/>
        <v>64</v>
      </c>
      <c r="C61" s="176">
        <f t="shared" si="8"/>
        <v>5.333333333333333</v>
      </c>
      <c r="D61" s="82">
        <f t="shared" si="5"/>
        <v>1.1441931933690672</v>
      </c>
      <c r="E61" s="83">
        <f t="shared" si="6"/>
        <v>653790.84649789159</v>
      </c>
      <c r="F61" s="177">
        <f t="shared" si="7"/>
        <v>8.3443245609646013E-2</v>
      </c>
      <c r="G61" s="18"/>
      <c r="H61" s="18"/>
      <c r="I61" s="18"/>
      <c r="J61" s="18"/>
      <c r="K61" s="18"/>
      <c r="L61" s="18"/>
      <c r="M61" s="18"/>
    </row>
    <row r="62" spans="1:14">
      <c r="A62" s="94">
        <f t="shared" si="3"/>
        <v>2020</v>
      </c>
      <c r="B62" s="34">
        <f t="shared" si="4"/>
        <v>52</v>
      </c>
      <c r="C62" s="176">
        <f t="shared" si="8"/>
        <v>4.333333333333333</v>
      </c>
      <c r="D62" s="82">
        <f t="shared" si="5"/>
        <v>1.1156570904745371</v>
      </c>
      <c r="E62" s="83">
        <f t="shared" si="6"/>
        <v>694861.35868898453</v>
      </c>
      <c r="F62" s="177">
        <f t="shared" si="7"/>
        <v>8.3768547578151997E-2</v>
      </c>
      <c r="G62" s="18"/>
      <c r="H62" s="18"/>
      <c r="I62" s="18"/>
      <c r="J62" s="18"/>
      <c r="K62" s="18"/>
      <c r="L62" s="18"/>
      <c r="M62" s="18"/>
    </row>
    <row r="63" spans="1:14">
      <c r="A63" s="94">
        <f t="shared" si="3"/>
        <v>2021</v>
      </c>
      <c r="B63" s="34">
        <f>B64+12</f>
        <v>40</v>
      </c>
      <c r="C63" s="176">
        <f t="shared" si="8"/>
        <v>3.3333333333333335</v>
      </c>
      <c r="D63" s="82">
        <f t="shared" si="5"/>
        <v>1.0878326761070198</v>
      </c>
      <c r="E63" s="83">
        <f t="shared" si="6"/>
        <v>723949.38245119341</v>
      </c>
      <c r="F63" s="177">
        <f t="shared" si="7"/>
        <v>8.3528724115816452E-2</v>
      </c>
      <c r="G63" s="18"/>
      <c r="H63" s="18"/>
      <c r="I63" s="18"/>
      <c r="J63" s="18"/>
      <c r="K63" s="18"/>
      <c r="L63" s="18"/>
      <c r="M63" s="18"/>
    </row>
    <row r="64" spans="1:14">
      <c r="A64" s="107">
        <f t="shared" si="3"/>
        <v>2022</v>
      </c>
      <c r="B64" s="35">
        <f>E55</f>
        <v>28</v>
      </c>
      <c r="C64" s="178">
        <f t="shared" si="8"/>
        <v>2.3333333333333335</v>
      </c>
      <c r="D64" s="85">
        <f t="shared" si="5"/>
        <v>1.0607022008015186</v>
      </c>
      <c r="E64" s="86">
        <f t="shared" si="6"/>
        <v>769700.67341602349</v>
      </c>
      <c r="F64" s="179">
        <f t="shared" si="7"/>
        <v>8.3991642682385778E-2</v>
      </c>
      <c r="G64" s="18"/>
      <c r="H64" s="18"/>
      <c r="I64" s="18"/>
      <c r="J64" s="18"/>
      <c r="K64" s="18"/>
      <c r="L64" s="18"/>
      <c r="M64" s="18"/>
    </row>
    <row r="65" spans="1:13">
      <c r="D65" s="2" t="s">
        <v>2133</v>
      </c>
      <c r="F65" s="96">
        <f>AVERAGE(F58:F64)</f>
        <v>8.3912116748263904E-2</v>
      </c>
      <c r="G65" s="18"/>
      <c r="H65" s="18"/>
      <c r="I65" s="18"/>
      <c r="J65" s="18"/>
      <c r="K65" s="18"/>
      <c r="L65" s="18"/>
      <c r="M65" s="18"/>
    </row>
    <row r="66" spans="1:13">
      <c r="G66" s="18"/>
      <c r="H66" s="18"/>
      <c r="I66" s="18"/>
      <c r="J66" s="18"/>
      <c r="K66" s="18"/>
      <c r="L66" s="18"/>
      <c r="M66" s="18"/>
    </row>
    <row r="67" spans="1:13">
      <c r="A67" s="2" t="s">
        <v>2134</v>
      </c>
      <c r="B67" s="18"/>
      <c r="F67" s="96">
        <f>F65</f>
        <v>8.3912116748263904E-2</v>
      </c>
      <c r="G67" s="18"/>
      <c r="H67" s="18"/>
      <c r="I67" s="18"/>
      <c r="J67" s="18"/>
      <c r="K67" s="18"/>
      <c r="L67" s="18"/>
      <c r="M67" s="18"/>
    </row>
    <row r="68" spans="1:13">
      <c r="A68" s="2" t="s">
        <v>2135</v>
      </c>
      <c r="G68" s="18"/>
      <c r="H68" s="18"/>
      <c r="I68" s="18"/>
      <c r="J68" s="18"/>
      <c r="K68" s="18"/>
      <c r="L68" s="18"/>
      <c r="M68" s="18"/>
    </row>
    <row r="69" spans="1:13">
      <c r="G69" s="18"/>
      <c r="H69" s="18"/>
      <c r="I69" s="18"/>
      <c r="J69" s="18"/>
      <c r="K69" s="18"/>
      <c r="L69" s="18"/>
      <c r="M69" s="18"/>
    </row>
  </sheetData>
  <hyperlinks>
    <hyperlink ref="O1" location="TOC!A1" display="Table of Contents" xr:uid="{40100FF5-45DF-457C-82E1-0BBA00B52783}"/>
  </hyperlinks>
  <pageMargins left="0.7" right="0.7" top="0.75" bottom="0.75" header="0.3" footer="0.3"/>
  <pageSetup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BD5E-B878-404C-91E0-D50E581450BC}">
  <dimension ref="A1:R106"/>
  <sheetViews>
    <sheetView zoomScaleNormal="100" workbookViewId="0"/>
  </sheetViews>
  <sheetFormatPr defaultColWidth="8.88671875" defaultRowHeight="15.6"/>
  <cols>
    <col min="1" max="1" width="8.88671875" style="2" customWidth="1"/>
    <col min="2" max="2" width="16.33203125" style="2" customWidth="1"/>
    <col min="3" max="6" width="15.6640625" style="2" customWidth="1"/>
    <col min="7" max="10" width="12.77734375" style="2" customWidth="1"/>
    <col min="11" max="11" width="14.21875" style="2" customWidth="1"/>
    <col min="12" max="12" width="12.77734375" style="2" customWidth="1"/>
    <col min="13" max="16384" width="8.88671875" style="2"/>
  </cols>
  <sheetData>
    <row r="1" spans="1:15" ht="17.399999999999999">
      <c r="A1" s="13" t="s">
        <v>2275</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2136</v>
      </c>
      <c r="B3" s="1"/>
      <c r="C3" s="1"/>
      <c r="D3" s="1"/>
      <c r="E3" s="1"/>
      <c r="F3" s="1"/>
      <c r="G3" s="1"/>
      <c r="H3" s="1"/>
      <c r="I3" s="1"/>
      <c r="J3" s="1"/>
      <c r="K3" s="1"/>
      <c r="L3" s="14"/>
    </row>
    <row r="4" spans="1:15">
      <c r="A4" s="1"/>
      <c r="B4" s="1"/>
      <c r="C4" s="1"/>
      <c r="D4" s="1"/>
      <c r="E4" s="1"/>
      <c r="F4" s="1"/>
      <c r="G4" s="1"/>
      <c r="H4" s="1"/>
      <c r="I4" s="1"/>
      <c r="J4" s="1"/>
      <c r="K4" s="1"/>
      <c r="L4" s="1"/>
    </row>
    <row r="5" spans="1:15" ht="62.4">
      <c r="A5" s="43"/>
      <c r="B5" s="4" t="s">
        <v>49</v>
      </c>
      <c r="C5" s="4" t="s">
        <v>4</v>
      </c>
      <c r="D5" s="4" t="s">
        <v>152</v>
      </c>
      <c r="E5" s="4" t="s">
        <v>528</v>
      </c>
      <c r="F5" s="4" t="s">
        <v>131</v>
      </c>
      <c r="G5" s="1"/>
      <c r="H5" s="1"/>
      <c r="I5" s="1"/>
      <c r="J5" s="1"/>
      <c r="K5" s="1"/>
      <c r="L5" s="1"/>
    </row>
    <row r="6" spans="1:15">
      <c r="A6" s="43"/>
      <c r="B6" s="32">
        <v>2018</v>
      </c>
      <c r="C6" s="92">
        <v>10146</v>
      </c>
      <c r="D6" s="92">
        <v>9400897</v>
      </c>
      <c r="E6" s="32">
        <v>862</v>
      </c>
      <c r="F6" s="92">
        <v>13085953</v>
      </c>
      <c r="G6" s="1"/>
      <c r="H6" s="1"/>
      <c r="I6" s="1"/>
      <c r="J6" s="1"/>
      <c r="K6" s="1"/>
      <c r="L6" s="1"/>
    </row>
    <row r="7" spans="1:15">
      <c r="A7" s="43"/>
      <c r="B7" s="32">
        <v>2019</v>
      </c>
      <c r="C7" s="92">
        <v>10127</v>
      </c>
      <c r="D7" s="92">
        <v>9537898</v>
      </c>
      <c r="E7" s="32">
        <v>869</v>
      </c>
      <c r="F7" s="92">
        <v>14011147</v>
      </c>
      <c r="G7" s="1"/>
      <c r="H7" s="1"/>
      <c r="I7" s="1"/>
      <c r="J7" s="1"/>
      <c r="K7" s="1"/>
      <c r="L7" s="1"/>
    </row>
    <row r="8" spans="1:15">
      <c r="A8" s="43"/>
      <c r="B8" s="32">
        <v>2020</v>
      </c>
      <c r="C8" s="92">
        <v>10298</v>
      </c>
      <c r="D8" s="92">
        <v>9901002</v>
      </c>
      <c r="E8" s="32">
        <v>875</v>
      </c>
      <c r="F8" s="92">
        <v>14968858</v>
      </c>
      <c r="G8" s="1"/>
      <c r="H8" s="1"/>
      <c r="I8" s="1"/>
      <c r="J8" s="1"/>
      <c r="K8" s="1"/>
      <c r="L8" s="1"/>
    </row>
    <row r="9" spans="1:15">
      <c r="A9" s="1"/>
      <c r="B9" s="32">
        <v>2021</v>
      </c>
      <c r="C9" s="92">
        <v>10291</v>
      </c>
      <c r="D9" s="92">
        <v>10263291</v>
      </c>
      <c r="E9" s="32">
        <v>852</v>
      </c>
      <c r="F9" s="92">
        <v>15499745</v>
      </c>
      <c r="G9" s="1"/>
      <c r="H9" s="1"/>
      <c r="I9" s="1"/>
      <c r="J9" s="1"/>
      <c r="K9" s="1"/>
      <c r="L9" s="1"/>
    </row>
    <row r="10" spans="1:15">
      <c r="A10" s="1"/>
      <c r="B10" s="32">
        <v>2022</v>
      </c>
      <c r="C10" s="92">
        <v>10573</v>
      </c>
      <c r="D10" s="92">
        <v>10713349</v>
      </c>
      <c r="E10" s="32">
        <v>883</v>
      </c>
      <c r="F10" s="92">
        <v>18068228</v>
      </c>
      <c r="G10" s="1"/>
      <c r="H10" s="1"/>
      <c r="I10" s="1"/>
      <c r="J10" s="1"/>
      <c r="K10" s="1"/>
      <c r="L10" s="1"/>
    </row>
    <row r="11" spans="1:15">
      <c r="A11" s="43"/>
      <c r="B11" s="1"/>
      <c r="C11" s="1"/>
      <c r="D11" s="1"/>
      <c r="E11" s="1"/>
      <c r="F11" s="1"/>
      <c r="G11" s="1"/>
      <c r="H11" s="1"/>
      <c r="I11" s="1"/>
      <c r="J11" s="1"/>
      <c r="K11" s="1"/>
      <c r="L11" s="1"/>
    </row>
    <row r="12" spans="1:15">
      <c r="A12" s="1"/>
      <c r="B12" s="1" t="s">
        <v>2137</v>
      </c>
      <c r="C12" s="1"/>
      <c r="D12" s="1"/>
      <c r="E12" s="485">
        <v>-0.01</v>
      </c>
      <c r="F12" s="1"/>
      <c r="G12" s="1"/>
      <c r="H12" s="1"/>
      <c r="I12" s="1"/>
      <c r="J12" s="1"/>
      <c r="K12" s="1"/>
      <c r="L12" s="1"/>
    </row>
    <row r="13" spans="1:15">
      <c r="A13" s="1"/>
      <c r="B13" s="1" t="s">
        <v>2138</v>
      </c>
      <c r="C13" s="1"/>
      <c r="D13" s="1"/>
      <c r="E13" s="1"/>
      <c r="F13" s="485">
        <v>0.01</v>
      </c>
      <c r="G13" s="1" t="s">
        <v>2139</v>
      </c>
      <c r="H13" s="1"/>
      <c r="I13" s="1"/>
      <c r="J13" s="1"/>
      <c r="K13" s="1"/>
      <c r="L13" s="1"/>
    </row>
    <row r="14" spans="1:15">
      <c r="A14" s="1"/>
      <c r="B14" s="1" t="s">
        <v>2140</v>
      </c>
      <c r="C14" s="1"/>
      <c r="D14" s="1"/>
      <c r="E14" s="485">
        <v>0.06</v>
      </c>
      <c r="F14" s="1" t="s">
        <v>2141</v>
      </c>
      <c r="G14" s="1"/>
      <c r="H14" s="1"/>
      <c r="I14" s="1"/>
      <c r="J14" s="1"/>
      <c r="K14" s="1"/>
      <c r="L14" s="1"/>
    </row>
    <row r="15" spans="1:15">
      <c r="A15" s="1"/>
      <c r="B15" s="1" t="s">
        <v>2142</v>
      </c>
      <c r="C15" s="1"/>
      <c r="D15" s="650">
        <v>45352</v>
      </c>
      <c r="E15" s="1" t="s">
        <v>1322</v>
      </c>
      <c r="F15" s="1"/>
      <c r="G15" s="1"/>
      <c r="H15" s="1"/>
      <c r="I15" s="1"/>
      <c r="J15" s="1"/>
      <c r="K15" s="1"/>
      <c r="L15" s="1"/>
    </row>
    <row r="16" spans="1:15">
      <c r="A16" s="1"/>
      <c r="B16" s="1" t="s">
        <v>2120</v>
      </c>
      <c r="C16" s="1"/>
      <c r="D16" s="1"/>
      <c r="E16" s="1"/>
      <c r="F16" s="1"/>
      <c r="G16" s="1"/>
      <c r="H16" s="1"/>
      <c r="I16" s="1"/>
      <c r="J16" s="1"/>
      <c r="K16" s="1"/>
      <c r="L16" s="1"/>
    </row>
    <row r="17" spans="1:18">
      <c r="A17" s="1"/>
      <c r="B17" s="1" t="s">
        <v>2143</v>
      </c>
      <c r="C17" s="1"/>
      <c r="D17" s="92">
        <v>4654</v>
      </c>
      <c r="E17" s="1" t="s">
        <v>2144</v>
      </c>
      <c r="F17" s="1"/>
      <c r="G17" s="1"/>
      <c r="H17" s="1"/>
      <c r="I17" s="1"/>
      <c r="J17" s="1"/>
      <c r="K17" s="1"/>
      <c r="L17" s="1"/>
    </row>
    <row r="18" spans="1:18">
      <c r="A18" s="1"/>
      <c r="B18" s="1" t="s">
        <v>2145</v>
      </c>
      <c r="C18" s="1"/>
      <c r="D18" s="1"/>
      <c r="E18" s="1"/>
      <c r="F18" s="1"/>
      <c r="G18" s="1"/>
      <c r="H18" s="1"/>
      <c r="I18" s="1"/>
      <c r="J18" s="1"/>
      <c r="K18" s="1"/>
      <c r="L18" s="1"/>
    </row>
    <row r="19" spans="1:18">
      <c r="A19" s="1"/>
      <c r="B19" s="1"/>
      <c r="C19" s="1"/>
      <c r="D19" s="1"/>
      <c r="E19" s="1"/>
      <c r="F19" s="1"/>
      <c r="G19" s="1"/>
      <c r="H19" s="1"/>
      <c r="I19" s="1"/>
      <c r="J19" s="1"/>
      <c r="K19" s="1"/>
      <c r="L19" s="1"/>
    </row>
    <row r="20" spans="1:18">
      <c r="A20" s="3"/>
      <c r="B20" s="3"/>
      <c r="C20" s="3"/>
      <c r="D20" s="3"/>
      <c r="E20" s="3"/>
      <c r="F20" s="3"/>
      <c r="G20" s="3"/>
      <c r="H20" s="3"/>
      <c r="I20" s="3"/>
      <c r="J20" s="3"/>
      <c r="K20" s="3"/>
      <c r="L20" s="3"/>
    </row>
    <row r="21" spans="1:18">
      <c r="A21" s="17" t="s">
        <v>91</v>
      </c>
      <c r="B21" s="1" t="s">
        <v>2146</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E24" s="18"/>
      <c r="L24" s="3"/>
      <c r="M24" s="3"/>
      <c r="N24" s="9"/>
    </row>
    <row r="25" spans="1:18">
      <c r="A25" s="3"/>
      <c r="B25" s="2" t="s">
        <v>2147</v>
      </c>
      <c r="C25" s="18"/>
      <c r="D25" s="177">
        <f>(1+$E$12)*(1+E14)-1</f>
        <v>4.940000000000011E-2</v>
      </c>
      <c r="E25" s="18"/>
      <c r="L25" s="3"/>
      <c r="M25" s="3"/>
      <c r="N25" s="9"/>
    </row>
    <row r="26" spans="1:18">
      <c r="A26" s="3"/>
      <c r="B26" s="2" t="s">
        <v>2148</v>
      </c>
      <c r="C26" s="18"/>
      <c r="D26" s="177">
        <f>(1+$F$13)*(1+E14)-1</f>
        <v>7.0599999999999996E-2</v>
      </c>
      <c r="E26" s="18"/>
      <c r="L26" s="3"/>
      <c r="M26" s="3"/>
      <c r="N26" s="9"/>
    </row>
    <row r="27" spans="1:18">
      <c r="A27" s="3"/>
      <c r="B27" s="2" t="s">
        <v>2149</v>
      </c>
      <c r="C27" s="18"/>
      <c r="D27" s="177"/>
      <c r="E27" s="681"/>
      <c r="L27" s="3"/>
      <c r="M27" s="3"/>
      <c r="N27" s="9"/>
    </row>
    <row r="28" spans="1:18">
      <c r="A28" s="3"/>
      <c r="B28" s="2" t="s">
        <v>2150</v>
      </c>
      <c r="L28" s="3"/>
      <c r="M28" s="3"/>
      <c r="N28" s="9"/>
    </row>
    <row r="29" spans="1:18">
      <c r="A29" s="3"/>
      <c r="B29" s="578" t="s">
        <v>2151</v>
      </c>
      <c r="C29" s="159">
        <v>44927</v>
      </c>
      <c r="D29" s="34" t="s">
        <v>2152</v>
      </c>
      <c r="E29" s="159">
        <f>DATE(1+YEAR(D15),MONTH(D15),DAY(D15))</f>
        <v>45717</v>
      </c>
      <c r="F29" s="575" t="s">
        <v>1630</v>
      </c>
      <c r="G29" s="34">
        <f>(12*YEAR(E29)+MONTH(E29))-(12*YEAR(C29)+MONTH(C29))</f>
        <v>26</v>
      </c>
      <c r="H29" s="34" t="s">
        <v>2153</v>
      </c>
      <c r="J29" s="160">
        <f>G29/12</f>
        <v>2.1666666666666665</v>
      </c>
      <c r="K29" s="2" t="s">
        <v>2154</v>
      </c>
      <c r="L29" s="3"/>
      <c r="M29" s="3"/>
      <c r="N29" s="9"/>
    </row>
    <row r="30" spans="1:18">
      <c r="A30" s="3"/>
      <c r="L30" s="3"/>
      <c r="M30" s="3"/>
      <c r="N30" s="9"/>
    </row>
    <row r="31" spans="1:18" ht="46.8">
      <c r="A31" s="3"/>
      <c r="B31" s="36" t="s">
        <v>49</v>
      </c>
      <c r="C31" s="36" t="s">
        <v>4</v>
      </c>
      <c r="D31" s="35" t="s">
        <v>131</v>
      </c>
      <c r="E31" s="36" t="s">
        <v>2155</v>
      </c>
      <c r="F31" s="36" t="s">
        <v>2156</v>
      </c>
      <c r="G31" s="36" t="s">
        <v>2157</v>
      </c>
      <c r="H31" s="36" t="s">
        <v>2158</v>
      </c>
      <c r="I31" s="36" t="s">
        <v>2159</v>
      </c>
      <c r="J31" s="36" t="s">
        <v>2160</v>
      </c>
      <c r="K31" s="36" t="s">
        <v>1280</v>
      </c>
      <c r="L31" s="3"/>
      <c r="M31" s="3"/>
      <c r="N31" s="9"/>
    </row>
    <row r="32" spans="1:18">
      <c r="A32" s="3"/>
      <c r="B32" s="34">
        <f>$B$6</f>
        <v>2018</v>
      </c>
      <c r="C32" s="83">
        <f>C6</f>
        <v>10146</v>
      </c>
      <c r="D32" s="83">
        <f>F6</f>
        <v>13085953</v>
      </c>
      <c r="E32" s="237">
        <f>D32/C32</f>
        <v>1289.7647348708851</v>
      </c>
      <c r="F32" s="34">
        <f t="shared" ref="F32:F34" si="0">F33+1</f>
        <v>4.5</v>
      </c>
      <c r="G32" s="160">
        <f>$J$29</f>
        <v>2.1666666666666665</v>
      </c>
      <c r="H32" s="82">
        <f>(1+$D$25)^F32</f>
        <v>1.2423236970732177</v>
      </c>
      <c r="I32" s="82">
        <f>(1+$D$26)^G32</f>
        <v>1.1592906983044149</v>
      </c>
      <c r="J32" s="82">
        <f>H32*I32</f>
        <v>1.4402143063001329</v>
      </c>
      <c r="K32" s="237">
        <f>J32*E32</f>
        <v>1857.5376229224466</v>
      </c>
      <c r="L32" s="3"/>
      <c r="M32" s="3"/>
      <c r="N32" s="9"/>
    </row>
    <row r="33" spans="1:14">
      <c r="A33" s="3"/>
      <c r="B33" s="34">
        <f>B32+1</f>
        <v>2019</v>
      </c>
      <c r="C33" s="83">
        <f>C7</f>
        <v>10127</v>
      </c>
      <c r="D33" s="83">
        <f>F7</f>
        <v>14011147</v>
      </c>
      <c r="E33" s="237">
        <f t="shared" ref="E33:E36" si="1">D33/C33</f>
        <v>1383.5436950725782</v>
      </c>
      <c r="F33" s="34">
        <f t="shared" si="0"/>
        <v>3.5</v>
      </c>
      <c r="G33" s="160">
        <f>$J$29</f>
        <v>2.1666666666666665</v>
      </c>
      <c r="H33" s="82">
        <f t="shared" ref="H33:H36" si="2">(1+$D$25)^F33</f>
        <v>1.1838419068736588</v>
      </c>
      <c r="I33" s="82">
        <f t="shared" ref="I33:I36" si="3">(1+$D$26)^G33</f>
        <v>1.1592906983044149</v>
      </c>
      <c r="J33" s="82">
        <f t="shared" ref="J33:J36" si="4">H33*I33</f>
        <v>1.372416910901594</v>
      </c>
      <c r="K33" s="237">
        <f t="shared" ref="K33:K36" si="5">J33*E33</f>
        <v>1898.7987640888848</v>
      </c>
      <c r="L33" s="3"/>
      <c r="M33" s="3"/>
      <c r="N33" s="9"/>
    </row>
    <row r="34" spans="1:14">
      <c r="A34" s="3"/>
      <c r="B34" s="34">
        <f t="shared" ref="B34:B36" si="6">B33+1</f>
        <v>2020</v>
      </c>
      <c r="C34" s="83">
        <f>C8</f>
        <v>10298</v>
      </c>
      <c r="D34" s="83">
        <f>F8</f>
        <v>14968858</v>
      </c>
      <c r="E34" s="237">
        <f t="shared" si="1"/>
        <v>1453.5694309574674</v>
      </c>
      <c r="F34" s="34">
        <f t="shared" si="0"/>
        <v>2.5</v>
      </c>
      <c r="G34" s="160">
        <f>$J$29</f>
        <v>2.1666666666666665</v>
      </c>
      <c r="H34" s="82">
        <f t="shared" si="2"/>
        <v>1.1281131188047062</v>
      </c>
      <c r="I34" s="82">
        <f t="shared" si="3"/>
        <v>1.1592906983044149</v>
      </c>
      <c r="J34" s="82">
        <f t="shared" si="4"/>
        <v>1.3078110452654792</v>
      </c>
      <c r="K34" s="237">
        <f t="shared" si="5"/>
        <v>1900.9941568664333</v>
      </c>
      <c r="L34" s="3"/>
      <c r="M34" s="3"/>
      <c r="N34" s="9"/>
    </row>
    <row r="35" spans="1:14">
      <c r="A35" s="3"/>
      <c r="B35" s="34">
        <f t="shared" si="6"/>
        <v>2021</v>
      </c>
      <c r="C35" s="83">
        <f>C9</f>
        <v>10291</v>
      </c>
      <c r="D35" s="83">
        <f>F9</f>
        <v>15499745</v>
      </c>
      <c r="E35" s="237">
        <f t="shared" si="1"/>
        <v>1506.1456612574093</v>
      </c>
      <c r="F35" s="34">
        <f>F36+1</f>
        <v>1.5</v>
      </c>
      <c r="G35" s="160">
        <f>$J$29</f>
        <v>2.1666666666666665</v>
      </c>
      <c r="H35" s="82">
        <f t="shared" si="2"/>
        <v>1.0750077366158814</v>
      </c>
      <c r="I35" s="82">
        <f t="shared" si="3"/>
        <v>1.1592906983044149</v>
      </c>
      <c r="J35" s="82">
        <f t="shared" si="4"/>
        <v>1.2462464696640738</v>
      </c>
      <c r="K35" s="237">
        <f t="shared" si="5"/>
        <v>1877.0287131419084</v>
      </c>
      <c r="L35" s="3"/>
      <c r="M35" s="3"/>
      <c r="N35" s="9"/>
    </row>
    <row r="36" spans="1:14">
      <c r="A36" s="3"/>
      <c r="B36" s="34">
        <f t="shared" si="6"/>
        <v>2022</v>
      </c>
      <c r="C36" s="83">
        <f>C10</f>
        <v>10573</v>
      </c>
      <c r="D36" s="83">
        <f>F10</f>
        <v>18068228</v>
      </c>
      <c r="E36" s="237">
        <f t="shared" si="1"/>
        <v>1708.9026766291497</v>
      </c>
      <c r="F36" s="534">
        <v>0.5</v>
      </c>
      <c r="G36" s="160">
        <f>$J$29</f>
        <v>2.1666666666666665</v>
      </c>
      <c r="H36" s="82">
        <f t="shared" si="2"/>
        <v>1.0244022647378324</v>
      </c>
      <c r="I36" s="82">
        <f t="shared" si="3"/>
        <v>1.1592906983044149</v>
      </c>
      <c r="J36" s="82">
        <f t="shared" si="4"/>
        <v>1.1875800168325457</v>
      </c>
      <c r="K36" s="237">
        <f t="shared" si="5"/>
        <v>2029.458669476428</v>
      </c>
      <c r="L36" s="3"/>
      <c r="M36" s="3"/>
      <c r="N36" s="9"/>
    </row>
    <row r="38" spans="1:14">
      <c r="A38" s="17" t="s">
        <v>133</v>
      </c>
      <c r="B38" s="1" t="s">
        <v>2161</v>
      </c>
      <c r="C38" s="1"/>
      <c r="D38" s="1"/>
      <c r="E38" s="1"/>
      <c r="F38" s="1"/>
      <c r="G38" s="1"/>
      <c r="H38" s="1"/>
      <c r="I38" s="1"/>
      <c r="J38" s="1"/>
      <c r="K38" s="1"/>
      <c r="L38" s="1"/>
    </row>
    <row r="39" spans="1:14">
      <c r="A39" s="3"/>
      <c r="B39" s="3"/>
      <c r="C39" s="3"/>
      <c r="D39" s="3"/>
      <c r="E39" s="3"/>
      <c r="F39" s="3"/>
      <c r="G39" s="3"/>
      <c r="H39" s="3"/>
      <c r="I39" s="3"/>
      <c r="J39" s="3"/>
      <c r="K39" s="3"/>
      <c r="L39" s="3"/>
    </row>
    <row r="40" spans="1:14">
      <c r="A40" s="3" t="s">
        <v>20</v>
      </c>
      <c r="B40" s="3"/>
      <c r="C40" s="3"/>
      <c r="D40" s="3"/>
      <c r="E40" s="3"/>
      <c r="F40" s="3"/>
      <c r="G40" s="3"/>
      <c r="H40" s="3"/>
      <c r="I40" s="3"/>
      <c r="J40" s="3"/>
      <c r="K40" s="3"/>
      <c r="L40" s="3"/>
    </row>
    <row r="41" spans="1:14">
      <c r="A41" s="3"/>
      <c r="B41" s="414" t="s">
        <v>978</v>
      </c>
      <c r="C41" s="3"/>
      <c r="D41" s="3"/>
      <c r="E41" s="3"/>
      <c r="F41" s="3"/>
      <c r="G41" s="3"/>
      <c r="H41" s="3"/>
      <c r="I41" s="3"/>
      <c r="J41" s="3"/>
      <c r="K41" s="3"/>
      <c r="L41" s="3"/>
    </row>
    <row r="42" spans="1:14">
      <c r="A42" s="3"/>
      <c r="B42" s="415" t="s">
        <v>2162</v>
      </c>
      <c r="C42" s="3"/>
      <c r="D42" s="3"/>
      <c r="E42" s="3"/>
      <c r="F42" s="3"/>
      <c r="G42" s="3"/>
      <c r="H42" s="3"/>
      <c r="I42" s="3"/>
      <c r="J42" s="3"/>
      <c r="K42" s="3"/>
      <c r="L42" s="3"/>
    </row>
    <row r="43" spans="1:14">
      <c r="A43" s="3"/>
      <c r="B43" s="3"/>
      <c r="C43" s="3"/>
      <c r="D43" s="3"/>
      <c r="E43" s="3"/>
      <c r="F43" s="3"/>
      <c r="G43" s="3"/>
      <c r="H43" s="3"/>
      <c r="I43" s="3"/>
      <c r="J43" s="3"/>
      <c r="K43" s="3"/>
      <c r="L43" s="3"/>
    </row>
    <row r="44" spans="1:14">
      <c r="A44" s="3"/>
      <c r="B44" s="62"/>
      <c r="C44" s="94" t="s">
        <v>2163</v>
      </c>
      <c r="D44" s="62"/>
      <c r="F44" s="62"/>
      <c r="G44" s="3"/>
      <c r="H44" s="3"/>
      <c r="I44" s="3"/>
      <c r="J44" s="3"/>
      <c r="K44" s="3"/>
      <c r="L44" s="3"/>
    </row>
    <row r="45" spans="1:14">
      <c r="A45" s="3"/>
      <c r="B45" s="107" t="s">
        <v>58</v>
      </c>
      <c r="C45" s="107" t="s">
        <v>273</v>
      </c>
      <c r="D45" s="107" t="s">
        <v>283</v>
      </c>
      <c r="F45" s="62"/>
      <c r="G45" s="3"/>
      <c r="H45" s="3"/>
      <c r="I45" s="3"/>
      <c r="J45" s="3"/>
      <c r="K45" s="3"/>
      <c r="L45" s="3"/>
    </row>
    <row r="46" spans="1:14">
      <c r="A46" s="3"/>
      <c r="B46" s="94">
        <f>$B$6</f>
        <v>2018</v>
      </c>
      <c r="C46" s="240">
        <f>K32</f>
        <v>1857.5376229224466</v>
      </c>
      <c r="D46" s="95">
        <v>0.22500000000000001</v>
      </c>
      <c r="F46" s="62"/>
      <c r="G46" s="3"/>
      <c r="H46" s="3"/>
      <c r="I46" s="3"/>
      <c r="J46" s="3"/>
      <c r="K46" s="3"/>
      <c r="L46" s="3"/>
    </row>
    <row r="47" spans="1:14">
      <c r="A47" s="3"/>
      <c r="B47" s="94">
        <f>B46+1</f>
        <v>2019</v>
      </c>
      <c r="C47" s="240">
        <f>K33</f>
        <v>1898.7987640888848</v>
      </c>
      <c r="D47" s="95">
        <v>0.22500000000000001</v>
      </c>
      <c r="F47" s="62"/>
      <c r="G47" s="3"/>
      <c r="H47" s="3"/>
      <c r="I47" s="3"/>
      <c r="J47" s="3"/>
      <c r="K47" s="3"/>
      <c r="L47" s="3"/>
    </row>
    <row r="48" spans="1:14">
      <c r="A48" s="3"/>
      <c r="B48" s="94">
        <f t="shared" ref="B48:B50" si="7">B47+1</f>
        <v>2020</v>
      </c>
      <c r="C48" s="240">
        <f>K34</f>
        <v>1900.9941568664333</v>
      </c>
      <c r="D48" s="95">
        <v>0.22500000000000001</v>
      </c>
      <c r="F48" s="62"/>
      <c r="G48" s="3"/>
      <c r="H48" s="3"/>
      <c r="I48" s="3"/>
      <c r="J48" s="3"/>
      <c r="K48" s="3"/>
      <c r="L48" s="3"/>
    </row>
    <row r="49" spans="1:13">
      <c r="A49" s="3"/>
      <c r="B49" s="94">
        <f t="shared" si="7"/>
        <v>2021</v>
      </c>
      <c r="C49" s="240">
        <f>K35</f>
        <v>1877.0287131419084</v>
      </c>
      <c r="D49" s="95">
        <v>0.22500000000000001</v>
      </c>
      <c r="F49" s="62"/>
      <c r="G49" s="3"/>
      <c r="H49" s="3"/>
      <c r="I49" s="3"/>
      <c r="J49" s="3"/>
      <c r="K49" s="3"/>
      <c r="L49" s="3"/>
    </row>
    <row r="50" spans="1:13">
      <c r="A50" s="3"/>
      <c r="B50" s="94">
        <f t="shared" si="7"/>
        <v>2022</v>
      </c>
      <c r="C50" s="240">
        <f>K36</f>
        <v>2029.458669476428</v>
      </c>
      <c r="D50" s="95">
        <f>1-SUM(D46:D49)</f>
        <v>9.9999999999999978E-2</v>
      </c>
      <c r="F50" s="62"/>
      <c r="G50" s="3"/>
      <c r="H50" s="3"/>
      <c r="I50" s="3"/>
      <c r="J50" s="3"/>
      <c r="K50" s="3"/>
      <c r="L50" s="3"/>
    </row>
    <row r="51" spans="1:13">
      <c r="A51" s="3"/>
      <c r="B51" s="3" t="s">
        <v>2164</v>
      </c>
      <c r="C51" s="3"/>
      <c r="D51" s="62"/>
      <c r="F51" s="62"/>
      <c r="G51" s="3"/>
      <c r="H51" s="3"/>
      <c r="I51" s="3"/>
      <c r="J51" s="3"/>
      <c r="K51" s="3"/>
      <c r="L51" s="3"/>
    </row>
    <row r="52" spans="1:13">
      <c r="A52" s="3"/>
      <c r="B52" s="100" t="s">
        <v>2165</v>
      </c>
      <c r="C52" s="240">
        <f>AVERAGE(C46:C50)</f>
        <v>1912.7635852992203</v>
      </c>
      <c r="D52" s="100"/>
      <c r="F52" s="62"/>
      <c r="G52" s="3"/>
      <c r="H52" s="3"/>
      <c r="I52" s="3"/>
      <c r="J52" s="3"/>
      <c r="K52" s="3"/>
      <c r="L52" s="3"/>
    </row>
    <row r="53" spans="1:13">
      <c r="A53" s="3"/>
      <c r="B53" s="100" t="s">
        <v>2166</v>
      </c>
      <c r="C53" s="240">
        <f>SUMPRODUCT(C46:C50,D46:D50)</f>
        <v>1898.1766997770692</v>
      </c>
      <c r="D53" s="62"/>
      <c r="F53" s="62"/>
      <c r="G53" s="3"/>
      <c r="H53" s="3"/>
      <c r="I53" s="3"/>
      <c r="J53" s="3"/>
      <c r="K53" s="3"/>
      <c r="L53" s="3"/>
    </row>
    <row r="54" spans="1:13">
      <c r="B54" s="3" t="s">
        <v>1355</v>
      </c>
      <c r="C54" s="240">
        <f>C53</f>
        <v>1898.1766997770692</v>
      </c>
      <c r="D54" s="62"/>
      <c r="F54" s="62"/>
      <c r="M54" s="3"/>
    </row>
    <row r="55" spans="1:13">
      <c r="B55" s="3"/>
      <c r="C55" s="3"/>
      <c r="D55" s="3"/>
      <c r="E55" s="62"/>
      <c r="F55" s="62"/>
      <c r="M55" s="3"/>
    </row>
    <row r="56" spans="1:13">
      <c r="B56" s="3" t="s">
        <v>496</v>
      </c>
      <c r="C56" s="3" t="s">
        <v>2167</v>
      </c>
      <c r="D56" s="3"/>
      <c r="E56" s="62"/>
      <c r="F56" s="62"/>
      <c r="M56" s="3"/>
    </row>
    <row r="58" spans="1:13">
      <c r="A58" s="1"/>
      <c r="B58" s="1"/>
      <c r="C58" s="1"/>
      <c r="D58" s="1"/>
      <c r="E58" s="1"/>
      <c r="F58" s="1"/>
      <c r="G58" s="1"/>
      <c r="H58" s="1"/>
      <c r="I58" s="1"/>
      <c r="J58" s="1"/>
      <c r="K58" s="1"/>
      <c r="L58" s="1"/>
    </row>
    <row r="59" spans="1:13">
      <c r="A59" s="260" t="s">
        <v>2048</v>
      </c>
      <c r="B59" s="1"/>
      <c r="C59" s="1"/>
      <c r="D59" s="1"/>
      <c r="E59" s="1"/>
      <c r="F59" s="1"/>
      <c r="G59" s="1"/>
      <c r="H59" s="1"/>
      <c r="I59" s="1"/>
      <c r="J59" s="1"/>
      <c r="K59" s="1"/>
      <c r="L59" s="1"/>
    </row>
    <row r="60" spans="1:13">
      <c r="A60" s="1"/>
      <c r="B60" s="1" t="s">
        <v>2168</v>
      </c>
      <c r="C60" s="1"/>
      <c r="D60" s="1"/>
      <c r="E60" s="1"/>
      <c r="F60" s="1"/>
      <c r="G60" s="1"/>
      <c r="H60" s="1"/>
      <c r="I60" s="1"/>
      <c r="J60" s="1"/>
      <c r="K60" s="1"/>
      <c r="L60" s="1"/>
    </row>
    <row r="61" spans="1:13">
      <c r="A61" s="1"/>
      <c r="B61" s="1"/>
      <c r="C61" s="1" t="s">
        <v>2169</v>
      </c>
      <c r="D61" s="1"/>
      <c r="E61" s="1"/>
      <c r="F61" s="1"/>
      <c r="G61" s="1"/>
      <c r="H61" s="1"/>
      <c r="I61" s="1"/>
      <c r="J61" s="1"/>
      <c r="K61" s="1"/>
      <c r="L61" s="1"/>
    </row>
    <row r="62" spans="1:13">
      <c r="A62" s="1"/>
      <c r="B62" s="1" t="s">
        <v>2170</v>
      </c>
      <c r="C62" s="1"/>
      <c r="D62" s="1"/>
      <c r="E62" s="1"/>
      <c r="F62" s="1"/>
      <c r="G62" s="1"/>
      <c r="H62" s="1"/>
      <c r="I62" s="1"/>
      <c r="J62" s="1"/>
      <c r="K62" s="1"/>
      <c r="L62" s="1"/>
    </row>
    <row r="63" spans="1:13">
      <c r="A63" s="1"/>
      <c r="B63" s="1"/>
      <c r="C63" s="1" t="s">
        <v>2171</v>
      </c>
      <c r="D63" s="1"/>
      <c r="E63" s="231">
        <v>1700</v>
      </c>
      <c r="F63" s="1"/>
      <c r="G63" s="1"/>
      <c r="H63" s="1"/>
      <c r="I63" s="1"/>
      <c r="J63" s="1"/>
      <c r="K63" s="1"/>
      <c r="L63" s="1"/>
    </row>
    <row r="64" spans="1:13">
      <c r="A64" s="1"/>
      <c r="B64" s="1"/>
      <c r="C64" s="1"/>
      <c r="D64" s="1"/>
      <c r="E64" s="1"/>
      <c r="F64" s="1"/>
      <c r="G64" s="1"/>
      <c r="H64" s="1"/>
      <c r="I64" s="1"/>
      <c r="J64" s="1"/>
      <c r="K64" s="1"/>
      <c r="L64" s="1"/>
    </row>
    <row r="66" spans="1:14">
      <c r="A66" s="17" t="s">
        <v>18</v>
      </c>
      <c r="B66" s="1" t="s">
        <v>2172</v>
      </c>
      <c r="C66" s="1"/>
      <c r="D66" s="1"/>
      <c r="E66" s="1"/>
      <c r="F66" s="1"/>
      <c r="G66" s="1"/>
      <c r="H66" s="1"/>
      <c r="I66" s="1"/>
      <c r="J66" s="1"/>
      <c r="K66" s="1"/>
      <c r="L66" s="1"/>
    </row>
    <row r="67" spans="1:14">
      <c r="A67" s="3"/>
      <c r="B67" s="3"/>
      <c r="C67" s="3"/>
      <c r="D67" s="3"/>
      <c r="E67" s="3"/>
      <c r="F67" s="3"/>
      <c r="G67" s="3"/>
      <c r="H67" s="3"/>
      <c r="I67" s="3"/>
      <c r="J67" s="3"/>
      <c r="K67" s="3"/>
      <c r="L67" s="3"/>
    </row>
    <row r="68" spans="1:14">
      <c r="A68" s="3" t="s">
        <v>20</v>
      </c>
      <c r="B68" s="3"/>
      <c r="C68" s="3"/>
      <c r="D68" s="3"/>
      <c r="E68" s="3"/>
      <c r="F68" s="3"/>
      <c r="G68" s="3"/>
      <c r="H68" s="3"/>
      <c r="I68" s="3"/>
      <c r="J68" s="3"/>
      <c r="K68" s="3"/>
      <c r="L68" s="3"/>
    </row>
    <row r="69" spans="1:14">
      <c r="A69" s="3"/>
      <c r="B69" s="3"/>
      <c r="C69" s="3"/>
      <c r="D69" s="3"/>
      <c r="E69" s="3"/>
      <c r="F69" s="3"/>
      <c r="G69" s="3"/>
      <c r="H69" s="240"/>
      <c r="I69" s="3"/>
      <c r="J69" s="3"/>
      <c r="K69" s="3"/>
      <c r="L69" s="3"/>
    </row>
    <row r="70" spans="1:14">
      <c r="A70" s="3"/>
      <c r="B70" s="3" t="s">
        <v>2173</v>
      </c>
      <c r="C70" s="3"/>
      <c r="D70" s="3"/>
      <c r="E70" s="3"/>
      <c r="F70" s="112">
        <f>D26</f>
        <v>7.0599999999999996E-2</v>
      </c>
      <c r="G70" s="3"/>
      <c r="I70" s="3"/>
      <c r="J70" s="3"/>
      <c r="K70" s="3"/>
      <c r="L70" s="3"/>
    </row>
    <row r="71" spans="1:14">
      <c r="B71" s="3" t="s">
        <v>612</v>
      </c>
      <c r="C71" s="3"/>
      <c r="D71" s="3"/>
      <c r="E71" s="3"/>
      <c r="F71" s="443">
        <v>45108</v>
      </c>
      <c r="G71" s="3"/>
    </row>
    <row r="72" spans="1:14">
      <c r="B72" s="3" t="s">
        <v>613</v>
      </c>
      <c r="C72" s="3"/>
      <c r="D72" s="3"/>
      <c r="E72" s="3"/>
      <c r="F72" s="443">
        <f>E29</f>
        <v>45717</v>
      </c>
      <c r="G72" s="3"/>
    </row>
    <row r="73" spans="1:14">
      <c r="B73" s="3" t="s">
        <v>614</v>
      </c>
      <c r="C73" s="3"/>
      <c r="D73" s="3"/>
      <c r="E73" s="3"/>
      <c r="F73" s="94">
        <f>(12*YEAR(F72)+MONTH(F72))-(12*YEAR(F71)+MONTH(F71))</f>
        <v>20</v>
      </c>
      <c r="G73" s="3"/>
      <c r="M73" s="3"/>
      <c r="N73" s="3"/>
    </row>
    <row r="74" spans="1:14">
      <c r="B74" s="3" t="s">
        <v>2174</v>
      </c>
      <c r="C74" s="3"/>
      <c r="D74" s="3"/>
      <c r="E74" s="3"/>
      <c r="F74" s="240">
        <f>E63*(1+F70)^(F73/12)</f>
        <v>1904.7046985737852</v>
      </c>
      <c r="G74" s="3"/>
      <c r="M74" s="3"/>
      <c r="N74" s="3"/>
    </row>
    <row r="76" spans="1:14">
      <c r="A76" s="1"/>
      <c r="B76" s="1"/>
      <c r="C76" s="1"/>
      <c r="D76" s="1"/>
      <c r="E76" s="1"/>
      <c r="F76" s="1"/>
      <c r="G76" s="1"/>
      <c r="H76" s="1"/>
      <c r="I76" s="1"/>
      <c r="J76" s="1"/>
      <c r="K76" s="1"/>
      <c r="L76" s="1"/>
    </row>
    <row r="77" spans="1:14">
      <c r="A77" s="260" t="s">
        <v>2048</v>
      </c>
      <c r="B77" s="1"/>
      <c r="C77" s="1"/>
      <c r="D77" s="1"/>
      <c r="E77" s="1"/>
      <c r="F77" s="1"/>
      <c r="G77" s="1"/>
      <c r="H77" s="1"/>
      <c r="I77" s="1"/>
      <c r="J77" s="1"/>
      <c r="K77" s="1"/>
      <c r="L77" s="1"/>
    </row>
    <row r="78" spans="1:14">
      <c r="A78" s="1"/>
      <c r="B78" s="1" t="s">
        <v>2175</v>
      </c>
      <c r="C78" s="1"/>
      <c r="D78" s="1"/>
      <c r="E78" s="228">
        <v>125</v>
      </c>
      <c r="F78" s="1"/>
      <c r="G78" s="1"/>
      <c r="H78" s="1"/>
      <c r="I78" s="1"/>
      <c r="J78" s="1"/>
      <c r="K78" s="1"/>
      <c r="L78" s="1"/>
    </row>
    <row r="79" spans="1:14">
      <c r="A79" s="1"/>
      <c r="B79" s="1" t="s">
        <v>2176</v>
      </c>
      <c r="C79" s="1"/>
      <c r="D79" s="1"/>
      <c r="E79" s="377">
        <v>0.04</v>
      </c>
      <c r="F79" s="1"/>
      <c r="G79" s="1"/>
      <c r="H79" s="1"/>
      <c r="I79" s="1"/>
      <c r="J79" s="1"/>
      <c r="K79" s="1"/>
      <c r="L79" s="1"/>
    </row>
    <row r="80" spans="1:14">
      <c r="A80" s="1"/>
      <c r="B80" s="1" t="s">
        <v>2177</v>
      </c>
      <c r="C80" s="1"/>
      <c r="D80" s="1"/>
      <c r="E80" s="377">
        <v>0.18</v>
      </c>
      <c r="F80" s="1"/>
      <c r="G80" s="1"/>
      <c r="H80" s="1"/>
      <c r="I80" s="1"/>
      <c r="J80" s="1"/>
      <c r="K80" s="1"/>
      <c r="L80" s="1"/>
    </row>
    <row r="81" spans="1:13">
      <c r="A81" s="1"/>
      <c r="B81" s="1" t="s">
        <v>2178</v>
      </c>
      <c r="C81" s="1"/>
      <c r="D81" s="1"/>
      <c r="E81" s="377">
        <v>0.05</v>
      </c>
      <c r="F81" s="1"/>
      <c r="G81" s="1"/>
      <c r="H81" s="1"/>
      <c r="I81" s="1"/>
      <c r="J81" s="1"/>
      <c r="K81" s="1"/>
      <c r="L81" s="1"/>
    </row>
    <row r="82" spans="1:13">
      <c r="A82" s="1"/>
      <c r="B82" s="1"/>
      <c r="C82" s="1"/>
      <c r="D82" s="1"/>
      <c r="E82" s="1"/>
      <c r="F82" s="1"/>
      <c r="G82" s="1"/>
      <c r="H82" s="1"/>
      <c r="I82" s="1"/>
      <c r="J82" s="1"/>
      <c r="K82" s="1"/>
      <c r="L82" s="1"/>
    </row>
    <row r="84" spans="1:13">
      <c r="A84" s="17" t="s">
        <v>25</v>
      </c>
      <c r="B84" s="1" t="s">
        <v>2179</v>
      </c>
      <c r="C84" s="1"/>
      <c r="D84" s="1"/>
      <c r="E84" s="1"/>
      <c r="F84" s="1"/>
      <c r="G84" s="1"/>
      <c r="H84" s="1"/>
      <c r="I84" s="1"/>
      <c r="J84" s="1"/>
      <c r="K84" s="1"/>
      <c r="L84" s="1"/>
    </row>
    <row r="85" spans="1:13">
      <c r="A85" s="3"/>
      <c r="B85" s="3"/>
      <c r="C85" s="3"/>
      <c r="D85" s="3"/>
      <c r="E85" s="3"/>
      <c r="F85" s="3"/>
      <c r="G85" s="3"/>
      <c r="H85" s="3"/>
      <c r="I85" s="3"/>
      <c r="J85" s="3"/>
      <c r="K85" s="3"/>
      <c r="L85" s="3"/>
    </row>
    <row r="86" spans="1:13">
      <c r="A86" s="3" t="s">
        <v>20</v>
      </c>
      <c r="B86" s="3"/>
      <c r="C86" s="3"/>
      <c r="D86" s="3"/>
      <c r="E86" s="3"/>
      <c r="F86" s="3"/>
      <c r="G86" s="3"/>
      <c r="H86" s="3"/>
      <c r="I86" s="3"/>
      <c r="J86" s="3"/>
      <c r="K86" s="3"/>
      <c r="L86" s="3"/>
    </row>
    <row r="87" spans="1:13">
      <c r="A87" s="3"/>
      <c r="B87" s="414" t="s">
        <v>978</v>
      </c>
      <c r="C87" s="3"/>
      <c r="D87" s="3"/>
      <c r="E87" s="3"/>
      <c r="F87" s="3"/>
      <c r="G87" s="3"/>
      <c r="H87" s="3"/>
      <c r="I87" s="3"/>
      <c r="J87" s="3"/>
      <c r="K87" s="3"/>
      <c r="L87" s="3"/>
    </row>
    <row r="88" spans="1:13">
      <c r="A88" s="3"/>
      <c r="B88" s="945" t="s">
        <v>2180</v>
      </c>
      <c r="C88" s="945"/>
      <c r="D88" s="945"/>
      <c r="E88" s="945"/>
      <c r="F88" s="945"/>
      <c r="G88" s="945"/>
      <c r="H88" s="945"/>
      <c r="I88" s="945"/>
      <c r="J88" s="945"/>
      <c r="K88" s="945"/>
      <c r="L88" s="3"/>
    </row>
    <row r="89" spans="1:13">
      <c r="A89" s="3"/>
      <c r="B89" s="945"/>
      <c r="C89" s="945"/>
      <c r="D89" s="945"/>
      <c r="E89" s="945"/>
      <c r="F89" s="945"/>
      <c r="G89" s="945"/>
      <c r="H89" s="945"/>
      <c r="I89" s="945"/>
      <c r="J89" s="945"/>
      <c r="K89" s="945"/>
      <c r="L89" s="3"/>
    </row>
    <row r="90" spans="1:13">
      <c r="A90" s="3"/>
      <c r="B90" s="3"/>
      <c r="C90" s="3"/>
      <c r="D90" s="3"/>
      <c r="E90" s="3"/>
      <c r="F90" s="3"/>
      <c r="G90" s="3"/>
      <c r="H90" s="3"/>
      <c r="I90" s="3"/>
      <c r="J90" s="3"/>
      <c r="K90" s="3"/>
      <c r="L90" s="3"/>
    </row>
    <row r="91" spans="1:13">
      <c r="A91" s="3"/>
      <c r="B91" s="3" t="s">
        <v>2181</v>
      </c>
      <c r="C91" s="3"/>
      <c r="D91" s="3"/>
      <c r="E91" s="379">
        <f>C54</f>
        <v>1898.1766997770692</v>
      </c>
      <c r="F91" s="3"/>
      <c r="G91" s="3"/>
      <c r="H91" s="3"/>
      <c r="I91" s="3"/>
      <c r="J91" s="3"/>
      <c r="K91" s="3"/>
      <c r="L91" s="3"/>
    </row>
    <row r="92" spans="1:13">
      <c r="A92" s="3"/>
      <c r="B92" s="3" t="s">
        <v>2182</v>
      </c>
      <c r="C92" s="3"/>
      <c r="D92" s="3"/>
      <c r="E92" s="12">
        <f>SUM(E6:E10)</f>
        <v>4341</v>
      </c>
      <c r="F92" s="3"/>
      <c r="G92" s="3"/>
      <c r="H92" s="3"/>
      <c r="I92" s="3"/>
      <c r="J92" s="3"/>
      <c r="K92" s="3"/>
      <c r="L92" s="3"/>
    </row>
    <row r="93" spans="1:13">
      <c r="B93" s="3" t="s">
        <v>2183</v>
      </c>
      <c r="C93" s="3"/>
      <c r="D93" s="3"/>
      <c r="E93" s="259">
        <f>SQRT(E92/D17)</f>
        <v>0.96578777426761608</v>
      </c>
    </row>
    <row r="94" spans="1:13">
      <c r="B94" s="3" t="s">
        <v>2184</v>
      </c>
      <c r="C94" s="3"/>
      <c r="D94" s="3"/>
      <c r="E94" s="379">
        <f>E93*E91+(1-E93)*F74</f>
        <v>1898.4000371454831</v>
      </c>
      <c r="M94" s="3"/>
    </row>
    <row r="95" spans="1:13">
      <c r="B95" s="3" t="s">
        <v>842</v>
      </c>
      <c r="C95" s="3"/>
      <c r="D95" s="3"/>
      <c r="E95" s="379">
        <f>(E94*(1+E79)+E78)/(1-E80-E81)</f>
        <v>2726.4104397809124</v>
      </c>
      <c r="M95" s="3"/>
    </row>
    <row r="97" spans="1:12">
      <c r="A97" s="1"/>
      <c r="B97" s="1"/>
      <c r="C97" s="1"/>
      <c r="D97" s="1"/>
      <c r="E97" s="1"/>
      <c r="F97" s="1"/>
      <c r="G97" s="1"/>
      <c r="H97" s="1"/>
      <c r="I97" s="1"/>
      <c r="J97" s="1"/>
      <c r="K97" s="1"/>
      <c r="L97" s="1"/>
    </row>
    <row r="98" spans="1:12">
      <c r="A98" s="1" t="s">
        <v>2185</v>
      </c>
      <c r="B98" s="1"/>
      <c r="C98" s="1"/>
      <c r="D98" s="1"/>
      <c r="E98" s="1"/>
      <c r="F98" s="1"/>
      <c r="G98" s="1"/>
      <c r="H98" s="1"/>
      <c r="I98" s="1"/>
      <c r="J98" s="1"/>
      <c r="K98" s="1"/>
      <c r="L98" s="1"/>
    </row>
    <row r="99" spans="1:12">
      <c r="A99" s="1"/>
      <c r="B99" s="1"/>
      <c r="C99" s="1"/>
      <c r="D99" s="1"/>
      <c r="E99" s="1"/>
      <c r="F99" s="1"/>
      <c r="G99" s="1"/>
      <c r="H99" s="1"/>
      <c r="I99" s="1"/>
      <c r="J99" s="1"/>
      <c r="K99" s="1"/>
      <c r="L99" s="1"/>
    </row>
    <row r="101" spans="1:12">
      <c r="A101" s="17" t="s">
        <v>147</v>
      </c>
      <c r="B101" s="1" t="s">
        <v>2186</v>
      </c>
      <c r="C101" s="1"/>
      <c r="D101" s="1"/>
      <c r="E101" s="1"/>
      <c r="F101" s="1"/>
      <c r="G101" s="1"/>
      <c r="H101" s="1"/>
      <c r="I101" s="1"/>
      <c r="J101" s="1"/>
      <c r="K101" s="1"/>
      <c r="L101" s="1"/>
    </row>
    <row r="102" spans="1:12">
      <c r="A102" s="3"/>
      <c r="B102" s="3"/>
      <c r="C102" s="3"/>
      <c r="D102" s="3"/>
      <c r="E102" s="3"/>
      <c r="F102" s="3"/>
      <c r="G102" s="3"/>
      <c r="H102" s="3"/>
      <c r="I102" s="3"/>
      <c r="J102" s="3"/>
      <c r="K102" s="3"/>
      <c r="L102" s="3"/>
    </row>
    <row r="103" spans="1:12">
      <c r="A103" s="3" t="s">
        <v>20</v>
      </c>
      <c r="B103" s="3"/>
      <c r="C103" s="3"/>
      <c r="D103" s="3"/>
      <c r="E103" s="3"/>
      <c r="F103" s="3"/>
      <c r="G103" s="3"/>
      <c r="H103" s="3"/>
      <c r="I103" s="3"/>
      <c r="J103" s="3"/>
      <c r="K103" s="3"/>
      <c r="L103" s="3"/>
    </row>
    <row r="104" spans="1:12">
      <c r="A104" s="3"/>
      <c r="B104" s="3" t="s">
        <v>2187</v>
      </c>
      <c r="C104" s="3"/>
      <c r="D104" s="3"/>
      <c r="E104" s="3"/>
      <c r="F104" s="3"/>
      <c r="G104" s="3"/>
      <c r="H104" s="3"/>
      <c r="I104" s="3"/>
      <c r="J104" s="3"/>
      <c r="K104" s="3"/>
      <c r="L104" s="3"/>
    </row>
    <row r="105" spans="1:12">
      <c r="A105" s="3"/>
      <c r="B105" s="3" t="s">
        <v>2188</v>
      </c>
      <c r="C105" s="3"/>
      <c r="D105" s="3"/>
      <c r="E105" s="3"/>
      <c r="F105" s="3"/>
      <c r="G105" s="3"/>
      <c r="H105" s="3"/>
      <c r="I105" s="3"/>
      <c r="J105" s="3"/>
      <c r="K105" s="3"/>
      <c r="L105" s="3"/>
    </row>
    <row r="106" spans="1:12">
      <c r="B106" s="2" t="s">
        <v>2189</v>
      </c>
    </row>
  </sheetData>
  <mergeCells count="1">
    <mergeCell ref="B88:K89"/>
  </mergeCells>
  <hyperlinks>
    <hyperlink ref="O1" location="TOC!A1" display="Table of Contents" xr:uid="{6D5B8E46-B8F2-4520-B4F5-B0C43948E759}"/>
  </hyperlinks>
  <pageMargins left="0.7" right="0.7" top="0.75" bottom="0.75" header="0.3" footer="0.3"/>
  <pageSetup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3939-46A8-4C81-AFE4-82FC2F1D6EE3}">
  <dimension ref="A1:R95"/>
  <sheetViews>
    <sheetView zoomScaleNormal="100" workbookViewId="0"/>
  </sheetViews>
  <sheetFormatPr defaultColWidth="8.88671875" defaultRowHeight="15.6"/>
  <cols>
    <col min="1" max="9" width="11.77734375" style="2" customWidth="1"/>
    <col min="10" max="16384" width="8.88671875" style="2"/>
  </cols>
  <sheetData>
    <row r="1" spans="1:15" ht="17.399999999999999">
      <c r="A1" s="13" t="s">
        <v>2276</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1719</v>
      </c>
      <c r="B3" s="1"/>
      <c r="C3" s="1"/>
      <c r="D3" s="1"/>
      <c r="E3" s="1"/>
      <c r="F3" s="1"/>
      <c r="G3" s="1"/>
      <c r="H3" s="1"/>
      <c r="I3" s="1"/>
      <c r="J3" s="1"/>
      <c r="K3" s="1"/>
      <c r="L3" s="14"/>
    </row>
    <row r="4" spans="1:15">
      <c r="A4" s="43"/>
      <c r="B4" s="1"/>
      <c r="C4" s="1"/>
      <c r="D4" s="1"/>
      <c r="E4" s="1"/>
      <c r="F4" s="1"/>
      <c r="G4" s="1"/>
      <c r="H4" s="1"/>
      <c r="I4" s="1"/>
      <c r="J4" s="1"/>
      <c r="K4" s="1"/>
      <c r="L4" s="1"/>
    </row>
    <row r="5" spans="1:15">
      <c r="A5" s="43"/>
      <c r="B5" s="163" t="s">
        <v>53</v>
      </c>
      <c r="C5" s="853" t="s">
        <v>88</v>
      </c>
      <c r="D5" s="841"/>
      <c r="E5" s="841"/>
      <c r="F5" s="841"/>
      <c r="G5" s="841"/>
      <c r="H5" s="841"/>
      <c r="I5" s="841"/>
      <c r="J5" s="1"/>
      <c r="K5" s="1"/>
      <c r="L5" s="1"/>
    </row>
    <row r="6" spans="1:15">
      <c r="A6" s="43"/>
      <c r="B6" s="166" t="s">
        <v>55</v>
      </c>
      <c r="C6" s="193">
        <v>12</v>
      </c>
      <c r="D6" s="27">
        <v>24</v>
      </c>
      <c r="E6" s="27">
        <v>36</v>
      </c>
      <c r="F6" s="27">
        <v>48</v>
      </c>
      <c r="G6" s="27">
        <v>60</v>
      </c>
      <c r="H6" s="27">
        <v>72</v>
      </c>
      <c r="I6" s="27">
        <v>84</v>
      </c>
      <c r="J6" s="1"/>
      <c r="K6" s="1"/>
      <c r="L6" s="1"/>
    </row>
    <row r="7" spans="1:15">
      <c r="A7" s="43"/>
      <c r="B7" s="197">
        <v>2016</v>
      </c>
      <c r="C7" s="92">
        <v>1826</v>
      </c>
      <c r="D7" s="92">
        <v>2742</v>
      </c>
      <c r="E7" s="92">
        <v>2948</v>
      </c>
      <c r="F7" s="92">
        <v>3174</v>
      </c>
      <c r="G7" s="92">
        <v>3239</v>
      </c>
      <c r="H7" s="92">
        <v>3248</v>
      </c>
      <c r="I7" s="92">
        <v>3248</v>
      </c>
      <c r="J7" s="1"/>
      <c r="K7" s="1"/>
      <c r="L7" s="1"/>
    </row>
    <row r="8" spans="1:15">
      <c r="A8" s="43"/>
      <c r="B8" s="32">
        <v>2017</v>
      </c>
      <c r="C8" s="92">
        <v>2296</v>
      </c>
      <c r="D8" s="92">
        <v>3656</v>
      </c>
      <c r="E8" s="92">
        <v>3928</v>
      </c>
      <c r="F8" s="92">
        <v>4230</v>
      </c>
      <c r="G8" s="92">
        <v>4458</v>
      </c>
      <c r="H8" s="92">
        <v>4506</v>
      </c>
      <c r="I8" s="32"/>
      <c r="J8" s="1"/>
      <c r="K8" s="1"/>
      <c r="L8" s="1"/>
    </row>
    <row r="9" spans="1:15">
      <c r="A9" s="1"/>
      <c r="B9" s="32">
        <v>2018</v>
      </c>
      <c r="C9" s="92">
        <v>3064</v>
      </c>
      <c r="D9" s="92">
        <v>4932</v>
      </c>
      <c r="E9" s="92">
        <v>5465</v>
      </c>
      <c r="F9" s="92">
        <v>6104</v>
      </c>
      <c r="G9" s="92">
        <v>6373</v>
      </c>
      <c r="H9" s="32"/>
      <c r="I9" s="32"/>
      <c r="J9" s="1"/>
      <c r="K9" s="1"/>
      <c r="L9" s="1"/>
    </row>
    <row r="10" spans="1:15">
      <c r="A10" s="1"/>
      <c r="B10" s="32">
        <v>2019</v>
      </c>
      <c r="C10" s="92">
        <v>2327</v>
      </c>
      <c r="D10" s="92">
        <v>3675</v>
      </c>
      <c r="E10" s="92">
        <v>4522</v>
      </c>
      <c r="F10" s="92">
        <v>5124</v>
      </c>
      <c r="G10" s="32"/>
      <c r="H10" s="32"/>
      <c r="I10" s="32"/>
      <c r="J10" s="1"/>
      <c r="K10" s="1"/>
      <c r="L10" s="1"/>
    </row>
    <row r="11" spans="1:15">
      <c r="A11" s="43"/>
      <c r="B11" s="32">
        <v>2020</v>
      </c>
      <c r="C11" s="92">
        <v>2691</v>
      </c>
      <c r="D11" s="92">
        <v>4495</v>
      </c>
      <c r="E11" s="92">
        <v>4924</v>
      </c>
      <c r="F11" s="32"/>
      <c r="G11" s="32"/>
      <c r="H11" s="32"/>
      <c r="I11" s="32"/>
      <c r="J11" s="1"/>
      <c r="K11" s="1"/>
      <c r="L11" s="1"/>
    </row>
    <row r="12" spans="1:15">
      <c r="A12" s="1"/>
      <c r="B12" s="32">
        <v>2021</v>
      </c>
      <c r="C12" s="92">
        <v>2497</v>
      </c>
      <c r="D12" s="92">
        <v>5025</v>
      </c>
      <c r="E12" s="32"/>
      <c r="F12" s="32"/>
      <c r="G12" s="32"/>
      <c r="H12" s="32"/>
      <c r="I12" s="32"/>
      <c r="J12" s="1"/>
      <c r="K12" s="1"/>
      <c r="L12" s="1"/>
    </row>
    <row r="13" spans="1:15">
      <c r="A13" s="1"/>
      <c r="B13" s="32">
        <v>2022</v>
      </c>
      <c r="C13" s="92">
        <v>3740</v>
      </c>
      <c r="D13" s="32"/>
      <c r="E13" s="32"/>
      <c r="F13" s="32"/>
      <c r="G13" s="32"/>
      <c r="H13" s="32"/>
      <c r="I13" s="32"/>
      <c r="J13" s="1"/>
      <c r="K13" s="1"/>
      <c r="L13" s="1"/>
    </row>
    <row r="14" spans="1:15">
      <c r="A14" s="1"/>
      <c r="B14" s="1"/>
      <c r="C14" s="1"/>
      <c r="D14" s="1"/>
      <c r="E14" s="1"/>
      <c r="F14" s="1"/>
      <c r="G14" s="1"/>
      <c r="H14" s="1"/>
      <c r="I14" s="1"/>
      <c r="J14" s="1"/>
      <c r="K14" s="1"/>
      <c r="L14" s="1"/>
    </row>
    <row r="15" spans="1:15">
      <c r="A15" s="1"/>
      <c r="B15" s="834" t="s">
        <v>53</v>
      </c>
      <c r="C15" s="852"/>
      <c r="D15" s="841" t="s">
        <v>1501</v>
      </c>
      <c r="E15" s="841"/>
      <c r="F15" s="841"/>
      <c r="G15" s="841"/>
      <c r="H15" s="841"/>
      <c r="I15" s="841"/>
      <c r="J15" s="1"/>
      <c r="K15" s="1"/>
      <c r="L15" s="1"/>
    </row>
    <row r="16" spans="1:15">
      <c r="A16" s="1"/>
      <c r="B16" s="836" t="s">
        <v>55</v>
      </c>
      <c r="C16" s="854"/>
      <c r="D16" s="682" t="s">
        <v>991</v>
      </c>
      <c r="E16" s="27" t="s">
        <v>992</v>
      </c>
      <c r="F16" s="27" t="s">
        <v>993</v>
      </c>
      <c r="G16" s="27" t="s">
        <v>994</v>
      </c>
      <c r="H16" s="27" t="s">
        <v>995</v>
      </c>
      <c r="I16" s="27" t="s">
        <v>996</v>
      </c>
      <c r="J16" s="1"/>
      <c r="K16" s="1"/>
      <c r="L16" s="1"/>
    </row>
    <row r="17" spans="1:18" ht="35.4" customHeight="1">
      <c r="A17" s="1"/>
      <c r="B17" s="946" t="s">
        <v>2190</v>
      </c>
      <c r="C17" s="947"/>
      <c r="D17" s="184">
        <v>1.6679999999999999</v>
      </c>
      <c r="E17" s="184">
        <v>1.117</v>
      </c>
      <c r="F17" s="184">
        <v>1.105</v>
      </c>
      <c r="G17" s="184">
        <v>1.042</v>
      </c>
      <c r="H17" s="184">
        <v>1.0069999999999999</v>
      </c>
      <c r="I17" s="184">
        <v>1</v>
      </c>
      <c r="J17" s="1"/>
      <c r="K17" s="1"/>
      <c r="L17" s="1"/>
    </row>
    <row r="18" spans="1:18">
      <c r="A18" s="1"/>
      <c r="B18" s="1"/>
      <c r="C18" s="1"/>
      <c r="D18" s="1"/>
      <c r="E18" s="1"/>
      <c r="F18" s="1"/>
      <c r="G18" s="1"/>
      <c r="H18" s="1"/>
      <c r="I18" s="1"/>
      <c r="J18" s="1"/>
      <c r="K18" s="1"/>
      <c r="L18" s="1"/>
    </row>
    <row r="19" spans="1:18">
      <c r="A19" s="1"/>
      <c r="B19" s="1" t="s">
        <v>2191</v>
      </c>
      <c r="C19" s="1"/>
      <c r="D19" s="1"/>
      <c r="E19" s="1"/>
      <c r="F19" s="1"/>
      <c r="G19" s="1"/>
      <c r="H19" s="1"/>
      <c r="I19" s="1"/>
      <c r="J19" s="1"/>
      <c r="K19" s="1"/>
      <c r="L19" s="1"/>
    </row>
    <row r="20" spans="1:18">
      <c r="A20" s="1"/>
      <c r="B20" s="1" t="s">
        <v>2192</v>
      </c>
      <c r="C20" s="1"/>
      <c r="D20" s="1"/>
      <c r="E20" s="1"/>
      <c r="F20" s="1"/>
      <c r="G20" s="1"/>
      <c r="H20" s="1"/>
      <c r="I20" s="1"/>
      <c r="J20" s="1"/>
      <c r="K20" s="1"/>
      <c r="L20" s="1"/>
    </row>
    <row r="21" spans="1:18">
      <c r="A21" s="1"/>
      <c r="B21" s="1" t="s">
        <v>2193</v>
      </c>
      <c r="C21" s="1"/>
      <c r="D21" s="1"/>
      <c r="E21" s="1"/>
      <c r="F21" s="1"/>
      <c r="G21" s="1"/>
      <c r="H21" s="1"/>
      <c r="I21" s="1"/>
      <c r="J21" s="1"/>
      <c r="K21" s="1"/>
      <c r="L21" s="1"/>
    </row>
    <row r="22" spans="1:18">
      <c r="A22" s="1"/>
      <c r="B22" s="1"/>
      <c r="C22" s="1" t="s">
        <v>2194</v>
      </c>
      <c r="D22" s="1"/>
      <c r="E22" s="1"/>
      <c r="F22" s="231">
        <v>500000</v>
      </c>
      <c r="G22" s="1"/>
      <c r="H22" s="1"/>
      <c r="I22" s="1"/>
      <c r="J22" s="1"/>
      <c r="K22" s="1"/>
      <c r="L22" s="1"/>
    </row>
    <row r="23" spans="1:18">
      <c r="A23" s="1"/>
      <c r="B23" s="1" t="s">
        <v>2195</v>
      </c>
      <c r="C23" s="1"/>
      <c r="D23" s="1"/>
      <c r="E23" s="1"/>
      <c r="F23" s="1"/>
      <c r="G23" s="1"/>
      <c r="H23" s="1"/>
      <c r="I23" s="1"/>
      <c r="J23" s="1"/>
      <c r="K23" s="1"/>
      <c r="L23" s="1"/>
    </row>
    <row r="24" spans="1:18">
      <c r="A24" s="1"/>
      <c r="B24" s="1"/>
      <c r="C24" s="1" t="s">
        <v>2196</v>
      </c>
      <c r="D24" s="1"/>
      <c r="E24" s="1"/>
      <c r="F24" s="231">
        <v>1000000</v>
      </c>
      <c r="G24" s="1"/>
      <c r="H24" s="1"/>
      <c r="I24" s="1"/>
      <c r="J24" s="1"/>
      <c r="K24" s="1"/>
      <c r="L24" s="1"/>
    </row>
    <row r="25" spans="1:18">
      <c r="A25" s="1"/>
      <c r="B25" s="1" t="s">
        <v>2197</v>
      </c>
      <c r="C25" s="1"/>
      <c r="D25" s="1"/>
      <c r="E25" s="1"/>
      <c r="F25" s="1"/>
      <c r="G25" s="1"/>
      <c r="H25" s="1"/>
      <c r="I25" s="1"/>
      <c r="J25" s="1"/>
      <c r="K25" s="1"/>
      <c r="L25" s="1"/>
    </row>
    <row r="26" spans="1:18">
      <c r="A26" s="1"/>
      <c r="B26" s="1"/>
      <c r="C26" s="1"/>
      <c r="D26" s="1"/>
      <c r="E26" s="1"/>
      <c r="F26" s="1"/>
      <c r="G26" s="1"/>
      <c r="H26" s="1"/>
      <c r="I26" s="1"/>
      <c r="J26" s="1"/>
      <c r="K26" s="1"/>
      <c r="L26" s="1"/>
    </row>
    <row r="27" spans="1:18">
      <c r="A27" s="260" t="s">
        <v>2198</v>
      </c>
      <c r="B27" s="1"/>
      <c r="C27" s="1"/>
      <c r="D27" s="1"/>
      <c r="E27" s="1"/>
      <c r="F27" s="1"/>
      <c r="G27" s="1"/>
      <c r="H27" s="1"/>
      <c r="I27" s="1"/>
      <c r="J27" s="1"/>
      <c r="K27" s="1"/>
      <c r="L27" s="1"/>
    </row>
    <row r="28" spans="1:18">
      <c r="A28" s="1"/>
      <c r="B28" s="1"/>
      <c r="C28" s="1"/>
      <c r="D28" s="1"/>
      <c r="E28" s="1"/>
      <c r="F28" s="1"/>
      <c r="G28" s="1"/>
      <c r="H28" s="1"/>
      <c r="I28" s="1"/>
      <c r="J28" s="1"/>
      <c r="K28" s="1"/>
      <c r="L28" s="1"/>
    </row>
    <row r="29" spans="1:18">
      <c r="A29" s="3"/>
      <c r="B29" s="3"/>
      <c r="C29" s="3"/>
      <c r="D29" s="3"/>
      <c r="E29" s="3"/>
      <c r="F29" s="3"/>
      <c r="G29" s="3"/>
      <c r="H29" s="3"/>
      <c r="I29" s="3"/>
      <c r="J29" s="3"/>
      <c r="K29" s="3"/>
      <c r="L29" s="3"/>
    </row>
    <row r="30" spans="1:18">
      <c r="A30" s="17" t="s">
        <v>91</v>
      </c>
      <c r="B30" s="1" t="s">
        <v>2199</v>
      </c>
      <c r="C30" s="1"/>
      <c r="D30" s="1"/>
      <c r="E30" s="1"/>
      <c r="F30" s="1"/>
      <c r="G30" s="1"/>
      <c r="H30" s="1"/>
      <c r="I30" s="1"/>
      <c r="J30" s="1"/>
      <c r="K30" s="1"/>
      <c r="L30" s="1"/>
      <c r="M30" s="9"/>
      <c r="N30" s="9"/>
      <c r="O30" s="9"/>
      <c r="P30" s="9"/>
      <c r="Q30" s="9"/>
      <c r="R30" s="9"/>
    </row>
    <row r="31" spans="1:18">
      <c r="A31" s="3"/>
      <c r="B31" s="3"/>
      <c r="C31" s="3"/>
      <c r="D31" s="3"/>
      <c r="E31" s="3"/>
      <c r="F31" s="3"/>
      <c r="G31" s="3"/>
      <c r="H31" s="3"/>
      <c r="I31" s="3"/>
      <c r="J31" s="3"/>
      <c r="K31" s="3"/>
      <c r="L31" s="3"/>
      <c r="M31" s="3"/>
    </row>
    <row r="32" spans="1:18">
      <c r="A32" s="3" t="s">
        <v>20</v>
      </c>
      <c r="B32" s="3"/>
      <c r="C32" s="3"/>
      <c r="D32" s="3"/>
      <c r="E32" s="3"/>
      <c r="F32" s="3"/>
      <c r="G32" s="3"/>
      <c r="H32" s="3"/>
      <c r="I32" s="3"/>
      <c r="J32" s="3"/>
      <c r="K32" s="3"/>
      <c r="L32" s="3"/>
      <c r="M32" s="3"/>
      <c r="N32" s="9"/>
    </row>
    <row r="33" spans="1:14">
      <c r="A33" s="3"/>
      <c r="B33" s="3"/>
      <c r="C33" s="3"/>
      <c r="D33" s="3"/>
      <c r="E33" s="3"/>
      <c r="F33" s="3"/>
      <c r="G33" s="3"/>
      <c r="H33" s="3"/>
      <c r="I33" s="3"/>
      <c r="J33" s="3"/>
      <c r="K33" s="3"/>
      <c r="L33" s="3"/>
      <c r="M33" s="3"/>
      <c r="N33" s="9"/>
    </row>
    <row r="34" spans="1:14">
      <c r="A34" s="3" t="s">
        <v>2200</v>
      </c>
      <c r="B34" s="3"/>
      <c r="C34" s="3"/>
      <c r="D34" s="3"/>
      <c r="E34" s="3"/>
      <c r="F34" s="3"/>
      <c r="G34" s="3"/>
      <c r="H34" s="3"/>
      <c r="I34" s="3"/>
      <c r="J34" s="3"/>
      <c r="K34" s="3"/>
      <c r="L34" s="3"/>
      <c r="M34" s="3"/>
      <c r="N34" s="9"/>
    </row>
    <row r="36" spans="1:14">
      <c r="A36" s="17" t="s">
        <v>133</v>
      </c>
      <c r="B36" s="1" t="s">
        <v>2201</v>
      </c>
      <c r="C36" s="1"/>
      <c r="D36" s="1"/>
      <c r="E36" s="1"/>
      <c r="F36" s="1"/>
      <c r="G36" s="1"/>
      <c r="H36" s="1"/>
      <c r="I36" s="1"/>
      <c r="J36" s="1"/>
      <c r="K36" s="1"/>
      <c r="L36" s="1"/>
    </row>
    <row r="37" spans="1:14">
      <c r="A37" s="3"/>
      <c r="B37" s="3"/>
      <c r="C37" s="3"/>
      <c r="D37" s="3"/>
      <c r="E37" s="3"/>
      <c r="F37" s="3"/>
      <c r="G37" s="3"/>
      <c r="H37" s="3"/>
      <c r="I37" s="3"/>
      <c r="J37" s="3"/>
      <c r="K37" s="3"/>
      <c r="L37" s="3"/>
    </row>
    <row r="38" spans="1:14">
      <c r="A38" s="3" t="s">
        <v>20</v>
      </c>
      <c r="B38" s="3"/>
      <c r="C38" s="3"/>
      <c r="D38" s="3"/>
      <c r="E38" s="3"/>
      <c r="F38" s="3"/>
      <c r="G38" s="3"/>
      <c r="H38" s="3"/>
      <c r="I38" s="3"/>
      <c r="J38" s="3"/>
      <c r="K38" s="3"/>
      <c r="L38" s="3"/>
    </row>
    <row r="39" spans="1:14">
      <c r="A39" s="3"/>
      <c r="B39" s="3"/>
      <c r="C39" s="3"/>
      <c r="D39" s="3"/>
      <c r="E39" s="3"/>
      <c r="F39" s="3"/>
      <c r="G39" s="3"/>
      <c r="H39" s="3"/>
      <c r="I39" s="3"/>
      <c r="J39" s="3"/>
      <c r="K39" s="3"/>
      <c r="L39" s="3"/>
    </row>
    <row r="40" spans="1:14">
      <c r="A40" s="3" t="s">
        <v>2202</v>
      </c>
      <c r="B40" s="3"/>
      <c r="C40" s="3"/>
      <c r="D40" s="3"/>
      <c r="E40" s="3"/>
      <c r="F40" s="3"/>
      <c r="G40" s="3"/>
      <c r="H40" s="3"/>
      <c r="I40" s="3"/>
      <c r="J40" s="3"/>
      <c r="K40" s="3"/>
      <c r="L40" s="3"/>
    </row>
    <row r="41" spans="1:14">
      <c r="A41" s="3"/>
      <c r="B41" s="3"/>
      <c r="C41" s="3"/>
      <c r="D41" s="3"/>
      <c r="E41" s="3"/>
      <c r="F41" s="3"/>
      <c r="G41" s="3"/>
      <c r="H41" s="3"/>
      <c r="I41" s="3"/>
      <c r="J41" s="3"/>
      <c r="K41" s="3"/>
      <c r="L41" s="3"/>
    </row>
    <row r="42" spans="1:14">
      <c r="A42" s="465" t="s">
        <v>2203</v>
      </c>
      <c r="B42" s="3"/>
      <c r="C42" s="3"/>
      <c r="D42" s="3"/>
      <c r="E42" s="3"/>
      <c r="F42" s="3"/>
      <c r="G42" s="3"/>
      <c r="H42" s="3"/>
      <c r="I42" s="3"/>
      <c r="J42" s="3"/>
      <c r="K42" s="3"/>
      <c r="L42" s="3"/>
    </row>
    <row r="44" spans="1:14">
      <c r="A44" s="17" t="s">
        <v>18</v>
      </c>
      <c r="B44" s="1" t="s">
        <v>2204</v>
      </c>
      <c r="C44" s="1"/>
      <c r="D44" s="1"/>
      <c r="E44" s="1"/>
      <c r="F44" s="1"/>
      <c r="G44" s="1"/>
      <c r="H44" s="1"/>
      <c r="I44" s="1"/>
      <c r="J44" s="1"/>
      <c r="K44" s="1"/>
      <c r="L44" s="1"/>
    </row>
    <row r="45" spans="1:14">
      <c r="A45" s="3"/>
      <c r="B45" s="3"/>
      <c r="C45" s="3"/>
      <c r="D45" s="3"/>
      <c r="E45" s="3"/>
      <c r="F45" s="3"/>
      <c r="G45" s="3"/>
      <c r="H45" s="3"/>
      <c r="I45" s="3"/>
      <c r="J45" s="3"/>
      <c r="K45" s="3"/>
      <c r="L45" s="3"/>
    </row>
    <row r="46" spans="1:14">
      <c r="A46" s="3" t="s">
        <v>20</v>
      </c>
      <c r="B46" s="3"/>
      <c r="C46" s="3"/>
      <c r="D46" s="3"/>
      <c r="E46" s="3"/>
      <c r="F46" s="3"/>
      <c r="G46" s="3"/>
      <c r="H46" s="3"/>
      <c r="I46" s="3"/>
      <c r="J46" s="3"/>
      <c r="K46" s="3"/>
      <c r="L46" s="3"/>
    </row>
    <row r="48" spans="1:14">
      <c r="A48" s="3" t="s">
        <v>2205</v>
      </c>
    </row>
    <row r="50" spans="1:12">
      <c r="B50" s="268" t="s">
        <v>53</v>
      </c>
      <c r="C50" s="885" t="s">
        <v>88</v>
      </c>
      <c r="D50" s="885"/>
      <c r="E50" s="885"/>
      <c r="F50" s="885"/>
      <c r="G50" s="885"/>
      <c r="H50" s="885"/>
      <c r="I50" s="885"/>
    </row>
    <row r="51" spans="1:12">
      <c r="A51" s="3"/>
      <c r="B51" s="271" t="s">
        <v>55</v>
      </c>
      <c r="C51" s="271">
        <v>12</v>
      </c>
      <c r="D51" s="271">
        <v>24</v>
      </c>
      <c r="E51" s="271">
        <v>36</v>
      </c>
      <c r="F51" s="271">
        <v>48</v>
      </c>
      <c r="G51" s="271">
        <v>60</v>
      </c>
      <c r="H51" s="271">
        <v>72</v>
      </c>
      <c r="I51" s="271">
        <v>84</v>
      </c>
      <c r="J51" s="94"/>
      <c r="K51" s="274" t="s">
        <v>2206</v>
      </c>
      <c r="L51" s="34"/>
    </row>
    <row r="52" spans="1:12">
      <c r="A52" s="3"/>
      <c r="B52" s="94">
        <f t="shared" ref="B52:I56" si="0">B7</f>
        <v>2016</v>
      </c>
      <c r="C52" s="106">
        <f t="shared" si="0"/>
        <v>1826</v>
      </c>
      <c r="D52" s="106">
        <f t="shared" si="0"/>
        <v>2742</v>
      </c>
      <c r="E52" s="106">
        <f t="shared" si="0"/>
        <v>2948</v>
      </c>
      <c r="F52" s="106">
        <f t="shared" si="0"/>
        <v>3174</v>
      </c>
      <c r="G52" s="106">
        <f t="shared" si="0"/>
        <v>3239</v>
      </c>
      <c r="H52" s="106">
        <f t="shared" si="0"/>
        <v>3248</v>
      </c>
      <c r="I52" s="106">
        <f t="shared" si="0"/>
        <v>3248</v>
      </c>
      <c r="J52" s="94"/>
      <c r="K52" s="94"/>
      <c r="L52" s="34"/>
    </row>
    <row r="53" spans="1:12">
      <c r="A53" s="3"/>
      <c r="B53" s="94">
        <f t="shared" si="0"/>
        <v>2017</v>
      </c>
      <c r="C53" s="106">
        <f t="shared" si="0"/>
        <v>2296</v>
      </c>
      <c r="D53" s="106">
        <f t="shared" si="0"/>
        <v>3656</v>
      </c>
      <c r="E53" s="106">
        <f t="shared" si="0"/>
        <v>3928</v>
      </c>
      <c r="F53" s="106">
        <f t="shared" si="0"/>
        <v>4230</v>
      </c>
      <c r="G53" s="106">
        <f t="shared" si="0"/>
        <v>4458</v>
      </c>
      <c r="H53" s="106">
        <f t="shared" si="0"/>
        <v>4506</v>
      </c>
      <c r="I53" s="106"/>
      <c r="J53" s="94"/>
      <c r="K53" s="94"/>
      <c r="L53" s="34"/>
    </row>
    <row r="54" spans="1:12">
      <c r="A54" s="3"/>
      <c r="B54" s="94">
        <f t="shared" si="0"/>
        <v>2018</v>
      </c>
      <c r="C54" s="106">
        <f t="shared" si="0"/>
        <v>3064</v>
      </c>
      <c r="D54" s="106">
        <f t="shared" si="0"/>
        <v>4932</v>
      </c>
      <c r="E54" s="106">
        <f t="shared" si="0"/>
        <v>5465</v>
      </c>
      <c r="F54" s="106">
        <f t="shared" si="0"/>
        <v>6104</v>
      </c>
      <c r="G54" s="106">
        <f t="shared" si="0"/>
        <v>6373</v>
      </c>
      <c r="H54" s="106"/>
      <c r="I54" s="106"/>
      <c r="J54" s="94"/>
      <c r="K54" s="94"/>
      <c r="L54" s="34"/>
    </row>
    <row r="55" spans="1:12" ht="16.2">
      <c r="A55" s="3"/>
      <c r="B55" s="94">
        <f t="shared" si="0"/>
        <v>2019</v>
      </c>
      <c r="C55" s="106">
        <f t="shared" si="0"/>
        <v>2327</v>
      </c>
      <c r="D55" s="106">
        <f t="shared" si="0"/>
        <v>3675</v>
      </c>
      <c r="E55" s="683">
        <f>E10-$K55</f>
        <v>4022</v>
      </c>
      <c r="F55" s="683">
        <f>F10-$K55</f>
        <v>4624</v>
      </c>
      <c r="G55" s="94"/>
      <c r="H55" s="94"/>
      <c r="I55" s="94"/>
      <c r="J55" s="94"/>
      <c r="K55" s="94">
        <f>F22/1000</f>
        <v>500</v>
      </c>
      <c r="L55" s="34"/>
    </row>
    <row r="56" spans="1:12">
      <c r="A56" s="3"/>
      <c r="B56" s="94">
        <f t="shared" si="0"/>
        <v>2020</v>
      </c>
      <c r="C56" s="106">
        <f t="shared" si="0"/>
        <v>2691</v>
      </c>
      <c r="D56" s="106">
        <f t="shared" si="0"/>
        <v>4495</v>
      </c>
      <c r="E56" s="106">
        <f>E11</f>
        <v>4924</v>
      </c>
      <c r="F56" s="94"/>
      <c r="G56" s="94"/>
      <c r="H56" s="94"/>
      <c r="I56" s="94"/>
      <c r="J56" s="94"/>
      <c r="K56" s="94"/>
      <c r="L56" s="34"/>
    </row>
    <row r="57" spans="1:12" ht="16.2">
      <c r="A57" s="3"/>
      <c r="B57" s="94">
        <f>B12</f>
        <v>2021</v>
      </c>
      <c r="C57" s="106">
        <f>C12</f>
        <v>2497</v>
      </c>
      <c r="D57" s="683">
        <f>D12-K57</f>
        <v>4025</v>
      </c>
      <c r="E57" s="94"/>
      <c r="F57" s="94"/>
      <c r="G57" s="94"/>
      <c r="H57" s="94"/>
      <c r="I57" s="94"/>
      <c r="J57" s="94"/>
      <c r="K57" s="106">
        <f>F24/1000</f>
        <v>1000</v>
      </c>
      <c r="L57" s="34"/>
    </row>
    <row r="58" spans="1:12">
      <c r="A58" s="3"/>
      <c r="B58" s="94">
        <f>B13</f>
        <v>2022</v>
      </c>
      <c r="C58" s="106">
        <f>C13</f>
        <v>3740</v>
      </c>
      <c r="D58" s="94"/>
      <c r="E58" s="94"/>
      <c r="F58" s="94"/>
      <c r="G58" s="94"/>
      <c r="H58" s="94"/>
      <c r="I58" s="94"/>
      <c r="J58" s="94"/>
      <c r="K58" s="94"/>
      <c r="L58" s="34"/>
    </row>
    <row r="59" spans="1:12">
      <c r="A59" s="3"/>
      <c r="B59" s="3"/>
      <c r="C59" s="3"/>
      <c r="D59" s="3"/>
      <c r="E59" s="3"/>
      <c r="F59" s="3"/>
      <c r="G59" s="3"/>
      <c r="H59" s="3"/>
      <c r="I59" s="3"/>
      <c r="J59" s="3"/>
      <c r="K59" s="3"/>
    </row>
    <row r="60" spans="1:12">
      <c r="A60" s="3"/>
      <c r="B60" s="3"/>
      <c r="C60" s="3"/>
      <c r="D60" s="3"/>
      <c r="E60" s="3"/>
      <c r="F60" s="3"/>
      <c r="G60" s="3"/>
      <c r="H60" s="3"/>
      <c r="I60" s="3"/>
      <c r="J60" s="3"/>
      <c r="K60" s="3"/>
    </row>
    <row r="61" spans="1:12">
      <c r="A61" s="3" t="s">
        <v>2207</v>
      </c>
      <c r="B61" s="3"/>
      <c r="C61" s="3"/>
      <c r="D61" s="3"/>
      <c r="E61" s="3"/>
      <c r="F61" s="3"/>
      <c r="G61" s="3"/>
      <c r="H61" s="3"/>
      <c r="I61" s="3"/>
      <c r="J61" s="3"/>
      <c r="K61" s="3"/>
    </row>
    <row r="62" spans="1:12">
      <c r="A62" s="3"/>
      <c r="B62" s="3"/>
      <c r="C62" s="684" t="s">
        <v>991</v>
      </c>
      <c r="D62" s="684" t="s">
        <v>992</v>
      </c>
      <c r="E62" s="478" t="s">
        <v>993</v>
      </c>
      <c r="F62" s="478" t="s">
        <v>994</v>
      </c>
      <c r="G62" s="478" t="s">
        <v>995</v>
      </c>
      <c r="H62" s="478" t="s">
        <v>996</v>
      </c>
      <c r="I62" s="3"/>
      <c r="J62" s="3"/>
      <c r="K62" s="3"/>
    </row>
    <row r="63" spans="1:12">
      <c r="A63" s="3"/>
      <c r="B63" s="3"/>
      <c r="C63" s="105">
        <f t="shared" ref="C63:H63" si="1">D52/C52</f>
        <v>1.5016429353778751</v>
      </c>
      <c r="D63" s="105">
        <f t="shared" si="1"/>
        <v>1.075127644055434</v>
      </c>
      <c r="E63" s="105">
        <f t="shared" si="1"/>
        <v>1.0766621438263229</v>
      </c>
      <c r="F63" s="105">
        <f t="shared" si="1"/>
        <v>1.0204788909892879</v>
      </c>
      <c r="G63" s="105">
        <f t="shared" si="1"/>
        <v>1.0027786353812904</v>
      </c>
      <c r="H63" s="105">
        <f t="shared" si="1"/>
        <v>1</v>
      </c>
      <c r="I63" s="3"/>
      <c r="J63" s="3"/>
      <c r="K63" s="3"/>
    </row>
    <row r="64" spans="1:12">
      <c r="A64" s="3"/>
      <c r="B64" s="3"/>
      <c r="C64" s="105">
        <f>D53/C53</f>
        <v>1.5923344947735192</v>
      </c>
      <c r="D64" s="105">
        <f>E53/D53</f>
        <v>1.074398249452954</v>
      </c>
      <c r="E64" s="105">
        <f>F53/E53</f>
        <v>1.0768839103869654</v>
      </c>
      <c r="F64" s="105">
        <f>G53/F53</f>
        <v>1.0539007092198582</v>
      </c>
      <c r="G64" s="105">
        <f>H53/G53</f>
        <v>1.0107671601615074</v>
      </c>
      <c r="H64" s="105"/>
      <c r="I64" s="3"/>
      <c r="J64" s="3"/>
      <c r="K64" s="3"/>
    </row>
    <row r="65" spans="1:14">
      <c r="A65" s="3"/>
      <c r="B65" s="3"/>
      <c r="C65" s="105">
        <f>D54/C54</f>
        <v>1.6096605744125327</v>
      </c>
      <c r="D65" s="105">
        <f>E54/D54</f>
        <v>1.1080697485806974</v>
      </c>
      <c r="E65" s="105">
        <f>F54/E54</f>
        <v>1.1169258920402563</v>
      </c>
      <c r="F65" s="105">
        <f>G54/F54</f>
        <v>1.0440694626474443</v>
      </c>
      <c r="G65" s="105"/>
      <c r="H65" s="105"/>
      <c r="I65" s="3"/>
      <c r="J65" s="3"/>
      <c r="K65" s="3"/>
    </row>
    <row r="66" spans="1:14">
      <c r="A66" s="3"/>
      <c r="B66" s="3"/>
      <c r="C66" s="105">
        <f>D55/C55</f>
        <v>1.579286635152557</v>
      </c>
      <c r="D66" s="105">
        <f>E55/D55</f>
        <v>1.0944217687074831</v>
      </c>
      <c r="E66" s="105">
        <f>F55/E55</f>
        <v>1.1496767777225261</v>
      </c>
      <c r="F66" s="105"/>
      <c r="G66" s="105"/>
      <c r="H66" s="105"/>
      <c r="I66" s="3"/>
      <c r="J66" s="3"/>
      <c r="K66" s="3"/>
    </row>
    <row r="67" spans="1:14">
      <c r="A67" s="3"/>
      <c r="B67" s="3"/>
      <c r="C67" s="105">
        <f>D56/C56</f>
        <v>1.6703827573392791</v>
      </c>
      <c r="D67" s="105">
        <f>E56/D56</f>
        <v>1.0954393770856508</v>
      </c>
      <c r="E67" s="105"/>
      <c r="F67" s="94"/>
      <c r="G67" s="105"/>
      <c r="H67" s="105"/>
      <c r="I67" s="3"/>
      <c r="J67" s="3"/>
      <c r="K67" s="3"/>
    </row>
    <row r="68" spans="1:14">
      <c r="A68" s="465"/>
      <c r="B68" s="3"/>
      <c r="C68" s="105">
        <f>D57/C57</f>
        <v>1.6119343211854225</v>
      </c>
      <c r="D68" s="105"/>
      <c r="E68" s="105"/>
      <c r="F68" s="105"/>
      <c r="G68" s="105"/>
      <c r="H68" s="105"/>
      <c r="I68" s="3"/>
      <c r="J68" s="3"/>
      <c r="K68" s="3"/>
    </row>
    <row r="69" spans="1:14">
      <c r="A69" s="3" t="s">
        <v>2208</v>
      </c>
      <c r="B69" s="3"/>
      <c r="C69" s="105">
        <f t="shared" ref="C69:H69" si="2">AVERAGE(C63:C68)</f>
        <v>1.5942069530401977</v>
      </c>
      <c r="D69" s="105">
        <f t="shared" si="2"/>
        <v>1.0894913575764438</v>
      </c>
      <c r="E69" s="105">
        <f t="shared" si="2"/>
        <v>1.1050371809940176</v>
      </c>
      <c r="F69" s="105">
        <f t="shared" si="2"/>
        <v>1.0394830209521968</v>
      </c>
      <c r="G69" s="105">
        <f t="shared" si="2"/>
        <v>1.0067728977713988</v>
      </c>
      <c r="H69" s="105">
        <f t="shared" si="2"/>
        <v>1</v>
      </c>
      <c r="I69" s="3"/>
      <c r="J69" s="3"/>
      <c r="K69" s="3"/>
    </row>
    <row r="70" spans="1:14">
      <c r="A70" s="3" t="s">
        <v>2209</v>
      </c>
      <c r="B70" s="3"/>
      <c r="C70" s="105">
        <f>SUM(D52:D57)/SUM(C52:C57)</f>
        <v>1.6002312767838922</v>
      </c>
      <c r="D70" s="105">
        <f>SUM(E52:E56)/SUM(D52:D56)</f>
        <v>1.0916410256410256</v>
      </c>
      <c r="E70" s="105">
        <f>SUM(F52:F55)/SUM(E52:E55)</f>
        <v>1.1081097598239931</v>
      </c>
      <c r="F70" s="105">
        <f>SUM(G52:G54)/SUM(F52:F54)</f>
        <v>1.0416049748297305</v>
      </c>
      <c r="G70" s="105">
        <f>SUM(H52:H53)/SUM(G52:G53)</f>
        <v>1.0074054826555801</v>
      </c>
      <c r="H70" s="105">
        <f>SUM(I52)/SUM(H52)</f>
        <v>1</v>
      </c>
      <c r="I70" s="3"/>
      <c r="J70" s="3"/>
      <c r="K70" s="3"/>
    </row>
    <row r="71" spans="1:14">
      <c r="A71" s="3" t="s">
        <v>1732</v>
      </c>
      <c r="B71" s="3"/>
      <c r="C71" s="105"/>
      <c r="D71" s="105"/>
      <c r="E71" s="105"/>
      <c r="F71" s="105"/>
      <c r="G71" s="105"/>
      <c r="H71" s="105"/>
      <c r="I71" s="3"/>
      <c r="J71" s="3"/>
      <c r="K71" s="3"/>
    </row>
    <row r="72" spans="1:14">
      <c r="A72" s="100" t="s">
        <v>2210</v>
      </c>
      <c r="B72" s="3"/>
      <c r="C72" s="105">
        <f>C69</f>
        <v>1.5942069530401977</v>
      </c>
      <c r="D72" s="105">
        <f t="shared" ref="D72:H72" si="3">D69</f>
        <v>1.0894913575764438</v>
      </c>
      <c r="E72" s="105">
        <f t="shared" si="3"/>
        <v>1.1050371809940176</v>
      </c>
      <c r="F72" s="105">
        <f t="shared" si="3"/>
        <v>1.0394830209521968</v>
      </c>
      <c r="G72" s="105">
        <f t="shared" si="3"/>
        <v>1.0067728977713988</v>
      </c>
      <c r="H72" s="105">
        <f t="shared" si="3"/>
        <v>1</v>
      </c>
      <c r="I72" s="3"/>
      <c r="J72" s="3"/>
      <c r="K72" s="3"/>
    </row>
    <row r="73" spans="1:14">
      <c r="A73" s="100" t="s">
        <v>2211</v>
      </c>
      <c r="B73" s="3"/>
      <c r="C73" s="105">
        <f>D73*C72</f>
        <v>2.0086038701975282</v>
      </c>
      <c r="D73" s="105">
        <f>E73*D72</f>
        <v>1.2599392233028865</v>
      </c>
      <c r="E73" s="105">
        <f>F73*E72</f>
        <v>1.1564471939507637</v>
      </c>
      <c r="F73" s="105">
        <f>G73*F72</f>
        <v>1.0465233331882109</v>
      </c>
      <c r="G73" s="105">
        <f>H73*G72</f>
        <v>1.0067728977713988</v>
      </c>
      <c r="H73" s="105">
        <f>H72</f>
        <v>1</v>
      </c>
      <c r="I73" s="3"/>
      <c r="J73" s="3"/>
      <c r="K73" s="3"/>
    </row>
    <row r="74" spans="1:14">
      <c r="M74" s="3"/>
      <c r="N74" s="3"/>
    </row>
    <row r="75" spans="1:14" ht="46.8">
      <c r="B75" s="107" t="s">
        <v>58</v>
      </c>
      <c r="C75" s="36" t="s">
        <v>59</v>
      </c>
      <c r="D75" s="36" t="s">
        <v>2212</v>
      </c>
      <c r="E75" s="36" t="s">
        <v>131</v>
      </c>
      <c r="M75" s="3"/>
      <c r="N75" s="3"/>
    </row>
    <row r="76" spans="1:14">
      <c r="B76" s="94">
        <f t="shared" ref="B76:B82" si="4">B52</f>
        <v>2016</v>
      </c>
      <c r="C76" s="83">
        <f t="shared" ref="C76:C82" ca="1" si="5">OFFSET($I$52,(B76-$B$76),($B$76-B76),1,1)</f>
        <v>3248</v>
      </c>
      <c r="D76" s="105">
        <v>1</v>
      </c>
      <c r="E76" s="83">
        <f ca="1">D76*C76</f>
        <v>3248</v>
      </c>
      <c r="M76" s="3"/>
      <c r="N76" s="3"/>
    </row>
    <row r="77" spans="1:14">
      <c r="B77" s="94">
        <f t="shared" si="4"/>
        <v>2017</v>
      </c>
      <c r="C77" s="83">
        <f t="shared" ca="1" si="5"/>
        <v>4506</v>
      </c>
      <c r="D77" s="105">
        <f t="shared" ref="D77:D82" ca="1" si="6">OFFSET($H$73,0,($B$76-B76),1,1)</f>
        <v>1</v>
      </c>
      <c r="E77" s="83">
        <f t="shared" ref="E77:E82" ca="1" si="7">D77*C77</f>
        <v>4506</v>
      </c>
      <c r="M77" s="3"/>
      <c r="N77" s="3"/>
    </row>
    <row r="78" spans="1:14">
      <c r="B78" s="94">
        <f t="shared" si="4"/>
        <v>2018</v>
      </c>
      <c r="C78" s="83">
        <f t="shared" ca="1" si="5"/>
        <v>6373</v>
      </c>
      <c r="D78" s="105">
        <f t="shared" ca="1" si="6"/>
        <v>1.0067728977713988</v>
      </c>
      <c r="E78" s="83">
        <f t="shared" ca="1" si="7"/>
        <v>6416.1636774971248</v>
      </c>
      <c r="M78" s="3"/>
      <c r="N78" s="3"/>
    </row>
    <row r="79" spans="1:14">
      <c r="B79" s="94">
        <f t="shared" si="4"/>
        <v>2019</v>
      </c>
      <c r="C79" s="83">
        <f t="shared" ca="1" si="5"/>
        <v>4624</v>
      </c>
      <c r="D79" s="105">
        <f t="shared" ca="1" si="6"/>
        <v>1.0465233331882109</v>
      </c>
      <c r="E79" s="83">
        <f t="shared" ca="1" si="7"/>
        <v>4839.1238926622873</v>
      </c>
      <c r="M79" s="3"/>
      <c r="N79" s="3"/>
    </row>
    <row r="80" spans="1:14">
      <c r="B80" s="94">
        <f t="shared" si="4"/>
        <v>2020</v>
      </c>
      <c r="C80" s="83">
        <f t="shared" ca="1" si="5"/>
        <v>4924</v>
      </c>
      <c r="D80" s="105">
        <f t="shared" ca="1" si="6"/>
        <v>1.1564471939507637</v>
      </c>
      <c r="E80" s="83">
        <f t="shared" ca="1" si="7"/>
        <v>5694.3459830135607</v>
      </c>
      <c r="M80" s="3"/>
      <c r="N80" s="3"/>
    </row>
    <row r="81" spans="1:14">
      <c r="B81" s="94">
        <f t="shared" si="4"/>
        <v>2021</v>
      </c>
      <c r="C81" s="83">
        <f t="shared" ca="1" si="5"/>
        <v>4025</v>
      </c>
      <c r="D81" s="105">
        <f t="shared" ca="1" si="6"/>
        <v>1.2599392233028865</v>
      </c>
      <c r="E81" s="83">
        <f t="shared" ca="1" si="7"/>
        <v>5071.255373794118</v>
      </c>
      <c r="F81" s="11"/>
      <c r="M81" s="3"/>
      <c r="N81" s="3"/>
    </row>
    <row r="82" spans="1:14">
      <c r="B82" s="107">
        <f t="shared" si="4"/>
        <v>2022</v>
      </c>
      <c r="C82" s="86">
        <f t="shared" ca="1" si="5"/>
        <v>3740</v>
      </c>
      <c r="D82" s="109">
        <f t="shared" ca="1" si="6"/>
        <v>2.0086038701975282</v>
      </c>
      <c r="E82" s="86">
        <f t="shared" ca="1" si="7"/>
        <v>7512.1784745387549</v>
      </c>
      <c r="M82" s="3"/>
      <c r="N82" s="3"/>
    </row>
    <row r="83" spans="1:14">
      <c r="B83" s="2" t="s">
        <v>2213</v>
      </c>
      <c r="C83" s="83"/>
      <c r="E83" s="83">
        <f ca="1">SUM(E76:E82)</f>
        <v>37287.067401505847</v>
      </c>
      <c r="M83" s="3"/>
      <c r="N83" s="3"/>
    </row>
    <row r="84" spans="1:14">
      <c r="B84" s="2" t="s">
        <v>2214</v>
      </c>
      <c r="E84" s="83">
        <f ca="1">E83+K55+K57</f>
        <v>38787.067401505847</v>
      </c>
      <c r="M84" s="3"/>
      <c r="N84" s="3"/>
    </row>
    <row r="86" spans="1:14">
      <c r="A86" s="17" t="s">
        <v>25</v>
      </c>
      <c r="B86" s="831" t="s">
        <v>2215</v>
      </c>
      <c r="C86" s="831"/>
      <c r="D86" s="831"/>
      <c r="E86" s="831"/>
      <c r="F86" s="831"/>
      <c r="G86" s="831"/>
      <c r="H86" s="831"/>
      <c r="I86" s="831"/>
      <c r="J86" s="831"/>
      <c r="K86" s="831"/>
      <c r="L86" s="1"/>
    </row>
    <row r="87" spans="1:14">
      <c r="A87" s="17"/>
      <c r="B87" s="831"/>
      <c r="C87" s="831"/>
      <c r="D87" s="831"/>
      <c r="E87" s="831"/>
      <c r="F87" s="831"/>
      <c r="G87" s="831"/>
      <c r="H87" s="831"/>
      <c r="I87" s="831"/>
      <c r="J87" s="831"/>
      <c r="K87" s="831"/>
      <c r="L87" s="1"/>
    </row>
    <row r="88" spans="1:14">
      <c r="A88" s="3"/>
      <c r="B88" s="3"/>
      <c r="C88" s="3"/>
      <c r="D88" s="3"/>
      <c r="E88" s="3"/>
      <c r="F88" s="3"/>
      <c r="G88" s="3"/>
      <c r="H88" s="3"/>
      <c r="I88" s="3"/>
      <c r="J88" s="3"/>
      <c r="K88" s="3"/>
      <c r="L88" s="3"/>
    </row>
    <row r="89" spans="1:14">
      <c r="A89" s="3" t="s">
        <v>20</v>
      </c>
      <c r="B89" s="3"/>
      <c r="C89" s="3"/>
      <c r="D89" s="3"/>
      <c r="E89" s="3"/>
      <c r="F89" s="3"/>
      <c r="G89" s="3"/>
      <c r="H89" s="3"/>
      <c r="I89" s="3"/>
      <c r="J89" s="3"/>
      <c r="K89" s="3"/>
      <c r="L89" s="3"/>
    </row>
    <row r="90" spans="1:14">
      <c r="A90" s="3"/>
      <c r="B90" s="3"/>
      <c r="C90" s="3"/>
      <c r="D90" s="3"/>
      <c r="E90" s="3"/>
      <c r="F90" s="3"/>
      <c r="G90" s="3"/>
      <c r="H90" s="3"/>
      <c r="I90" s="3"/>
      <c r="J90" s="3"/>
      <c r="K90" s="3"/>
      <c r="L90" s="3"/>
    </row>
    <row r="91" spans="1:14">
      <c r="A91" s="3" t="s">
        <v>2216</v>
      </c>
      <c r="B91" s="3"/>
      <c r="C91" s="3"/>
      <c r="D91" s="3"/>
      <c r="E91" s="3"/>
      <c r="F91" s="3"/>
      <c r="G91" s="3"/>
      <c r="H91" s="3"/>
      <c r="I91" s="3"/>
      <c r="J91" s="3"/>
      <c r="K91" s="3"/>
      <c r="L91" s="3"/>
    </row>
    <row r="94" spans="1:14">
      <c r="M94" s="3"/>
    </row>
    <row r="95" spans="1:14">
      <c r="M95" s="3"/>
    </row>
  </sheetData>
  <mergeCells count="7">
    <mergeCell ref="B86:K87"/>
    <mergeCell ref="C5:I5"/>
    <mergeCell ref="B15:C15"/>
    <mergeCell ref="D15:I15"/>
    <mergeCell ref="B16:C16"/>
    <mergeCell ref="B17:C17"/>
    <mergeCell ref="C50:I50"/>
  </mergeCells>
  <hyperlinks>
    <hyperlink ref="O1" location="TOC!A1" display="Table of Contents" xr:uid="{CFD188A8-ED6B-425C-9D2B-860082D4D870}"/>
  </hyperlinks>
  <pageMargins left="0.7" right="0.7" top="0.75" bottom="0.75" header="0.3" footer="0.3"/>
  <pageSetup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ED3D-4940-40C5-9B7B-D32F37E47F20}">
  <dimension ref="A1:R121"/>
  <sheetViews>
    <sheetView zoomScaleNormal="100" workbookViewId="0"/>
  </sheetViews>
  <sheetFormatPr defaultColWidth="8.88671875" defaultRowHeight="15.6"/>
  <cols>
    <col min="1" max="1" width="8.88671875" style="2" customWidth="1"/>
    <col min="2" max="8" width="11.6640625" style="2" customWidth="1"/>
    <col min="9" max="16384" width="8.88671875" style="2"/>
  </cols>
  <sheetData>
    <row r="1" spans="1:18" ht="17.399999999999999">
      <c r="A1" s="13" t="s">
        <v>2277</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831" t="s">
        <v>2217</v>
      </c>
      <c r="B3" s="831"/>
      <c r="C3" s="831"/>
      <c r="D3" s="831"/>
      <c r="E3" s="831"/>
      <c r="F3" s="831"/>
      <c r="G3" s="831"/>
      <c r="H3" s="831"/>
      <c r="I3" s="831"/>
      <c r="J3" s="831"/>
      <c r="K3" s="831"/>
      <c r="L3" s="14"/>
    </row>
    <row r="4" spans="1:18">
      <c r="A4" s="831"/>
      <c r="B4" s="831"/>
      <c r="C4" s="831"/>
      <c r="D4" s="831"/>
      <c r="E4" s="831"/>
      <c r="F4" s="831"/>
      <c r="G4" s="831"/>
      <c r="H4" s="831"/>
      <c r="I4" s="831"/>
      <c r="J4" s="831"/>
      <c r="K4" s="831"/>
      <c r="L4" s="1"/>
    </row>
    <row r="5" spans="1:18">
      <c r="A5" s="1"/>
      <c r="B5" s="1"/>
      <c r="C5" s="1"/>
      <c r="D5" s="1"/>
      <c r="E5" s="1"/>
      <c r="F5" s="1"/>
      <c r="G5" s="1"/>
      <c r="H5" s="1"/>
      <c r="I5" s="1"/>
      <c r="J5" s="1"/>
      <c r="K5" s="1"/>
      <c r="L5" s="1"/>
    </row>
    <row r="6" spans="1:18">
      <c r="A6" s="3"/>
      <c r="B6" s="3"/>
      <c r="C6" s="3"/>
      <c r="D6" s="3"/>
      <c r="E6" s="3"/>
      <c r="F6" s="3"/>
      <c r="G6" s="3"/>
      <c r="H6" s="3"/>
      <c r="I6" s="3"/>
      <c r="J6" s="3"/>
      <c r="K6" s="3"/>
      <c r="L6" s="3"/>
    </row>
    <row r="7" spans="1:18">
      <c r="A7" s="17" t="s">
        <v>91</v>
      </c>
      <c r="B7" s="1" t="s">
        <v>2218</v>
      </c>
      <c r="C7" s="1"/>
      <c r="D7" s="1"/>
      <c r="E7" s="1"/>
      <c r="F7" s="1"/>
      <c r="G7" s="1"/>
      <c r="H7" s="1"/>
      <c r="I7" s="1"/>
      <c r="J7" s="1"/>
      <c r="K7" s="1"/>
      <c r="L7" s="1"/>
      <c r="M7" s="9"/>
      <c r="N7" s="9"/>
      <c r="O7" s="9"/>
      <c r="P7" s="9"/>
      <c r="Q7" s="9"/>
      <c r="R7" s="9"/>
    </row>
    <row r="8" spans="1:18">
      <c r="A8" s="3"/>
      <c r="B8" s="3"/>
      <c r="C8" s="3"/>
      <c r="D8" s="3"/>
      <c r="E8" s="3"/>
      <c r="F8" s="3"/>
      <c r="G8" s="3"/>
      <c r="H8" s="3"/>
      <c r="I8" s="3"/>
      <c r="J8" s="3"/>
      <c r="K8" s="3"/>
      <c r="L8" s="3"/>
      <c r="M8" s="3"/>
    </row>
    <row r="9" spans="1:18">
      <c r="A9" s="3" t="s">
        <v>20</v>
      </c>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A11" s="3" t="s">
        <v>775</v>
      </c>
      <c r="B11" s="3"/>
      <c r="C11" s="3"/>
      <c r="D11" s="3"/>
      <c r="E11" s="3"/>
      <c r="F11" s="3"/>
      <c r="G11" s="3"/>
      <c r="H11" s="3"/>
      <c r="I11" s="3"/>
      <c r="J11" s="3"/>
      <c r="K11" s="3"/>
      <c r="L11" s="3"/>
      <c r="M11" s="3"/>
      <c r="N11" s="9"/>
    </row>
    <row r="12" spans="1:18">
      <c r="A12" s="685" t="s">
        <v>2219</v>
      </c>
      <c r="M12" s="9"/>
      <c r="N12" s="9"/>
    </row>
    <row r="13" spans="1:18">
      <c r="A13" s="685" t="s">
        <v>2220</v>
      </c>
      <c r="M13" s="9"/>
      <c r="N13" s="9"/>
    </row>
    <row r="14" spans="1:18">
      <c r="A14" s="685" t="s">
        <v>2221</v>
      </c>
      <c r="M14" s="9"/>
      <c r="N14" s="9"/>
    </row>
    <row r="15" spans="1:18">
      <c r="A15" s="685" t="s">
        <v>2222</v>
      </c>
      <c r="M15" s="9"/>
      <c r="N15" s="9"/>
    </row>
    <row r="16" spans="1:18">
      <c r="A16" s="685" t="s">
        <v>2223</v>
      </c>
      <c r="M16" s="9"/>
      <c r="N16" s="9"/>
    </row>
    <row r="17" spans="1:14">
      <c r="A17" s="685" t="s">
        <v>2224</v>
      </c>
      <c r="M17" s="9"/>
      <c r="N17" s="9"/>
    </row>
    <row r="18" spans="1:14">
      <c r="M18" s="9"/>
      <c r="N18" s="9"/>
    </row>
    <row r="19" spans="1:14">
      <c r="A19" s="1"/>
      <c r="B19" s="1"/>
      <c r="C19" s="1"/>
      <c r="D19" s="1"/>
      <c r="E19" s="1"/>
      <c r="F19" s="1"/>
      <c r="G19" s="1"/>
      <c r="H19" s="1"/>
      <c r="I19" s="1"/>
      <c r="J19" s="1"/>
      <c r="K19" s="1"/>
      <c r="L19" s="1"/>
    </row>
    <row r="20" spans="1:14">
      <c r="A20" s="260" t="s">
        <v>1719</v>
      </c>
      <c r="B20" s="1"/>
      <c r="C20" s="1"/>
      <c r="D20" s="1"/>
      <c r="E20" s="1"/>
      <c r="F20" s="1"/>
      <c r="G20" s="1"/>
      <c r="H20" s="1"/>
      <c r="I20" s="1"/>
      <c r="J20" s="1"/>
      <c r="K20" s="1"/>
      <c r="L20" s="1"/>
    </row>
    <row r="21" spans="1:14">
      <c r="A21" s="1"/>
      <c r="B21" s="1"/>
      <c r="C21" s="1"/>
      <c r="D21" s="1"/>
      <c r="E21" s="1"/>
      <c r="F21" s="1"/>
      <c r="G21" s="1"/>
      <c r="H21" s="1"/>
      <c r="I21" s="1"/>
      <c r="J21" s="1"/>
      <c r="K21" s="1"/>
      <c r="L21" s="1"/>
    </row>
    <row r="22" spans="1:14">
      <c r="A22" s="1"/>
      <c r="B22" s="164" t="s">
        <v>53</v>
      </c>
      <c r="C22" s="841" t="s">
        <v>59</v>
      </c>
      <c r="D22" s="841"/>
      <c r="E22" s="841"/>
      <c r="F22" s="841"/>
      <c r="G22" s="841"/>
      <c r="H22" s="841"/>
      <c r="I22" s="1"/>
      <c r="J22" s="1"/>
      <c r="K22" s="1"/>
      <c r="L22" s="1"/>
    </row>
    <row r="23" spans="1:14">
      <c r="A23" s="1"/>
      <c r="B23" s="165" t="s">
        <v>55</v>
      </c>
      <c r="C23" s="27">
        <v>12</v>
      </c>
      <c r="D23" s="27">
        <v>24</v>
      </c>
      <c r="E23" s="27">
        <v>36</v>
      </c>
      <c r="F23" s="27">
        <v>48</v>
      </c>
      <c r="G23" s="27">
        <v>60</v>
      </c>
      <c r="H23" s="27">
        <v>72</v>
      </c>
      <c r="I23" s="1"/>
      <c r="J23" s="1"/>
      <c r="K23" s="1"/>
      <c r="L23" s="1"/>
    </row>
    <row r="24" spans="1:14">
      <c r="A24" s="1"/>
      <c r="B24" s="32">
        <v>2017</v>
      </c>
      <c r="C24" s="92">
        <v>3258495</v>
      </c>
      <c r="D24" s="92">
        <v>4632313</v>
      </c>
      <c r="E24" s="92">
        <v>5665417</v>
      </c>
      <c r="F24" s="92">
        <v>6660535</v>
      </c>
      <c r="G24" s="92">
        <v>7372368</v>
      </c>
      <c r="H24" s="92">
        <v>7702277</v>
      </c>
      <c r="I24" s="1"/>
      <c r="J24" s="1"/>
      <c r="K24" s="1"/>
      <c r="L24" s="1"/>
    </row>
    <row r="25" spans="1:14">
      <c r="A25" s="1"/>
      <c r="B25" s="32">
        <v>2018</v>
      </c>
      <c r="C25" s="92">
        <v>3556049</v>
      </c>
      <c r="D25" s="92">
        <v>4925302</v>
      </c>
      <c r="E25" s="92">
        <v>6252176</v>
      </c>
      <c r="F25" s="92">
        <v>7431788</v>
      </c>
      <c r="G25" s="92">
        <v>8060259</v>
      </c>
      <c r="H25" s="32"/>
      <c r="I25" s="1"/>
      <c r="J25" s="1"/>
      <c r="K25" s="1"/>
      <c r="L25" s="1"/>
    </row>
    <row r="26" spans="1:14">
      <c r="A26" s="1"/>
      <c r="B26" s="32">
        <v>2019</v>
      </c>
      <c r="C26" s="92">
        <v>3798926</v>
      </c>
      <c r="D26" s="92">
        <v>5378090</v>
      </c>
      <c r="E26" s="92">
        <v>6921131</v>
      </c>
      <c r="F26" s="92">
        <v>8051684</v>
      </c>
      <c r="G26" s="32"/>
      <c r="H26" s="32"/>
      <c r="I26" s="1"/>
      <c r="J26" s="1"/>
      <c r="K26" s="1"/>
      <c r="L26" s="1"/>
    </row>
    <row r="27" spans="1:14">
      <c r="A27" s="1"/>
      <c r="B27" s="32">
        <v>2020</v>
      </c>
      <c r="C27" s="92">
        <v>4174496</v>
      </c>
      <c r="D27" s="92">
        <v>6013059</v>
      </c>
      <c r="E27" s="92">
        <v>7664425</v>
      </c>
      <c r="F27" s="32"/>
      <c r="G27" s="32"/>
      <c r="H27" s="32"/>
      <c r="I27" s="1"/>
      <c r="J27" s="1"/>
      <c r="K27" s="1"/>
      <c r="L27" s="1"/>
    </row>
    <row r="28" spans="1:14">
      <c r="A28" s="1"/>
      <c r="B28" s="32">
        <v>2021</v>
      </c>
      <c r="C28" s="92">
        <v>4854244</v>
      </c>
      <c r="D28" s="92">
        <v>6611842</v>
      </c>
      <c r="E28" s="32"/>
      <c r="F28" s="32"/>
      <c r="G28" s="32"/>
      <c r="H28" s="32"/>
      <c r="I28" s="1"/>
      <c r="J28" s="1"/>
      <c r="K28" s="1"/>
      <c r="L28" s="1"/>
    </row>
    <row r="29" spans="1:14">
      <c r="A29" s="1"/>
      <c r="B29" s="32">
        <v>2022</v>
      </c>
      <c r="C29" s="92">
        <v>5320155</v>
      </c>
      <c r="D29" s="32"/>
      <c r="E29" s="32"/>
      <c r="F29" s="32"/>
      <c r="G29" s="32"/>
      <c r="H29" s="32"/>
      <c r="I29" s="1"/>
      <c r="J29" s="1"/>
      <c r="K29" s="1"/>
      <c r="L29" s="1"/>
    </row>
    <row r="30" spans="1:14">
      <c r="A30" s="1"/>
      <c r="B30" s="1"/>
      <c r="C30" s="1"/>
      <c r="D30" s="1"/>
      <c r="E30" s="1"/>
      <c r="F30" s="1"/>
      <c r="G30" s="1"/>
      <c r="H30" s="1"/>
      <c r="I30" s="1"/>
      <c r="J30" s="1"/>
      <c r="K30" s="1"/>
      <c r="L30" s="1"/>
    </row>
    <row r="31" spans="1:14">
      <c r="A31" s="1"/>
      <c r="B31" s="164" t="s">
        <v>53</v>
      </c>
      <c r="C31" s="841" t="s">
        <v>324</v>
      </c>
      <c r="D31" s="841"/>
      <c r="E31" s="841"/>
      <c r="F31" s="841"/>
      <c r="G31" s="841"/>
      <c r="H31" s="841"/>
      <c r="I31" s="1"/>
      <c r="J31" s="1"/>
      <c r="K31" s="1"/>
      <c r="L31" s="1"/>
    </row>
    <row r="32" spans="1:14">
      <c r="A32" s="1"/>
      <c r="B32" s="165" t="s">
        <v>55</v>
      </c>
      <c r="C32" s="27">
        <v>12</v>
      </c>
      <c r="D32" s="27">
        <v>24</v>
      </c>
      <c r="E32" s="27">
        <v>36</v>
      </c>
      <c r="F32" s="27">
        <v>48</v>
      </c>
      <c r="G32" s="27">
        <v>60</v>
      </c>
      <c r="H32" s="27">
        <v>72</v>
      </c>
      <c r="I32" s="1"/>
      <c r="J32" s="1"/>
      <c r="K32" s="1"/>
      <c r="L32" s="1"/>
    </row>
    <row r="33" spans="1:12">
      <c r="A33" s="1"/>
      <c r="B33" s="32">
        <v>2017</v>
      </c>
      <c r="C33" s="92">
        <v>1227967</v>
      </c>
      <c r="D33" s="92">
        <v>2870190</v>
      </c>
      <c r="E33" s="92">
        <v>4218215</v>
      </c>
      <c r="F33" s="92">
        <v>5649515</v>
      </c>
      <c r="G33" s="92">
        <v>6801540</v>
      </c>
      <c r="H33" s="92">
        <v>7532219</v>
      </c>
      <c r="I33" s="1"/>
      <c r="J33" s="1"/>
      <c r="K33" s="1"/>
      <c r="L33" s="1"/>
    </row>
    <row r="34" spans="1:12">
      <c r="A34" s="1"/>
      <c r="B34" s="32">
        <v>2018</v>
      </c>
      <c r="C34" s="92">
        <v>1254169</v>
      </c>
      <c r="D34" s="92">
        <v>2975612</v>
      </c>
      <c r="E34" s="92">
        <v>4720518</v>
      </c>
      <c r="F34" s="92">
        <v>6197891</v>
      </c>
      <c r="G34" s="92">
        <v>7435993</v>
      </c>
      <c r="H34" s="32"/>
      <c r="I34" s="1"/>
      <c r="J34" s="1"/>
      <c r="K34" s="1"/>
      <c r="L34" s="1"/>
    </row>
    <row r="35" spans="1:12">
      <c r="A35" s="1"/>
      <c r="B35" s="32">
        <v>2019</v>
      </c>
      <c r="C35" s="92">
        <v>1406648</v>
      </c>
      <c r="D35" s="92">
        <v>3267932</v>
      </c>
      <c r="E35" s="92">
        <v>5029042</v>
      </c>
      <c r="F35" s="92">
        <v>6714834</v>
      </c>
      <c r="G35" s="32"/>
      <c r="H35" s="32"/>
      <c r="I35" s="1"/>
      <c r="J35" s="1"/>
      <c r="K35" s="1"/>
      <c r="L35" s="1"/>
    </row>
    <row r="36" spans="1:12">
      <c r="A36" s="1"/>
      <c r="B36" s="32">
        <v>2020</v>
      </c>
      <c r="C36" s="92">
        <v>1575637</v>
      </c>
      <c r="D36" s="92">
        <v>3453821</v>
      </c>
      <c r="E36" s="92">
        <v>5616379</v>
      </c>
      <c r="F36" s="32"/>
      <c r="G36" s="32"/>
      <c r="H36" s="32"/>
      <c r="I36" s="1"/>
      <c r="J36" s="1"/>
      <c r="K36" s="1"/>
      <c r="L36" s="1"/>
    </row>
    <row r="37" spans="1:12">
      <c r="A37" s="1"/>
      <c r="B37" s="32">
        <v>2021</v>
      </c>
      <c r="C37" s="92">
        <v>1667172</v>
      </c>
      <c r="D37" s="92">
        <v>3913397</v>
      </c>
      <c r="E37" s="32"/>
      <c r="F37" s="32"/>
      <c r="G37" s="32"/>
      <c r="H37" s="32"/>
      <c r="I37" s="1"/>
      <c r="J37" s="1"/>
      <c r="K37" s="1"/>
      <c r="L37" s="1"/>
    </row>
    <row r="38" spans="1:12">
      <c r="A38" s="1"/>
      <c r="B38" s="32">
        <v>2022</v>
      </c>
      <c r="C38" s="92">
        <v>1754839</v>
      </c>
      <c r="D38" s="32"/>
      <c r="E38" s="32"/>
      <c r="F38" s="32"/>
      <c r="G38" s="32"/>
      <c r="H38" s="32"/>
      <c r="I38" s="1"/>
      <c r="J38" s="1"/>
      <c r="K38" s="1"/>
      <c r="L38" s="1"/>
    </row>
    <row r="39" spans="1:12">
      <c r="A39" s="1"/>
      <c r="B39" s="1"/>
      <c r="C39" s="1"/>
      <c r="D39" s="1"/>
      <c r="E39" s="1"/>
      <c r="F39" s="1"/>
      <c r="G39" s="1"/>
      <c r="H39" s="1"/>
      <c r="I39" s="1"/>
      <c r="J39" s="1"/>
      <c r="K39" s="1"/>
      <c r="L39" s="1"/>
    </row>
    <row r="40" spans="1:12">
      <c r="A40" s="1"/>
      <c r="B40" s="164" t="s">
        <v>53</v>
      </c>
      <c r="C40" s="841" t="s">
        <v>550</v>
      </c>
      <c r="D40" s="841"/>
      <c r="E40" s="841"/>
      <c r="F40" s="841"/>
      <c r="G40" s="841"/>
      <c r="H40" s="841"/>
      <c r="I40" s="1"/>
      <c r="J40" s="1"/>
      <c r="K40" s="1"/>
      <c r="L40" s="1"/>
    </row>
    <row r="41" spans="1:12">
      <c r="A41" s="1"/>
      <c r="B41" s="165" t="s">
        <v>55</v>
      </c>
      <c r="C41" s="27">
        <v>12</v>
      </c>
      <c r="D41" s="27">
        <v>24</v>
      </c>
      <c r="E41" s="27">
        <v>36</v>
      </c>
      <c r="F41" s="27">
        <v>48</v>
      </c>
      <c r="G41" s="27">
        <v>60</v>
      </c>
      <c r="H41" s="27">
        <v>72</v>
      </c>
      <c r="I41" s="1"/>
      <c r="J41" s="1"/>
      <c r="K41" s="1"/>
      <c r="L41" s="1"/>
    </row>
    <row r="42" spans="1:12">
      <c r="A42" s="1"/>
      <c r="B42" s="32">
        <v>2017</v>
      </c>
      <c r="C42" s="92">
        <v>705</v>
      </c>
      <c r="D42" s="92">
        <v>864</v>
      </c>
      <c r="E42" s="92">
        <v>996</v>
      </c>
      <c r="F42" s="92">
        <v>1080</v>
      </c>
      <c r="G42" s="92">
        <v>1147</v>
      </c>
      <c r="H42" s="92">
        <v>1185</v>
      </c>
      <c r="I42" s="1"/>
      <c r="J42" s="1"/>
      <c r="K42" s="1"/>
      <c r="L42" s="1"/>
    </row>
    <row r="43" spans="1:12">
      <c r="A43" s="1"/>
      <c r="B43" s="32">
        <v>2018</v>
      </c>
      <c r="C43" s="92">
        <v>733</v>
      </c>
      <c r="D43" s="92">
        <v>883</v>
      </c>
      <c r="E43" s="92">
        <v>1018</v>
      </c>
      <c r="F43" s="92">
        <v>1112</v>
      </c>
      <c r="G43" s="92">
        <v>1181</v>
      </c>
      <c r="H43" s="32"/>
      <c r="I43" s="1"/>
      <c r="J43" s="1"/>
      <c r="K43" s="1"/>
      <c r="L43" s="1"/>
    </row>
    <row r="44" spans="1:12">
      <c r="A44" s="1"/>
      <c r="B44" s="32">
        <v>2019</v>
      </c>
      <c r="C44" s="92">
        <v>734</v>
      </c>
      <c r="D44" s="92">
        <v>900</v>
      </c>
      <c r="E44" s="92">
        <v>1028</v>
      </c>
      <c r="F44" s="92">
        <v>1148</v>
      </c>
      <c r="G44" s="32"/>
      <c r="H44" s="32"/>
      <c r="I44" s="1"/>
      <c r="J44" s="1"/>
      <c r="K44" s="1"/>
      <c r="L44" s="1"/>
    </row>
    <row r="45" spans="1:12">
      <c r="A45" s="1"/>
      <c r="B45" s="32">
        <v>2020</v>
      </c>
      <c r="C45" s="92">
        <v>756</v>
      </c>
      <c r="D45" s="92">
        <v>928</v>
      </c>
      <c r="E45" s="92">
        <v>1077</v>
      </c>
      <c r="F45" s="32"/>
      <c r="G45" s="32"/>
      <c r="H45" s="32"/>
      <c r="I45" s="1"/>
      <c r="J45" s="1"/>
      <c r="K45" s="1"/>
      <c r="L45" s="1"/>
    </row>
    <row r="46" spans="1:12">
      <c r="A46" s="1"/>
      <c r="B46" s="32">
        <v>2021</v>
      </c>
      <c r="C46" s="92">
        <v>773</v>
      </c>
      <c r="D46" s="92">
        <v>947</v>
      </c>
      <c r="E46" s="32"/>
      <c r="F46" s="32"/>
      <c r="G46" s="32"/>
      <c r="H46" s="32"/>
      <c r="I46" s="1"/>
      <c r="J46" s="1"/>
      <c r="K46" s="1"/>
      <c r="L46" s="1"/>
    </row>
    <row r="47" spans="1:12">
      <c r="A47" s="1"/>
      <c r="B47" s="32">
        <v>2022</v>
      </c>
      <c r="C47" s="92">
        <v>789</v>
      </c>
      <c r="D47" s="32"/>
      <c r="E47" s="32"/>
      <c r="F47" s="32"/>
      <c r="G47" s="32"/>
      <c r="H47" s="32"/>
      <c r="I47" s="1"/>
      <c r="J47" s="1"/>
      <c r="K47" s="1"/>
      <c r="L47" s="1"/>
    </row>
    <row r="48" spans="1:12">
      <c r="A48" s="1"/>
      <c r="B48" s="1"/>
      <c r="C48" s="1"/>
      <c r="D48" s="1"/>
      <c r="E48" s="1"/>
      <c r="F48" s="1"/>
      <c r="G48" s="1"/>
      <c r="H48" s="1"/>
      <c r="I48" s="1"/>
      <c r="J48" s="1"/>
      <c r="K48" s="1"/>
      <c r="L48" s="1"/>
    </row>
    <row r="49" spans="1:12">
      <c r="A49" s="1"/>
      <c r="B49" s="164" t="s">
        <v>53</v>
      </c>
      <c r="C49" s="841" t="s">
        <v>551</v>
      </c>
      <c r="D49" s="841"/>
      <c r="E49" s="841"/>
      <c r="F49" s="841"/>
      <c r="G49" s="841"/>
      <c r="H49" s="841"/>
      <c r="I49" s="1"/>
      <c r="J49" s="1"/>
      <c r="K49" s="1"/>
      <c r="L49" s="1"/>
    </row>
    <row r="50" spans="1:12">
      <c r="A50" s="1"/>
      <c r="B50" s="165" t="s">
        <v>55</v>
      </c>
      <c r="C50" s="27">
        <v>12</v>
      </c>
      <c r="D50" s="27">
        <v>24</v>
      </c>
      <c r="E50" s="27">
        <v>36</v>
      </c>
      <c r="F50" s="27">
        <v>48</v>
      </c>
      <c r="G50" s="27">
        <v>60</v>
      </c>
      <c r="H50" s="27">
        <v>72</v>
      </c>
      <c r="I50" s="1"/>
      <c r="J50" s="1"/>
      <c r="K50" s="1"/>
      <c r="L50" s="1"/>
    </row>
    <row r="51" spans="1:12">
      <c r="A51" s="1"/>
      <c r="B51" s="32">
        <v>2017</v>
      </c>
      <c r="C51" s="92">
        <v>310</v>
      </c>
      <c r="D51" s="92">
        <v>571</v>
      </c>
      <c r="E51" s="92">
        <v>780</v>
      </c>
      <c r="F51" s="92">
        <v>938</v>
      </c>
      <c r="G51" s="92">
        <v>1077</v>
      </c>
      <c r="H51" s="92">
        <v>1179</v>
      </c>
      <c r="I51" s="1"/>
      <c r="J51" s="1"/>
      <c r="K51" s="1"/>
      <c r="L51" s="1"/>
    </row>
    <row r="52" spans="1:12">
      <c r="A52" s="1"/>
      <c r="B52" s="32">
        <v>2018</v>
      </c>
      <c r="C52" s="92">
        <v>327</v>
      </c>
      <c r="D52" s="92">
        <v>581</v>
      </c>
      <c r="E52" s="92">
        <v>797</v>
      </c>
      <c r="F52" s="92">
        <v>967</v>
      </c>
      <c r="G52" s="92">
        <v>1109</v>
      </c>
      <c r="H52" s="32"/>
      <c r="I52" s="1"/>
      <c r="J52" s="1"/>
      <c r="K52" s="1"/>
      <c r="L52" s="1"/>
    </row>
    <row r="53" spans="1:12">
      <c r="A53" s="1"/>
      <c r="B53" s="32">
        <v>2019</v>
      </c>
      <c r="C53" s="92">
        <v>323</v>
      </c>
      <c r="D53" s="92">
        <v>587</v>
      </c>
      <c r="E53" s="92">
        <v>802</v>
      </c>
      <c r="F53" s="92">
        <v>1000</v>
      </c>
      <c r="G53" s="32"/>
      <c r="H53" s="32"/>
      <c r="I53" s="1"/>
      <c r="J53" s="1"/>
      <c r="K53" s="1"/>
      <c r="L53" s="1"/>
    </row>
    <row r="54" spans="1:12">
      <c r="A54" s="1"/>
      <c r="B54" s="32">
        <v>2020</v>
      </c>
      <c r="C54" s="92">
        <v>334</v>
      </c>
      <c r="D54" s="92">
        <v>605</v>
      </c>
      <c r="E54" s="92">
        <v>845</v>
      </c>
      <c r="F54" s="32"/>
      <c r="G54" s="32"/>
      <c r="H54" s="32"/>
      <c r="I54" s="1"/>
      <c r="J54" s="1"/>
      <c r="K54" s="1"/>
      <c r="L54" s="1"/>
    </row>
    <row r="55" spans="1:12">
      <c r="A55" s="1"/>
      <c r="B55" s="32">
        <v>2021</v>
      </c>
      <c r="C55" s="92">
        <v>353</v>
      </c>
      <c r="D55" s="92">
        <v>622</v>
      </c>
      <c r="E55" s="32"/>
      <c r="F55" s="32"/>
      <c r="G55" s="32"/>
      <c r="H55" s="32"/>
      <c r="I55" s="1"/>
      <c r="J55" s="1"/>
      <c r="K55" s="1"/>
      <c r="L55" s="1"/>
    </row>
    <row r="56" spans="1:12">
      <c r="A56" s="1"/>
      <c r="B56" s="32">
        <v>2022</v>
      </c>
      <c r="C56" s="92">
        <v>352</v>
      </c>
      <c r="D56" s="32"/>
      <c r="E56" s="32"/>
      <c r="F56" s="32"/>
      <c r="G56" s="32"/>
      <c r="H56" s="32"/>
      <c r="I56" s="1"/>
      <c r="J56" s="1"/>
      <c r="K56" s="1"/>
      <c r="L56" s="1"/>
    </row>
    <row r="57" spans="1:12">
      <c r="A57" s="1"/>
      <c r="B57" s="1"/>
      <c r="C57" s="1"/>
      <c r="D57" s="1"/>
      <c r="E57" s="1"/>
      <c r="F57" s="1"/>
      <c r="G57" s="1"/>
      <c r="H57" s="1"/>
      <c r="I57" s="1"/>
      <c r="J57" s="1"/>
      <c r="K57" s="1"/>
      <c r="L57" s="1"/>
    </row>
    <row r="58" spans="1:12">
      <c r="A58" s="1"/>
      <c r="B58" s="1" t="s">
        <v>2225</v>
      </c>
      <c r="C58" s="1"/>
      <c r="D58" s="1"/>
      <c r="E58" s="485">
        <v>6.3E-2</v>
      </c>
      <c r="F58" s="1"/>
      <c r="G58" s="1"/>
      <c r="H58" s="1"/>
      <c r="I58" s="1"/>
      <c r="J58" s="1"/>
      <c r="K58" s="1"/>
      <c r="L58" s="1"/>
    </row>
    <row r="59" spans="1:12">
      <c r="A59" s="1"/>
      <c r="B59" s="1"/>
      <c r="C59" s="1"/>
      <c r="D59" s="1"/>
      <c r="E59" s="1"/>
      <c r="F59" s="1"/>
      <c r="G59" s="1"/>
      <c r="H59" s="1"/>
      <c r="I59" s="1"/>
      <c r="J59" s="1"/>
      <c r="K59" s="1"/>
      <c r="L59" s="1"/>
    </row>
    <row r="60" spans="1:12">
      <c r="A60" s="1" t="s">
        <v>2226</v>
      </c>
      <c r="B60" s="1"/>
      <c r="C60" s="1"/>
      <c r="D60" s="1"/>
      <c r="E60" s="1"/>
      <c r="F60" s="1"/>
      <c r="G60" s="1"/>
      <c r="H60" s="1"/>
      <c r="I60" s="1"/>
      <c r="J60" s="1"/>
      <c r="K60" s="1"/>
      <c r="L60" s="1"/>
    </row>
    <row r="61" spans="1:12">
      <c r="A61" s="1"/>
      <c r="B61" s="1"/>
      <c r="C61" s="1"/>
      <c r="D61" s="1"/>
      <c r="E61" s="1"/>
      <c r="F61" s="1"/>
      <c r="G61" s="1"/>
      <c r="H61" s="1"/>
      <c r="I61" s="1"/>
      <c r="J61" s="1"/>
      <c r="K61" s="1"/>
      <c r="L61" s="1"/>
    </row>
    <row r="63" spans="1:12">
      <c r="A63" s="17" t="s">
        <v>133</v>
      </c>
      <c r="B63" s="1" t="s">
        <v>2227</v>
      </c>
      <c r="C63" s="1"/>
      <c r="D63" s="1"/>
      <c r="E63" s="1"/>
      <c r="F63" s="1"/>
      <c r="G63" s="1"/>
      <c r="H63" s="1"/>
      <c r="I63" s="1"/>
      <c r="J63" s="1"/>
      <c r="K63" s="1"/>
      <c r="L63" s="1"/>
    </row>
    <row r="64" spans="1:12">
      <c r="A64" s="3"/>
      <c r="B64" s="3"/>
      <c r="C64" s="3"/>
      <c r="D64" s="3"/>
      <c r="E64" s="3"/>
      <c r="F64" s="3"/>
      <c r="G64" s="3"/>
      <c r="H64" s="3"/>
      <c r="I64" s="3"/>
      <c r="J64" s="3"/>
      <c r="K64" s="3"/>
      <c r="L64" s="3"/>
    </row>
    <row r="65" spans="1:12">
      <c r="A65" s="3" t="s">
        <v>20</v>
      </c>
      <c r="B65" s="3"/>
      <c r="C65" s="3"/>
      <c r="D65" s="3"/>
      <c r="E65" s="3"/>
      <c r="F65" s="3"/>
      <c r="G65" s="3"/>
      <c r="H65" s="3"/>
      <c r="I65" s="3"/>
      <c r="J65" s="3"/>
      <c r="K65" s="3"/>
      <c r="L65" s="3"/>
    </row>
    <row r="66" spans="1:12">
      <c r="A66" s="3"/>
      <c r="B66" s="3"/>
      <c r="C66" s="3"/>
      <c r="D66" s="3"/>
      <c r="E66" s="3"/>
      <c r="F66" s="3"/>
      <c r="G66" s="3"/>
      <c r="H66" s="3"/>
      <c r="I66" s="3"/>
      <c r="J66" s="3"/>
      <c r="K66" s="3"/>
      <c r="L66" s="3"/>
    </row>
    <row r="67" spans="1:12">
      <c r="A67" s="3"/>
      <c r="B67" s="3" t="s">
        <v>2228</v>
      </c>
      <c r="C67" s="3"/>
      <c r="D67" s="3"/>
      <c r="E67" s="3"/>
      <c r="F67" s="3"/>
      <c r="G67" s="3"/>
      <c r="H67" s="3"/>
      <c r="I67" s="3"/>
      <c r="J67" s="3"/>
      <c r="K67" s="3"/>
      <c r="L67" s="3"/>
    </row>
    <row r="68" spans="1:12">
      <c r="A68" s="3"/>
      <c r="B68" s="3"/>
      <c r="C68" s="3"/>
      <c r="D68" s="3"/>
      <c r="E68" s="3"/>
      <c r="F68" s="3"/>
      <c r="G68" s="3"/>
      <c r="H68" s="3"/>
      <c r="I68" s="3"/>
      <c r="J68" s="3"/>
      <c r="K68" s="3"/>
      <c r="L68" s="3"/>
    </row>
    <row r="69" spans="1:12">
      <c r="A69" s="3"/>
      <c r="B69" s="686" t="s">
        <v>53</v>
      </c>
      <c r="C69" s="948" t="s">
        <v>1149</v>
      </c>
      <c r="D69" s="948"/>
      <c r="E69" s="948"/>
      <c r="F69" s="948"/>
      <c r="G69" s="948"/>
      <c r="H69" s="948"/>
      <c r="I69" s="3"/>
      <c r="J69" s="3"/>
      <c r="K69" s="3"/>
      <c r="L69" s="3"/>
    </row>
    <row r="70" spans="1:12">
      <c r="A70" s="3"/>
      <c r="B70" s="590" t="s">
        <v>55</v>
      </c>
      <c r="C70" s="460">
        <v>12</v>
      </c>
      <c r="D70" s="460">
        <f>C70+12</f>
        <v>24</v>
      </c>
      <c r="E70" s="460">
        <f t="shared" ref="E70:H70" si="0">D70+12</f>
        <v>36</v>
      </c>
      <c r="F70" s="460">
        <f t="shared" si="0"/>
        <v>48</v>
      </c>
      <c r="G70" s="460">
        <f t="shared" si="0"/>
        <v>60</v>
      </c>
      <c r="H70" s="460">
        <f t="shared" si="0"/>
        <v>72</v>
      </c>
      <c r="I70" s="3"/>
      <c r="J70" s="3"/>
      <c r="K70" s="3"/>
      <c r="L70" s="3"/>
    </row>
    <row r="71" spans="1:12">
      <c r="A71" s="3"/>
      <c r="B71" s="460">
        <v>2017</v>
      </c>
      <c r="C71" s="687">
        <f t="shared" ref="C71:H71" si="1">(C24-C33)/(C42-C51)</f>
        <v>5140.5772151898736</v>
      </c>
      <c r="D71" s="687">
        <f t="shared" si="1"/>
        <v>6014.0716723549485</v>
      </c>
      <c r="E71" s="687">
        <f t="shared" si="1"/>
        <v>6700.0092592592591</v>
      </c>
      <c r="F71" s="687">
        <f t="shared" si="1"/>
        <v>7119.859154929577</v>
      </c>
      <c r="G71" s="687">
        <f t="shared" si="1"/>
        <v>8154.6857142857143</v>
      </c>
      <c r="H71" s="687">
        <f t="shared" si="1"/>
        <v>28343</v>
      </c>
      <c r="I71" s="3"/>
      <c r="J71" s="3"/>
      <c r="K71" s="3"/>
      <c r="L71" s="3"/>
    </row>
    <row r="72" spans="1:12">
      <c r="A72" s="3"/>
      <c r="B72" s="460">
        <v>2018</v>
      </c>
      <c r="C72" s="687">
        <f>(C25-C34)/(C43-C52)</f>
        <v>5669.6551724137935</v>
      </c>
      <c r="D72" s="687">
        <f>(D25-D34)/(D43-D52)</f>
        <v>6455.9271523178804</v>
      </c>
      <c r="E72" s="687">
        <f>(E25-E34)/(E43-E52)</f>
        <v>6930.5791855203624</v>
      </c>
      <c r="F72" s="687">
        <f>(F25-F34)/(F43-F52)</f>
        <v>8509.6344827586199</v>
      </c>
      <c r="G72" s="687">
        <f>(G25-G34)/(G43-G52)</f>
        <v>8670.3611111111113</v>
      </c>
      <c r="H72" s="687"/>
      <c r="I72" s="3"/>
      <c r="J72" s="3"/>
      <c r="K72" s="3"/>
      <c r="L72" s="3"/>
    </row>
    <row r="73" spans="1:12">
      <c r="A73" s="3"/>
      <c r="B73" s="460">
        <v>2019</v>
      </c>
      <c r="C73" s="687">
        <f>(C26-C35)/(C44-C53)</f>
        <v>5820.6277372262775</v>
      </c>
      <c r="D73" s="687">
        <f>(D26-D35)/(D44-D53)</f>
        <v>6741.7188498402556</v>
      </c>
      <c r="E73" s="687">
        <f>(E26-E35)/(E44-E53)</f>
        <v>8372.075221238938</v>
      </c>
      <c r="F73" s="687">
        <f>(F26-F35)/(F44-F53)</f>
        <v>9032.77027027027</v>
      </c>
      <c r="G73" s="687"/>
      <c r="H73" s="687"/>
      <c r="I73" s="3"/>
      <c r="J73" s="3"/>
      <c r="K73" s="3"/>
      <c r="L73" s="3"/>
    </row>
    <row r="74" spans="1:12">
      <c r="A74" s="3"/>
      <c r="B74" s="460">
        <v>2020</v>
      </c>
      <c r="C74" s="687">
        <f>(C27-C36)/(C45-C54)</f>
        <v>6158.4336492890998</v>
      </c>
      <c r="D74" s="687">
        <f>(D27-D36)/(D45-D54)</f>
        <v>7923.3374613003098</v>
      </c>
      <c r="E74" s="687">
        <f>(E27-E36)/(E45-E54)</f>
        <v>8827.7844827586214</v>
      </c>
      <c r="F74" s="687"/>
      <c r="G74" s="687"/>
      <c r="H74" s="687"/>
      <c r="I74" s="3"/>
      <c r="J74" s="3"/>
      <c r="K74" s="3"/>
      <c r="L74" s="3"/>
    </row>
    <row r="75" spans="1:12">
      <c r="A75" s="3"/>
      <c r="B75" s="460">
        <v>2021</v>
      </c>
      <c r="C75" s="687">
        <f>(C28-C37)/(C46-C55)</f>
        <v>7588.2666666666664</v>
      </c>
      <c r="D75" s="687">
        <f>(D28-D37)/(D46-D55)</f>
        <v>8302.9076923076918</v>
      </c>
      <c r="E75" s="687"/>
      <c r="F75" s="687"/>
      <c r="G75" s="687"/>
      <c r="H75" s="687"/>
      <c r="I75" s="3"/>
      <c r="J75" s="3"/>
      <c r="K75" s="3"/>
      <c r="L75" s="3"/>
    </row>
    <row r="76" spans="1:12">
      <c r="A76" s="3"/>
      <c r="B76" s="460">
        <v>2022</v>
      </c>
      <c r="C76" s="687">
        <f>(C29-C38)/(C47-C56)</f>
        <v>8158.6178489702515</v>
      </c>
      <c r="D76" s="687"/>
      <c r="E76" s="687"/>
      <c r="F76" s="687"/>
      <c r="G76" s="687"/>
      <c r="H76" s="687"/>
      <c r="I76" s="3"/>
      <c r="J76" s="3"/>
      <c r="K76" s="3"/>
      <c r="L76" s="3"/>
    </row>
    <row r="77" spans="1:12">
      <c r="A77" s="3"/>
      <c r="B77" s="3"/>
      <c r="C77" s="3"/>
      <c r="D77" s="3"/>
      <c r="E77" s="3"/>
      <c r="F77" s="3"/>
      <c r="G77" s="3"/>
      <c r="H77" s="3"/>
      <c r="I77" s="3"/>
      <c r="J77" s="3"/>
      <c r="K77" s="3"/>
      <c r="L77" s="3"/>
    </row>
    <row r="78" spans="1:12">
      <c r="A78" s="3"/>
      <c r="B78" s="686" t="s">
        <v>53</v>
      </c>
      <c r="C78" s="948" t="s">
        <v>1150</v>
      </c>
      <c r="D78" s="948"/>
      <c r="E78" s="948"/>
      <c r="F78" s="948"/>
      <c r="G78" s="948"/>
      <c r="H78" s="948"/>
      <c r="I78" s="3"/>
      <c r="J78" s="3"/>
      <c r="K78" s="3"/>
      <c r="L78" s="3"/>
    </row>
    <row r="79" spans="1:12">
      <c r="A79" s="3"/>
      <c r="B79" s="590" t="s">
        <v>55</v>
      </c>
      <c r="C79" s="460">
        <v>12</v>
      </c>
      <c r="D79" s="460">
        <f>C79+12</f>
        <v>24</v>
      </c>
      <c r="E79" s="460">
        <f t="shared" ref="E79:H79" si="2">D79+12</f>
        <v>36</v>
      </c>
      <c r="F79" s="460">
        <f t="shared" si="2"/>
        <v>48</v>
      </c>
      <c r="G79" s="460">
        <f t="shared" si="2"/>
        <v>60</v>
      </c>
      <c r="H79" s="460">
        <f t="shared" si="2"/>
        <v>72</v>
      </c>
      <c r="I79" s="3"/>
      <c r="J79" s="3"/>
      <c r="K79" s="3"/>
      <c r="L79" s="3"/>
    </row>
    <row r="80" spans="1:12" ht="16.2">
      <c r="A80" s="3"/>
      <c r="B80" s="460" t="str">
        <f>B71&amp;"-"&amp;B72</f>
        <v>2017-2018</v>
      </c>
      <c r="C80" s="688">
        <f>C72/C71-1</f>
        <v>0.10292189672018726</v>
      </c>
      <c r="D80" s="688">
        <f t="shared" ref="D80:G80" si="3">D72/D71-1</f>
        <v>7.3470271728556469E-2</v>
      </c>
      <c r="E80" s="688">
        <f t="shared" si="3"/>
        <v>3.4413374271454966E-2</v>
      </c>
      <c r="F80" s="689">
        <f t="shared" si="3"/>
        <v>0.19519702533255923</v>
      </c>
      <c r="G80" s="688">
        <f t="shared" si="3"/>
        <v>6.3236697880583614E-2</v>
      </c>
      <c r="H80" s="688"/>
      <c r="I80" s="3"/>
      <c r="J80" s="3"/>
      <c r="K80" s="3"/>
      <c r="L80" s="3"/>
    </row>
    <row r="81" spans="1:13" ht="16.2">
      <c r="A81" s="3"/>
      <c r="B81" s="460" t="str">
        <f t="shared" ref="B81:B84" si="4">B72&amp;"-"&amp;B73</f>
        <v>2018-2019</v>
      </c>
      <c r="C81" s="688">
        <f t="shared" ref="C81:F84" si="5">C73/C72-1</f>
        <v>2.6628174063751509E-2</v>
      </c>
      <c r="D81" s="688">
        <f t="shared" si="5"/>
        <v>4.4268110649260839E-2</v>
      </c>
      <c r="E81" s="689">
        <f t="shared" si="5"/>
        <v>0.20799070281603682</v>
      </c>
      <c r="F81" s="688">
        <f t="shared" si="5"/>
        <v>6.1475705986147267E-2</v>
      </c>
      <c r="G81" s="688"/>
      <c r="H81" s="688"/>
      <c r="I81" s="3"/>
      <c r="J81" s="3"/>
      <c r="K81" s="3"/>
      <c r="L81" s="3"/>
    </row>
    <row r="82" spans="1:13" ht="16.2">
      <c r="A82" s="3"/>
      <c r="B82" s="460" t="str">
        <f t="shared" si="4"/>
        <v>2019-2020</v>
      </c>
      <c r="C82" s="688">
        <f t="shared" si="5"/>
        <v>5.8035993249037077E-2</v>
      </c>
      <c r="D82" s="689">
        <f t="shared" si="5"/>
        <v>0.17526963639073334</v>
      </c>
      <c r="E82" s="688">
        <f t="shared" si="5"/>
        <v>5.4432055312117145E-2</v>
      </c>
      <c r="F82" s="688"/>
      <c r="G82" s="688"/>
      <c r="H82" s="688"/>
      <c r="I82" s="3"/>
      <c r="J82" s="3"/>
      <c r="K82" s="3"/>
      <c r="L82" s="3"/>
    </row>
    <row r="83" spans="1:13" ht="16.2">
      <c r="A83" s="3"/>
      <c r="B83" s="460" t="str">
        <f t="shared" si="4"/>
        <v>2020-2021</v>
      </c>
      <c r="C83" s="689">
        <f t="shared" si="5"/>
        <v>0.23217478644794998</v>
      </c>
      <c r="D83" s="688">
        <f t="shared" si="5"/>
        <v>4.7905347066347304E-2</v>
      </c>
      <c r="E83" s="688"/>
      <c r="F83" s="688"/>
      <c r="G83" s="688"/>
      <c r="H83" s="688"/>
      <c r="I83" s="3"/>
      <c r="J83" s="3"/>
      <c r="K83" s="3"/>
      <c r="L83" s="3"/>
    </row>
    <row r="84" spans="1:13">
      <c r="A84" s="3"/>
      <c r="B84" s="460" t="str">
        <f t="shared" si="4"/>
        <v>2021-2022</v>
      </c>
      <c r="C84" s="688">
        <f t="shared" si="5"/>
        <v>7.5162248159911682E-2</v>
      </c>
      <c r="D84" s="688"/>
      <c r="E84" s="688"/>
      <c r="F84" s="688"/>
      <c r="G84" s="688"/>
      <c r="H84" s="688"/>
      <c r="I84" s="3"/>
      <c r="J84" s="3"/>
      <c r="K84" s="3"/>
      <c r="L84" s="3"/>
    </row>
    <row r="85" spans="1:13">
      <c r="A85" s="3"/>
      <c r="B85" s="3"/>
      <c r="C85" s="3"/>
      <c r="D85" s="3"/>
      <c r="E85" s="3"/>
      <c r="F85" s="3"/>
      <c r="G85" s="3"/>
      <c r="H85" s="3"/>
      <c r="I85" s="3"/>
      <c r="J85" s="3"/>
      <c r="K85" s="3"/>
      <c r="L85" s="3"/>
    </row>
    <row r="86" spans="1:13">
      <c r="B86" s="3" t="s">
        <v>2229</v>
      </c>
      <c r="C86" s="3"/>
      <c r="D86" s="3"/>
      <c r="E86" s="3"/>
      <c r="F86" s="3"/>
      <c r="G86" s="3"/>
      <c r="H86" s="3"/>
      <c r="M86" s="3"/>
    </row>
    <row r="88" spans="1:13">
      <c r="A88" s="1"/>
      <c r="B88" s="1"/>
      <c r="C88" s="1"/>
      <c r="D88" s="1"/>
      <c r="E88" s="1"/>
      <c r="F88" s="1"/>
      <c r="G88" s="1"/>
      <c r="H88" s="1"/>
      <c r="I88" s="1"/>
      <c r="J88" s="1"/>
      <c r="K88" s="1"/>
      <c r="L88" s="1"/>
    </row>
    <row r="89" spans="1:13">
      <c r="A89" s="260" t="s">
        <v>2230</v>
      </c>
      <c r="B89" s="1"/>
      <c r="C89" s="1"/>
      <c r="D89" s="1"/>
      <c r="E89" s="1"/>
      <c r="F89" s="1"/>
      <c r="G89" s="1"/>
      <c r="H89" s="1"/>
      <c r="I89" s="1"/>
      <c r="J89" s="1"/>
      <c r="K89" s="1"/>
      <c r="L89" s="1"/>
    </row>
    <row r="90" spans="1:13">
      <c r="A90" s="1"/>
      <c r="B90" s="1"/>
      <c r="C90" s="1"/>
      <c r="D90" s="1"/>
      <c r="E90" s="1"/>
      <c r="F90" s="1"/>
      <c r="G90" s="1"/>
      <c r="H90" s="1"/>
      <c r="I90" s="1"/>
      <c r="J90" s="1"/>
      <c r="K90" s="1"/>
      <c r="L90" s="1"/>
    </row>
    <row r="92" spans="1:13">
      <c r="A92" s="17" t="s">
        <v>18</v>
      </c>
      <c r="B92" s="1" t="s">
        <v>2231</v>
      </c>
      <c r="C92" s="1"/>
      <c r="D92" s="1"/>
      <c r="E92" s="1"/>
      <c r="F92" s="1"/>
      <c r="G92" s="1"/>
      <c r="H92" s="1"/>
      <c r="I92" s="1"/>
      <c r="J92" s="1"/>
      <c r="K92" s="1"/>
      <c r="L92" s="1"/>
    </row>
    <row r="93" spans="1:13">
      <c r="A93" s="3"/>
      <c r="B93" s="3"/>
      <c r="C93" s="3"/>
      <c r="D93" s="3"/>
      <c r="E93" s="3"/>
      <c r="F93" s="3"/>
      <c r="G93" s="3"/>
      <c r="H93" s="3"/>
      <c r="I93" s="3"/>
      <c r="J93" s="3"/>
      <c r="K93" s="3"/>
      <c r="L93" s="3"/>
    </row>
    <row r="94" spans="1:13">
      <c r="A94" s="3" t="s">
        <v>20</v>
      </c>
      <c r="B94" s="3"/>
      <c r="C94" s="3"/>
      <c r="D94" s="3"/>
      <c r="E94" s="3"/>
      <c r="F94" s="3"/>
      <c r="G94" s="3"/>
      <c r="H94" s="3"/>
      <c r="I94" s="3"/>
      <c r="J94" s="3"/>
      <c r="K94" s="3"/>
      <c r="L94" s="3"/>
    </row>
    <row r="95" spans="1:13">
      <c r="A95" s="3"/>
      <c r="B95" s="3"/>
      <c r="C95" s="3"/>
      <c r="D95" s="3"/>
      <c r="E95" s="3"/>
      <c r="F95" s="3"/>
      <c r="G95" s="3"/>
      <c r="H95" s="3"/>
      <c r="I95" s="3"/>
      <c r="J95" s="3"/>
      <c r="K95" s="3"/>
      <c r="L95" s="3"/>
    </row>
    <row r="96" spans="1:13">
      <c r="A96" s="3" t="s">
        <v>1611</v>
      </c>
      <c r="B96" s="3"/>
      <c r="C96" s="3"/>
      <c r="D96" s="3"/>
      <c r="E96" s="3"/>
      <c r="F96" s="3"/>
      <c r="G96" s="3"/>
      <c r="H96" s="3"/>
      <c r="I96" s="3"/>
      <c r="J96" s="3"/>
      <c r="K96" s="3"/>
      <c r="L96" s="3"/>
    </row>
    <row r="97" spans="1:14">
      <c r="A97" s="685" t="s">
        <v>2232</v>
      </c>
      <c r="B97" s="60"/>
    </row>
    <row r="98" spans="1:14">
      <c r="A98" s="685" t="s">
        <v>2233</v>
      </c>
    </row>
    <row r="99" spans="1:14">
      <c r="A99" s="685" t="s">
        <v>2234</v>
      </c>
      <c r="B99" s="60"/>
      <c r="M99" s="3"/>
      <c r="N99" s="3"/>
    </row>
    <row r="101" spans="1:14">
      <c r="A101" s="17" t="s">
        <v>25</v>
      </c>
      <c r="B101" s="831" t="s">
        <v>2235</v>
      </c>
      <c r="C101" s="831"/>
      <c r="D101" s="831"/>
      <c r="E101" s="831"/>
      <c r="F101" s="831"/>
      <c r="G101" s="831"/>
      <c r="H101" s="831"/>
      <c r="I101" s="831"/>
      <c r="J101" s="831"/>
      <c r="K101" s="831"/>
      <c r="L101" s="1"/>
    </row>
    <row r="102" spans="1:14">
      <c r="A102" s="17"/>
      <c r="B102" s="831"/>
      <c r="C102" s="831"/>
      <c r="D102" s="831"/>
      <c r="E102" s="831"/>
      <c r="F102" s="831"/>
      <c r="G102" s="831"/>
      <c r="H102" s="831"/>
      <c r="I102" s="831"/>
      <c r="J102" s="831"/>
      <c r="K102" s="831"/>
      <c r="L102" s="1"/>
    </row>
    <row r="103" spans="1:14">
      <c r="A103" s="3"/>
      <c r="B103" s="3"/>
      <c r="C103" s="3"/>
      <c r="D103" s="3"/>
      <c r="E103" s="3"/>
      <c r="F103" s="3"/>
      <c r="G103" s="3"/>
      <c r="H103" s="3"/>
      <c r="I103" s="3"/>
      <c r="J103" s="3"/>
      <c r="K103" s="3"/>
      <c r="L103" s="3"/>
    </row>
    <row r="104" spans="1:14">
      <c r="A104" s="3" t="s">
        <v>20</v>
      </c>
      <c r="B104" s="3"/>
      <c r="C104" s="3"/>
      <c r="D104" s="3"/>
      <c r="E104" s="3"/>
      <c r="F104" s="3"/>
      <c r="G104" s="3"/>
      <c r="H104" s="3"/>
      <c r="I104" s="3"/>
      <c r="J104" s="3"/>
      <c r="K104" s="3"/>
      <c r="L104" s="3"/>
    </row>
    <row r="105" spans="1:14">
      <c r="A105" s="3"/>
      <c r="B105" s="686" t="s">
        <v>53</v>
      </c>
      <c r="C105" s="948" t="s">
        <v>1165</v>
      </c>
      <c r="D105" s="948"/>
      <c r="E105" s="948"/>
      <c r="F105" s="948"/>
      <c r="G105" s="948"/>
      <c r="H105" s="948"/>
      <c r="I105" s="3"/>
      <c r="J105" s="3"/>
      <c r="K105" s="3"/>
      <c r="L105" s="3"/>
    </row>
    <row r="106" spans="1:14">
      <c r="A106" s="3"/>
      <c r="B106" s="590" t="s">
        <v>55</v>
      </c>
      <c r="C106" s="460">
        <v>12</v>
      </c>
      <c r="D106" s="460">
        <f>C106+12</f>
        <v>24</v>
      </c>
      <c r="E106" s="460">
        <f t="shared" ref="E106:H106" si="6">D106+12</f>
        <v>36</v>
      </c>
      <c r="F106" s="460">
        <f t="shared" si="6"/>
        <v>48</v>
      </c>
      <c r="G106" s="460">
        <f t="shared" si="6"/>
        <v>60</v>
      </c>
      <c r="H106" s="460">
        <f t="shared" si="6"/>
        <v>72</v>
      </c>
      <c r="I106" s="3"/>
      <c r="J106" s="3"/>
      <c r="K106" s="3"/>
      <c r="L106" s="3"/>
    </row>
    <row r="107" spans="1:14">
      <c r="B107" s="460">
        <v>2017</v>
      </c>
      <c r="C107" s="687">
        <f t="shared" ref="C107:F110" si="7">C108/(1+$E$58)</f>
        <v>6011.0490049954706</v>
      </c>
      <c r="D107" s="687">
        <f t="shared" si="7"/>
        <v>6502.7514048257271</v>
      </c>
      <c r="E107" s="687">
        <f t="shared" si="7"/>
        <v>7349.4007339063819</v>
      </c>
      <c r="F107" s="687">
        <f t="shared" si="7"/>
        <v>7993.821308611361</v>
      </c>
      <c r="G107" s="687">
        <f>G108/(1+$E$58)</f>
        <v>8156.5015156266336</v>
      </c>
      <c r="H107" s="690">
        <f>H71</f>
        <v>28343</v>
      </c>
    </row>
    <row r="108" spans="1:14">
      <c r="B108" s="460">
        <v>2018</v>
      </c>
      <c r="C108" s="687">
        <f t="shared" si="7"/>
        <v>6389.7450923101851</v>
      </c>
      <c r="D108" s="687">
        <f t="shared" si="7"/>
        <v>6912.4247433297478</v>
      </c>
      <c r="E108" s="687">
        <f t="shared" si="7"/>
        <v>7812.4129801424833</v>
      </c>
      <c r="F108" s="687">
        <f t="shared" si="7"/>
        <v>8497.4320510538764</v>
      </c>
      <c r="G108" s="690">
        <f>G72</f>
        <v>8670.3611111111113</v>
      </c>
      <c r="H108" s="687"/>
    </row>
    <row r="109" spans="1:14">
      <c r="B109" s="460">
        <v>2019</v>
      </c>
      <c r="C109" s="687">
        <f t="shared" si="7"/>
        <v>6792.2990331257261</v>
      </c>
      <c r="D109" s="687">
        <f t="shared" si="7"/>
        <v>7347.9075021595218</v>
      </c>
      <c r="E109" s="687">
        <f t="shared" si="7"/>
        <v>8304.5949978914596</v>
      </c>
      <c r="F109" s="690">
        <f>F73</f>
        <v>9032.77027027027</v>
      </c>
      <c r="G109" s="687"/>
      <c r="H109" s="687"/>
      <c r="M109" s="3"/>
    </row>
    <row r="110" spans="1:14">
      <c r="B110" s="460">
        <v>2020</v>
      </c>
      <c r="C110" s="687">
        <f t="shared" si="7"/>
        <v>7220.2138722126465</v>
      </c>
      <c r="D110" s="687">
        <f t="shared" si="7"/>
        <v>7810.8256747955711</v>
      </c>
      <c r="E110" s="690">
        <f>E74</f>
        <v>8827.7844827586214</v>
      </c>
      <c r="F110" s="687"/>
      <c r="G110" s="687"/>
      <c r="H110" s="687"/>
      <c r="M110" s="3"/>
    </row>
    <row r="111" spans="1:14">
      <c r="B111" s="460">
        <v>2021</v>
      </c>
      <c r="C111" s="687">
        <f>C112/(1+$E$58)</f>
        <v>7675.0873461620431</v>
      </c>
      <c r="D111" s="690">
        <f>D75</f>
        <v>8302.9076923076918</v>
      </c>
      <c r="E111" s="687"/>
      <c r="F111" s="687"/>
      <c r="G111" s="687"/>
      <c r="H111" s="687"/>
    </row>
    <row r="112" spans="1:14">
      <c r="B112" s="460">
        <v>2022</v>
      </c>
      <c r="C112" s="690">
        <f>C76</f>
        <v>8158.6178489702515</v>
      </c>
      <c r="D112" s="687"/>
      <c r="E112" s="687"/>
      <c r="F112" s="687"/>
      <c r="G112" s="687"/>
      <c r="H112" s="687"/>
    </row>
    <row r="113" spans="2:8">
      <c r="B113" s="3"/>
      <c r="C113" s="3"/>
      <c r="D113" s="3"/>
      <c r="E113" s="3"/>
      <c r="F113" s="3"/>
      <c r="G113" s="3"/>
      <c r="H113" s="3"/>
    </row>
    <row r="114" spans="2:8">
      <c r="B114" s="686" t="s">
        <v>53</v>
      </c>
      <c r="C114" s="948" t="s">
        <v>566</v>
      </c>
      <c r="D114" s="948"/>
      <c r="E114" s="948"/>
      <c r="F114" s="948"/>
      <c r="G114" s="948"/>
      <c r="H114" s="948"/>
    </row>
    <row r="115" spans="2:8">
      <c r="B115" s="590" t="s">
        <v>55</v>
      </c>
      <c r="C115" s="460">
        <v>12</v>
      </c>
      <c r="D115" s="460">
        <f>C115+12</f>
        <v>24</v>
      </c>
      <c r="E115" s="460">
        <f t="shared" ref="E115:H115" si="8">D115+12</f>
        <v>36</v>
      </c>
      <c r="F115" s="460">
        <f t="shared" si="8"/>
        <v>48</v>
      </c>
      <c r="G115" s="460">
        <f t="shared" si="8"/>
        <v>60</v>
      </c>
      <c r="H115" s="460">
        <f t="shared" si="8"/>
        <v>72</v>
      </c>
    </row>
    <row r="116" spans="2:8">
      <c r="B116" s="460">
        <v>2017</v>
      </c>
      <c r="C116" s="687">
        <f t="shared" ref="C116:F119" si="9">C33+C107*(C42-C51)</f>
        <v>3602331.3569732108</v>
      </c>
      <c r="D116" s="687">
        <f t="shared" si="9"/>
        <v>4775496.1616139384</v>
      </c>
      <c r="E116" s="687">
        <f t="shared" si="9"/>
        <v>5805685.5585237788</v>
      </c>
      <c r="F116" s="687">
        <f t="shared" si="9"/>
        <v>6784637.6258228133</v>
      </c>
      <c r="G116" s="687">
        <f>G33+G107*(G42-G51)</f>
        <v>7372495.106093864</v>
      </c>
      <c r="H116" s="687">
        <f>H24</f>
        <v>7702277</v>
      </c>
    </row>
    <row r="117" spans="2:8">
      <c r="B117" s="460">
        <v>2018</v>
      </c>
      <c r="C117" s="687">
        <f t="shared" si="9"/>
        <v>3848405.5074779349</v>
      </c>
      <c r="D117" s="687">
        <f t="shared" si="9"/>
        <v>5063164.272485584</v>
      </c>
      <c r="E117" s="687">
        <f t="shared" si="9"/>
        <v>6447061.2686114889</v>
      </c>
      <c r="F117" s="687">
        <f t="shared" si="9"/>
        <v>7430018.6474028118</v>
      </c>
      <c r="G117" s="687">
        <f>G25</f>
        <v>8060259</v>
      </c>
      <c r="H117" s="687"/>
    </row>
    <row r="118" spans="2:8">
      <c r="B118" s="460">
        <v>2019</v>
      </c>
      <c r="C118" s="687">
        <f t="shared" si="9"/>
        <v>4198282.9026146736</v>
      </c>
      <c r="D118" s="687">
        <f t="shared" si="9"/>
        <v>5567827.048175931</v>
      </c>
      <c r="E118" s="687">
        <f t="shared" si="9"/>
        <v>6905880.4695234699</v>
      </c>
      <c r="F118" s="687">
        <f>F26</f>
        <v>8051684</v>
      </c>
      <c r="G118" s="687"/>
      <c r="H118" s="687"/>
    </row>
    <row r="119" spans="2:8">
      <c r="B119" s="460">
        <v>2020</v>
      </c>
      <c r="C119" s="687">
        <f t="shared" si="9"/>
        <v>4622567.2540737372</v>
      </c>
      <c r="D119" s="687">
        <f t="shared" si="9"/>
        <v>5976717.6929589696</v>
      </c>
      <c r="E119" s="687">
        <f>E27</f>
        <v>7664425</v>
      </c>
      <c r="F119" s="687"/>
      <c r="G119" s="687"/>
      <c r="H119" s="687"/>
    </row>
    <row r="120" spans="2:8">
      <c r="B120" s="460">
        <v>2021</v>
      </c>
      <c r="C120" s="687">
        <f>C37+C111*(C46-C55)</f>
        <v>4890708.6853880584</v>
      </c>
      <c r="D120" s="687">
        <f>D28</f>
        <v>6611842</v>
      </c>
      <c r="E120" s="687"/>
      <c r="F120" s="687"/>
      <c r="G120" s="687"/>
      <c r="H120" s="687"/>
    </row>
    <row r="121" spans="2:8">
      <c r="B121" s="460">
        <v>2022</v>
      </c>
      <c r="C121" s="687">
        <f>C29</f>
        <v>5320155</v>
      </c>
      <c r="D121" s="687"/>
      <c r="E121" s="687"/>
      <c r="F121" s="687"/>
      <c r="G121" s="687"/>
      <c r="H121" s="687"/>
    </row>
  </sheetData>
  <mergeCells count="10">
    <mergeCell ref="C78:H78"/>
    <mergeCell ref="B101:K102"/>
    <mergeCell ref="C105:H105"/>
    <mergeCell ref="C114:H114"/>
    <mergeCell ref="A3:K4"/>
    <mergeCell ref="C22:H22"/>
    <mergeCell ref="C31:H31"/>
    <mergeCell ref="C40:H40"/>
    <mergeCell ref="C49:H49"/>
    <mergeCell ref="C69:H69"/>
  </mergeCells>
  <hyperlinks>
    <hyperlink ref="O1" location="TOC!A1" display="Table of Contents" xr:uid="{53ABFC47-A75F-4364-9705-A8BFD68BB2EC}"/>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AC02-35FA-4AB4-BA2C-FA7065811490}">
  <dimension ref="A1:R57"/>
  <sheetViews>
    <sheetView zoomScaleNormal="100" workbookViewId="0"/>
  </sheetViews>
  <sheetFormatPr defaultRowHeight="15.6"/>
  <cols>
    <col min="1" max="1" width="12.88671875" style="2" customWidth="1"/>
    <col min="2" max="2" width="12.77734375" style="2" customWidth="1"/>
    <col min="3" max="4" width="20.77734375" style="2" customWidth="1"/>
    <col min="5" max="5" width="19.77734375" style="2" customWidth="1"/>
    <col min="6" max="6" width="15" style="2" customWidth="1"/>
    <col min="7" max="9" width="11.77734375" style="2" customWidth="1"/>
    <col min="10" max="16384" width="8.88671875" style="2"/>
  </cols>
  <sheetData>
    <row r="1" spans="1:15" ht="17.399999999999999">
      <c r="A1" s="13" t="s">
        <v>354</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217</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7" spans="1:15">
      <c r="A7" s="3"/>
      <c r="B7" s="3"/>
      <c r="C7" s="3"/>
      <c r="D7" s="3"/>
      <c r="E7" s="3"/>
      <c r="F7" s="3"/>
      <c r="G7" s="3"/>
      <c r="H7" s="3"/>
      <c r="I7" s="3"/>
      <c r="J7" s="3"/>
      <c r="K7" s="3"/>
      <c r="L7" s="3"/>
    </row>
    <row r="8" spans="1:15">
      <c r="A8" s="1" t="s">
        <v>218</v>
      </c>
      <c r="B8" s="1"/>
      <c r="C8" s="1"/>
      <c r="D8" s="1"/>
      <c r="E8" s="1"/>
      <c r="F8" s="1"/>
      <c r="G8" s="1"/>
      <c r="H8" s="1"/>
      <c r="I8" s="1"/>
      <c r="J8" s="1"/>
      <c r="K8" s="1"/>
      <c r="L8" s="14"/>
    </row>
    <row r="9" spans="1:15">
      <c r="A9" s="1"/>
      <c r="B9" s="1"/>
      <c r="C9" s="1"/>
      <c r="D9" s="1"/>
      <c r="E9" s="1"/>
      <c r="F9" s="1"/>
      <c r="G9" s="1"/>
      <c r="H9" s="1"/>
      <c r="I9" s="1"/>
      <c r="J9" s="1"/>
      <c r="K9" s="1"/>
      <c r="L9" s="14"/>
    </row>
    <row r="10" spans="1:15" ht="41.4">
      <c r="A10" s="1"/>
      <c r="B10" s="814" t="s">
        <v>49</v>
      </c>
      <c r="C10" s="814"/>
      <c r="D10" s="155" t="s">
        <v>219</v>
      </c>
      <c r="E10" s="155" t="s">
        <v>220</v>
      </c>
      <c r="F10" s="1"/>
      <c r="G10" s="1"/>
      <c r="H10" s="1"/>
      <c r="I10" s="1"/>
      <c r="J10" s="1"/>
      <c r="K10" s="1"/>
      <c r="L10" s="14"/>
    </row>
    <row r="11" spans="1:15">
      <c r="A11" s="1"/>
      <c r="B11" s="826">
        <v>2016</v>
      </c>
      <c r="C11" s="826"/>
      <c r="D11" s="92">
        <v>7420</v>
      </c>
      <c r="E11" s="92">
        <v>7950</v>
      </c>
      <c r="F11" s="1"/>
      <c r="G11" s="1"/>
      <c r="H11" s="1"/>
      <c r="I11" s="1"/>
      <c r="J11" s="1"/>
      <c r="K11" s="1"/>
      <c r="L11" s="14"/>
    </row>
    <row r="12" spans="1:15">
      <c r="A12" s="1"/>
      <c r="B12" s="826">
        <v>2017</v>
      </c>
      <c r="C12" s="826"/>
      <c r="D12" s="92">
        <v>7800</v>
      </c>
      <c r="E12" s="92">
        <v>8150</v>
      </c>
      <c r="F12" s="1"/>
      <c r="G12" s="1"/>
      <c r="H12" s="1"/>
      <c r="I12" s="1"/>
      <c r="J12" s="1"/>
      <c r="K12" s="1"/>
      <c r="L12" s="14"/>
    </row>
    <row r="13" spans="1:15">
      <c r="A13" s="1"/>
      <c r="B13" s="826">
        <v>2018</v>
      </c>
      <c r="C13" s="826"/>
      <c r="D13" s="92">
        <v>8500</v>
      </c>
      <c r="E13" s="92">
        <v>8690</v>
      </c>
      <c r="F13" s="1"/>
      <c r="G13" s="1"/>
      <c r="H13" s="1"/>
      <c r="I13" s="1"/>
      <c r="J13" s="1"/>
      <c r="K13" s="1"/>
      <c r="L13" s="14"/>
    </row>
    <row r="14" spans="1:15">
      <c r="A14" s="1"/>
      <c r="B14" s="826">
        <v>2019</v>
      </c>
      <c r="C14" s="826"/>
      <c r="D14" s="92">
        <v>9150</v>
      </c>
      <c r="E14" s="92">
        <v>9320</v>
      </c>
      <c r="F14" s="1"/>
      <c r="G14" s="1"/>
      <c r="H14" s="1"/>
      <c r="I14" s="1"/>
      <c r="J14" s="1"/>
      <c r="K14" s="1"/>
      <c r="L14" s="14"/>
    </row>
    <row r="15" spans="1:15">
      <c r="A15" s="1"/>
      <c r="B15" s="1"/>
      <c r="C15" s="1"/>
      <c r="D15" s="1"/>
      <c r="E15" s="1"/>
      <c r="F15" s="1"/>
      <c r="G15" s="1"/>
      <c r="H15" s="1"/>
      <c r="I15" s="1"/>
      <c r="J15" s="1"/>
      <c r="K15" s="1"/>
      <c r="L15" s="14"/>
    </row>
    <row r="16" spans="1:15">
      <c r="A16" s="1"/>
      <c r="B16" s="827" t="s">
        <v>221</v>
      </c>
      <c r="C16" s="827"/>
      <c r="D16" s="155" t="s">
        <v>222</v>
      </c>
      <c r="E16" s="155" t="s">
        <v>223</v>
      </c>
      <c r="F16" s="1"/>
      <c r="G16" s="1"/>
      <c r="H16" s="1"/>
      <c r="I16" s="1"/>
      <c r="J16" s="1"/>
      <c r="K16" s="1"/>
      <c r="L16" s="14"/>
    </row>
    <row r="17" spans="1:12">
      <c r="A17" s="1"/>
      <c r="B17" s="825" t="s">
        <v>224</v>
      </c>
      <c r="C17" s="825"/>
      <c r="D17" s="8">
        <v>0.04</v>
      </c>
      <c r="E17" s="8">
        <v>0.05</v>
      </c>
      <c r="F17" s="1"/>
      <c r="G17" s="1"/>
      <c r="H17" s="1"/>
      <c r="I17" s="1"/>
      <c r="J17" s="1"/>
      <c r="K17" s="1"/>
      <c r="L17" s="14"/>
    </row>
    <row r="18" spans="1:12">
      <c r="A18" s="1"/>
      <c r="B18" s="825" t="s">
        <v>225</v>
      </c>
      <c r="C18" s="825"/>
      <c r="D18" s="156">
        <v>0.6</v>
      </c>
      <c r="E18" s="156">
        <v>0.5</v>
      </c>
      <c r="F18" s="1"/>
      <c r="G18" s="1"/>
      <c r="H18" s="1"/>
      <c r="I18" s="1"/>
      <c r="J18" s="1"/>
      <c r="K18" s="1"/>
      <c r="L18" s="14"/>
    </row>
    <row r="19" spans="1:12">
      <c r="A19" s="1"/>
      <c r="B19" s="825" t="s">
        <v>226</v>
      </c>
      <c r="C19" s="825"/>
      <c r="D19" s="8">
        <v>0.05</v>
      </c>
      <c r="E19" s="8">
        <v>0.06</v>
      </c>
      <c r="F19" s="1"/>
      <c r="G19" s="1"/>
      <c r="H19" s="1"/>
      <c r="I19" s="1"/>
      <c r="J19" s="1"/>
      <c r="K19" s="1"/>
      <c r="L19" s="14"/>
    </row>
    <row r="20" spans="1:12">
      <c r="A20" s="1"/>
      <c r="B20" s="1"/>
      <c r="C20" s="1"/>
      <c r="D20" s="1"/>
      <c r="E20" s="1"/>
      <c r="F20" s="1"/>
      <c r="G20" s="1"/>
      <c r="H20" s="1"/>
      <c r="I20" s="1"/>
      <c r="J20" s="1"/>
      <c r="K20" s="1"/>
      <c r="L20" s="14"/>
    </row>
    <row r="21" spans="1:12">
      <c r="A21" s="1"/>
      <c r="B21" s="16" t="s">
        <v>9</v>
      </c>
      <c r="C21" s="1" t="s">
        <v>227</v>
      </c>
      <c r="D21" s="1"/>
      <c r="E21" s="1"/>
      <c r="F21" s="1"/>
      <c r="G21" s="1"/>
      <c r="H21" s="1"/>
      <c r="I21" s="1"/>
      <c r="J21" s="1"/>
      <c r="K21" s="1"/>
      <c r="L21" s="14"/>
    </row>
    <row r="22" spans="1:12">
      <c r="A22" s="1"/>
      <c r="B22" s="16" t="s">
        <v>9</v>
      </c>
      <c r="C22" s="1" t="s">
        <v>228</v>
      </c>
      <c r="D22" s="1"/>
      <c r="E22" s="1"/>
      <c r="F22" s="1"/>
      <c r="G22" s="1"/>
      <c r="H22" s="1"/>
      <c r="I22" s="1"/>
      <c r="J22" s="1"/>
      <c r="K22" s="1"/>
      <c r="L22" s="14"/>
    </row>
    <row r="23" spans="1:12">
      <c r="A23" s="1"/>
      <c r="B23" s="16" t="s">
        <v>9</v>
      </c>
      <c r="C23" s="1" t="s">
        <v>181</v>
      </c>
      <c r="D23" s="1"/>
      <c r="E23" s="1"/>
      <c r="F23" s="1"/>
      <c r="G23" s="1"/>
      <c r="H23" s="1"/>
      <c r="I23" s="1"/>
      <c r="J23" s="1"/>
      <c r="K23" s="1"/>
      <c r="L23" s="14"/>
    </row>
    <row r="24" spans="1:12">
      <c r="A24" s="1"/>
      <c r="B24" s="1"/>
      <c r="C24" s="1"/>
      <c r="D24" s="1"/>
      <c r="E24" s="1"/>
      <c r="F24" s="1"/>
      <c r="G24" s="1"/>
      <c r="H24" s="1"/>
      <c r="I24" s="1"/>
      <c r="J24" s="1"/>
      <c r="K24" s="1"/>
      <c r="L24" s="14"/>
    </row>
    <row r="25" spans="1:12">
      <c r="A25" s="1" t="s">
        <v>229</v>
      </c>
      <c r="B25" s="1"/>
      <c r="C25" s="1"/>
      <c r="D25" s="1"/>
      <c r="E25" s="1"/>
      <c r="F25" s="1"/>
      <c r="G25" s="1"/>
      <c r="H25" s="1"/>
      <c r="I25" s="1"/>
      <c r="J25" s="1"/>
      <c r="K25" s="1"/>
      <c r="L25" s="14"/>
    </row>
    <row r="26" spans="1:12">
      <c r="A26" s="1"/>
      <c r="B26" s="1"/>
      <c r="C26" s="1"/>
      <c r="D26" s="1"/>
      <c r="E26" s="1"/>
      <c r="F26" s="1"/>
      <c r="G26" s="1"/>
      <c r="H26" s="1"/>
      <c r="I26" s="1"/>
      <c r="J26" s="1"/>
      <c r="K26" s="1"/>
      <c r="L26" s="14"/>
    </row>
    <row r="27" spans="1:12" ht="27.6">
      <c r="A27" s="1"/>
      <c r="B27" s="155" t="s">
        <v>49</v>
      </c>
      <c r="C27" s="155" t="s">
        <v>230</v>
      </c>
      <c r="D27" s="1"/>
      <c r="E27" s="1"/>
      <c r="F27" s="1"/>
      <c r="G27" s="1"/>
      <c r="H27" s="1"/>
      <c r="I27" s="1"/>
      <c r="J27" s="1"/>
      <c r="K27" s="1"/>
      <c r="L27" s="14"/>
    </row>
    <row r="28" spans="1:12">
      <c r="A28" s="1"/>
      <c r="B28" s="6">
        <v>2016</v>
      </c>
      <c r="C28" s="113">
        <v>1.1819999999999999</v>
      </c>
      <c r="D28" s="1"/>
      <c r="E28" s="1"/>
      <c r="F28" s="1"/>
      <c r="G28" s="1"/>
      <c r="H28" s="1"/>
      <c r="I28" s="1"/>
      <c r="J28" s="1"/>
      <c r="K28" s="1"/>
      <c r="L28" s="14"/>
    </row>
    <row r="29" spans="1:12">
      <c r="A29" s="1"/>
      <c r="B29" s="6">
        <v>2017</v>
      </c>
      <c r="C29" s="113">
        <v>1.1850000000000001</v>
      </c>
      <c r="D29" s="1"/>
      <c r="E29" s="1"/>
      <c r="F29" s="1"/>
      <c r="G29" s="1"/>
      <c r="H29" s="1"/>
      <c r="I29" s="1"/>
      <c r="J29" s="1"/>
      <c r="K29" s="1"/>
      <c r="L29" s="14"/>
    </row>
    <row r="30" spans="1:12">
      <c r="A30" s="1"/>
      <c r="B30" s="6">
        <v>2018</v>
      </c>
      <c r="C30" s="113">
        <v>1.27</v>
      </c>
      <c r="D30" s="1"/>
      <c r="E30" s="1"/>
      <c r="F30" s="1"/>
      <c r="G30" s="1"/>
      <c r="H30" s="1"/>
      <c r="I30" s="1"/>
      <c r="J30" s="1"/>
      <c r="K30" s="1"/>
      <c r="L30" s="14"/>
    </row>
    <row r="31" spans="1:12">
      <c r="A31" s="1"/>
      <c r="B31" s="6">
        <v>2019</v>
      </c>
      <c r="C31" s="113">
        <v>1.2849999999999999</v>
      </c>
      <c r="D31" s="1"/>
      <c r="E31" s="1"/>
      <c r="F31" s="1"/>
      <c r="G31" s="1"/>
      <c r="H31" s="1"/>
      <c r="I31" s="1"/>
      <c r="J31" s="1"/>
      <c r="K31" s="1"/>
      <c r="L31" s="14"/>
    </row>
    <row r="32" spans="1:12">
      <c r="A32" s="1"/>
      <c r="B32" s="1"/>
      <c r="C32" s="1"/>
      <c r="D32" s="1"/>
      <c r="E32" s="1"/>
      <c r="F32" s="1"/>
      <c r="G32" s="1"/>
      <c r="H32" s="1"/>
      <c r="I32" s="1"/>
      <c r="J32" s="1"/>
      <c r="K32" s="1"/>
      <c r="L32" s="1"/>
    </row>
    <row r="33" spans="1:18">
      <c r="A33" s="3"/>
      <c r="B33" s="3"/>
      <c r="C33" s="3"/>
      <c r="D33" s="3"/>
      <c r="E33" s="3"/>
      <c r="F33" s="3"/>
      <c r="G33" s="3"/>
      <c r="H33" s="3"/>
      <c r="I33" s="3"/>
      <c r="J33" s="3"/>
      <c r="K33" s="3"/>
      <c r="L33" s="3"/>
    </row>
    <row r="34" spans="1:18">
      <c r="A34" s="17" t="s">
        <v>133</v>
      </c>
      <c r="B34" s="1" t="s">
        <v>231</v>
      </c>
      <c r="C34" s="1"/>
      <c r="D34" s="1"/>
      <c r="E34" s="1"/>
      <c r="F34" s="1"/>
      <c r="G34" s="1"/>
      <c r="H34" s="1"/>
      <c r="I34" s="1"/>
      <c r="J34" s="1"/>
      <c r="K34" s="1"/>
      <c r="L34" s="1"/>
      <c r="M34" s="9"/>
      <c r="N34" s="9"/>
      <c r="O34" s="9"/>
      <c r="P34" s="9"/>
      <c r="Q34" s="9"/>
      <c r="R34" s="9"/>
    </row>
    <row r="35" spans="1:18">
      <c r="A35" s="14"/>
      <c r="B35" s="14"/>
      <c r="C35" s="14"/>
      <c r="D35" s="14"/>
      <c r="E35" s="14"/>
      <c r="F35" s="14"/>
      <c r="G35" s="1"/>
      <c r="H35" s="1"/>
      <c r="I35" s="1"/>
      <c r="J35" s="1"/>
      <c r="K35" s="1"/>
      <c r="L35" s="1"/>
    </row>
    <row r="36" spans="1:18">
      <c r="A36" s="3"/>
      <c r="B36" s="3"/>
      <c r="C36" s="3"/>
      <c r="D36" s="3"/>
      <c r="E36" s="3"/>
      <c r="F36" s="3"/>
      <c r="G36" s="3"/>
      <c r="H36" s="3"/>
      <c r="I36" s="3"/>
      <c r="J36" s="3"/>
      <c r="K36" s="3"/>
      <c r="L36" s="3"/>
      <c r="M36" s="3"/>
    </row>
    <row r="37" spans="1:18">
      <c r="A37" s="3" t="s">
        <v>20</v>
      </c>
      <c r="B37" s="3"/>
      <c r="C37" s="3"/>
      <c r="D37" s="3"/>
      <c r="E37" s="3"/>
      <c r="F37" s="3"/>
      <c r="G37" s="3"/>
      <c r="H37" s="3"/>
      <c r="I37" s="3"/>
      <c r="J37" s="3"/>
      <c r="K37" s="3"/>
      <c r="L37" s="3"/>
      <c r="M37" s="3"/>
      <c r="N37" s="9"/>
    </row>
    <row r="38" spans="1:18">
      <c r="A38" s="3"/>
      <c r="B38" s="2" t="s">
        <v>232</v>
      </c>
      <c r="E38" s="157">
        <f>D17*D18+(1-D18)*D19</f>
        <v>4.4000000000000004E-2</v>
      </c>
      <c r="F38" s="157"/>
      <c r="G38" s="18"/>
      <c r="H38" s="18"/>
      <c r="I38" s="18"/>
      <c r="J38" s="3"/>
      <c r="K38" s="3"/>
      <c r="L38" s="3"/>
      <c r="M38" s="3"/>
      <c r="N38" s="9"/>
    </row>
    <row r="39" spans="1:18">
      <c r="A39" s="3"/>
      <c r="B39" s="2" t="s">
        <v>233</v>
      </c>
      <c r="E39" s="157">
        <f>E17*E18+(1-E18)*E19</f>
        <v>5.5E-2</v>
      </c>
      <c r="G39" s="18"/>
      <c r="H39" s="18"/>
      <c r="I39" s="18"/>
      <c r="J39" s="3"/>
      <c r="K39" s="3"/>
      <c r="L39" s="3"/>
      <c r="M39" s="3"/>
      <c r="N39" s="9"/>
    </row>
    <row r="40" spans="1:18">
      <c r="A40" s="3"/>
      <c r="B40" s="18"/>
      <c r="C40" s="18"/>
      <c r="I40" s="157"/>
      <c r="J40" s="3"/>
      <c r="K40" s="3"/>
      <c r="L40" s="3"/>
      <c r="M40" s="3"/>
      <c r="N40" s="9"/>
    </row>
    <row r="41" spans="1:18">
      <c r="A41" s="3"/>
      <c r="C41" s="87" t="s">
        <v>234</v>
      </c>
      <c r="D41" s="87"/>
      <c r="F41" s="87" t="s">
        <v>235</v>
      </c>
      <c r="G41" s="87"/>
      <c r="J41" s="3"/>
      <c r="K41" s="3"/>
      <c r="L41" s="3"/>
      <c r="M41" s="3"/>
      <c r="N41" s="9"/>
    </row>
    <row r="42" spans="1:18" ht="31.2">
      <c r="A42" s="3"/>
      <c r="B42" s="93" t="s">
        <v>49</v>
      </c>
      <c r="C42" s="36" t="s">
        <v>170</v>
      </c>
      <c r="D42" s="35" t="s">
        <v>171</v>
      </c>
      <c r="E42" s="93" t="s">
        <v>172</v>
      </c>
      <c r="F42" s="158">
        <f>E38</f>
        <v>4.4000000000000004E-2</v>
      </c>
      <c r="G42" s="158">
        <f>E39</f>
        <v>5.5E-2</v>
      </c>
      <c r="J42" s="3"/>
      <c r="K42" s="3"/>
      <c r="L42" s="3"/>
      <c r="M42" s="3"/>
      <c r="N42" s="9"/>
    </row>
    <row r="43" spans="1:18">
      <c r="A43" s="3"/>
      <c r="B43" s="34">
        <v>2016</v>
      </c>
      <c r="C43" s="159">
        <f>DATE(B43,7,1)</f>
        <v>42552</v>
      </c>
      <c r="D43" s="159">
        <v>44652</v>
      </c>
      <c r="E43" s="34">
        <f>(12*YEAR(D43)+MONTH(D43))-(12*YEAR(C43)+MONTH(C43))</f>
        <v>69</v>
      </c>
      <c r="F43" s="160">
        <f>(1+$F$42)^(E43/12)</f>
        <v>1.2809372856749013</v>
      </c>
      <c r="G43" s="160">
        <f>(1+$G$42)^(E43/12)</f>
        <v>1.360509701209095</v>
      </c>
      <c r="J43" s="3"/>
      <c r="K43" s="3"/>
      <c r="L43" s="3"/>
      <c r="M43" s="3"/>
      <c r="N43" s="9"/>
    </row>
    <row r="44" spans="1:18">
      <c r="A44" s="3"/>
      <c r="B44" s="34">
        <v>2017</v>
      </c>
      <c r="C44" s="159">
        <f t="shared" ref="C44:C46" si="0">DATE(B44,7,1)</f>
        <v>42917</v>
      </c>
      <c r="D44" s="159">
        <v>44652</v>
      </c>
      <c r="E44" s="34">
        <f t="shared" ref="E44:E46" si="1">(12*YEAR(D44)+MONTH(D44))-(12*YEAR(C44)+MONTH(C44))</f>
        <v>57</v>
      </c>
      <c r="F44" s="160">
        <f t="shared" ref="F44:F46" si="2">(1+$F$42)^(E44/12)</f>
        <v>1.2269514230602503</v>
      </c>
      <c r="G44" s="160">
        <f t="shared" ref="G44:G46" si="3">(1+$G$42)^(E44/12)</f>
        <v>1.2895826551744978</v>
      </c>
      <c r="J44" s="3"/>
      <c r="K44" s="3"/>
      <c r="L44" s="3"/>
      <c r="M44" s="3"/>
      <c r="N44" s="9"/>
    </row>
    <row r="45" spans="1:18">
      <c r="A45" s="3"/>
      <c r="B45" s="34">
        <v>2018</v>
      </c>
      <c r="C45" s="159">
        <f t="shared" si="0"/>
        <v>43282</v>
      </c>
      <c r="D45" s="159">
        <v>44652</v>
      </c>
      <c r="E45" s="34">
        <f t="shared" si="1"/>
        <v>45</v>
      </c>
      <c r="F45" s="160">
        <f t="shared" si="2"/>
        <v>1.1752408266860634</v>
      </c>
      <c r="G45" s="160">
        <f t="shared" si="3"/>
        <v>1.2223532276535523</v>
      </c>
      <c r="J45" s="3"/>
      <c r="K45" s="3"/>
      <c r="L45" s="3"/>
      <c r="M45" s="3"/>
      <c r="N45" s="9"/>
    </row>
    <row r="46" spans="1:18">
      <c r="A46" s="3"/>
      <c r="B46" s="34">
        <v>2019</v>
      </c>
      <c r="C46" s="159">
        <f t="shared" si="0"/>
        <v>43647</v>
      </c>
      <c r="D46" s="159">
        <v>44652</v>
      </c>
      <c r="E46" s="34">
        <f t="shared" si="1"/>
        <v>33</v>
      </c>
      <c r="F46" s="160">
        <f t="shared" si="2"/>
        <v>1.1257096041054246</v>
      </c>
      <c r="G46" s="160">
        <f t="shared" si="3"/>
        <v>1.1586286518043152</v>
      </c>
      <c r="J46" s="3"/>
      <c r="K46" s="3"/>
      <c r="L46" s="3"/>
      <c r="M46" s="3"/>
      <c r="N46" s="9"/>
    </row>
    <row r="47" spans="1:18">
      <c r="A47" s="3"/>
      <c r="B47" s="34"/>
      <c r="C47" s="159"/>
      <c r="D47" s="159"/>
      <c r="E47" s="34"/>
      <c r="F47" s="160"/>
      <c r="G47" s="160"/>
      <c r="J47" s="3"/>
      <c r="K47" s="3"/>
      <c r="L47" s="3"/>
      <c r="M47" s="3"/>
      <c r="N47" s="9"/>
    </row>
    <row r="48" spans="1:18">
      <c r="A48" s="3"/>
      <c r="B48" s="34"/>
      <c r="C48" s="87" t="s">
        <v>236</v>
      </c>
      <c r="D48" s="87"/>
      <c r="J48" s="3"/>
      <c r="K48" s="3"/>
      <c r="L48" s="3"/>
      <c r="M48" s="3"/>
      <c r="N48" s="9"/>
    </row>
    <row r="49" spans="1:14" ht="46.8">
      <c r="A49" s="3"/>
      <c r="B49" s="93" t="s">
        <v>49</v>
      </c>
      <c r="C49" s="93" t="s">
        <v>237</v>
      </c>
      <c r="D49" s="93" t="s">
        <v>223</v>
      </c>
      <c r="E49" s="93" t="s">
        <v>238</v>
      </c>
      <c r="F49" s="93" t="s">
        <v>239</v>
      </c>
      <c r="G49" s="161"/>
      <c r="J49" s="3"/>
      <c r="K49" s="3"/>
      <c r="L49" s="3"/>
      <c r="M49" s="3"/>
      <c r="N49" s="9"/>
    </row>
    <row r="50" spans="1:14">
      <c r="A50" s="3"/>
      <c r="B50" s="34">
        <v>2016</v>
      </c>
      <c r="C50" s="83">
        <f t="shared" ref="C50:D53" si="4">D11*F43</f>
        <v>9504.5546597077682</v>
      </c>
      <c r="D50" s="83">
        <f t="shared" si="4"/>
        <v>10816.052124612304</v>
      </c>
      <c r="E50" s="160">
        <f>D50/C50</f>
        <v>1.1379862089135337</v>
      </c>
      <c r="F50" s="160">
        <f>E50*C28</f>
        <v>1.3450996989357968</v>
      </c>
      <c r="G50" s="162"/>
      <c r="I50" s="60"/>
      <c r="J50" s="3"/>
      <c r="K50" s="3"/>
      <c r="L50" s="3"/>
      <c r="M50" s="3"/>
      <c r="N50" s="9"/>
    </row>
    <row r="51" spans="1:14">
      <c r="A51" s="3"/>
      <c r="B51" s="34">
        <v>2017</v>
      </c>
      <c r="C51" s="83">
        <f t="shared" si="4"/>
        <v>9570.221099869952</v>
      </c>
      <c r="D51" s="83">
        <f t="shared" si="4"/>
        <v>10510.098639672156</v>
      </c>
      <c r="E51" s="160">
        <f>D51/C51</f>
        <v>1.0982085502512555</v>
      </c>
      <c r="F51" s="160">
        <f>E51*C29</f>
        <v>1.3013771320477379</v>
      </c>
      <c r="G51" s="162"/>
      <c r="I51" s="60"/>
      <c r="J51" s="3"/>
      <c r="K51" s="3"/>
      <c r="L51" s="3"/>
      <c r="M51" s="3"/>
      <c r="N51" s="9"/>
    </row>
    <row r="52" spans="1:14">
      <c r="A52" s="3"/>
      <c r="B52" s="34">
        <v>2018</v>
      </c>
      <c r="C52" s="83">
        <f t="shared" si="4"/>
        <v>9989.5470268315385</v>
      </c>
      <c r="D52" s="83">
        <f t="shared" si="4"/>
        <v>10622.24954830937</v>
      </c>
      <c r="E52" s="160">
        <f>D52/C52</f>
        <v>1.0633364575769468</v>
      </c>
      <c r="F52" s="160">
        <f>E52*C30</f>
        <v>1.3504373011227224</v>
      </c>
      <c r="G52" s="162"/>
      <c r="I52" s="60"/>
      <c r="J52" s="3"/>
      <c r="K52" s="3"/>
      <c r="L52" s="3"/>
      <c r="M52" s="3"/>
      <c r="N52" s="9"/>
    </row>
    <row r="53" spans="1:14">
      <c r="A53" s="3"/>
      <c r="B53" s="34">
        <v>2019</v>
      </c>
      <c r="C53" s="83">
        <f t="shared" si="4"/>
        <v>10300.242877564635</v>
      </c>
      <c r="D53" s="83">
        <f t="shared" si="4"/>
        <v>10798.419034816217</v>
      </c>
      <c r="E53" s="160">
        <f>D53/C53</f>
        <v>1.0483654767342117</v>
      </c>
      <c r="F53" s="160">
        <f>E53*C31</f>
        <v>1.347149637603462</v>
      </c>
      <c r="G53" s="162"/>
      <c r="J53" s="3"/>
      <c r="K53" s="3"/>
      <c r="L53" s="3"/>
      <c r="M53" s="3"/>
      <c r="N53" s="9"/>
    </row>
    <row r="55" spans="1:14">
      <c r="A55" s="15" t="s">
        <v>144</v>
      </c>
      <c r="B55" s="14"/>
      <c r="C55" s="14"/>
      <c r="D55" s="14"/>
      <c r="E55" s="14"/>
      <c r="F55" s="14"/>
      <c r="G55" s="14"/>
      <c r="H55" s="14"/>
      <c r="I55" s="14"/>
      <c r="J55" s="14"/>
      <c r="K55" s="14"/>
      <c r="L55" s="14"/>
    </row>
    <row r="56" spans="1:14">
      <c r="A56" s="3"/>
      <c r="B56" s="3"/>
      <c r="C56" s="3"/>
      <c r="D56" s="3"/>
      <c r="E56" s="3"/>
      <c r="F56" s="3"/>
      <c r="G56" s="3"/>
      <c r="H56" s="3"/>
      <c r="I56" s="3"/>
      <c r="J56" s="3"/>
      <c r="K56" s="3"/>
      <c r="L56" s="3"/>
    </row>
    <row r="57" spans="1:14">
      <c r="A57" s="15" t="s">
        <v>146</v>
      </c>
      <c r="B57" s="14"/>
      <c r="C57" s="14"/>
      <c r="D57" s="14"/>
      <c r="E57" s="14"/>
      <c r="F57" s="14"/>
      <c r="G57" s="14"/>
      <c r="H57" s="14"/>
      <c r="I57" s="14"/>
      <c r="J57" s="14"/>
      <c r="K57" s="14"/>
      <c r="L57" s="14"/>
    </row>
  </sheetData>
  <mergeCells count="9">
    <mergeCell ref="B17:C17"/>
    <mergeCell ref="B18:C18"/>
    <mergeCell ref="B19:C19"/>
    <mergeCell ref="B10:C10"/>
    <mergeCell ref="B11:C11"/>
    <mergeCell ref="B12:C12"/>
    <mergeCell ref="B13:C13"/>
    <mergeCell ref="B14:C14"/>
    <mergeCell ref="B16:C16"/>
  </mergeCells>
  <hyperlinks>
    <hyperlink ref="O1" location="TOC!A1" display="Table of Contents" xr:uid="{1E60E228-C144-45AC-BE72-BDA345CF3315}"/>
  </hyperlinks>
  <pageMargins left="0.39370078740157483" right="0.39370078740157483" top="0.39370078740157483" bottom="0.39370078740157483" header="0.31496062992125984" footer="0.31496062992125984"/>
  <pageSetup scale="74" orientation="portrait" verticalDpi="1200" r:id="rId1"/>
  <headerFooter>
    <oddFooter>&amp;L&amp;F [&amp;A]&amp;R&amp;P of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B97C-3FCE-4F9D-9908-207177DE74C5}">
  <dimension ref="A1:R70"/>
  <sheetViews>
    <sheetView zoomScaleNormal="100" workbookViewId="0"/>
  </sheetViews>
  <sheetFormatPr defaultColWidth="8.88671875" defaultRowHeight="15.6"/>
  <cols>
    <col min="1" max="1" width="8.88671875" style="2" customWidth="1"/>
    <col min="2" max="3" width="10.6640625" style="2" customWidth="1"/>
    <col min="4" max="5" width="20.6640625" style="2" customWidth="1"/>
    <col min="6" max="7" width="13.77734375" style="2" customWidth="1"/>
    <col min="8" max="8" width="8.88671875" style="2" customWidth="1"/>
    <col min="9" max="16384" width="8.88671875" style="2"/>
  </cols>
  <sheetData>
    <row r="1" spans="1:18" ht="17.399999999999999">
      <c r="A1" s="13" t="s">
        <v>2278</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1719</v>
      </c>
      <c r="B3" s="1"/>
      <c r="C3" s="1"/>
      <c r="D3" s="1"/>
      <c r="E3" s="1"/>
      <c r="F3" s="1"/>
      <c r="G3" s="1"/>
      <c r="H3" s="1"/>
      <c r="I3" s="1"/>
      <c r="J3" s="1"/>
      <c r="K3" s="1"/>
      <c r="L3" s="14"/>
    </row>
    <row r="4" spans="1:18">
      <c r="A4" s="43"/>
      <c r="B4" s="1"/>
      <c r="C4" s="1"/>
      <c r="D4" s="1"/>
      <c r="E4" s="1"/>
      <c r="F4" s="1"/>
      <c r="G4" s="1"/>
      <c r="H4" s="1"/>
      <c r="I4" s="1"/>
      <c r="J4" s="1"/>
      <c r="K4" s="1"/>
      <c r="L4" s="1"/>
    </row>
    <row r="5" spans="1:18" ht="31.2">
      <c r="A5" s="43"/>
      <c r="B5" s="4" t="s">
        <v>2236</v>
      </c>
      <c r="C5" s="4" t="s">
        <v>2237</v>
      </c>
      <c r="D5" s="4" t="s">
        <v>2238</v>
      </c>
      <c r="E5" s="4" t="s">
        <v>2239</v>
      </c>
      <c r="F5" s="1"/>
      <c r="G5" s="1"/>
      <c r="H5" s="1"/>
      <c r="I5" s="1"/>
      <c r="J5" s="1"/>
      <c r="K5" s="1"/>
      <c r="L5" s="1"/>
    </row>
    <row r="6" spans="1:18">
      <c r="A6" s="43"/>
      <c r="B6" s="6">
        <v>501</v>
      </c>
      <c r="C6" s="7">
        <v>5000</v>
      </c>
      <c r="D6" s="491">
        <v>44013</v>
      </c>
      <c r="E6" s="491">
        <v>44742</v>
      </c>
      <c r="F6" s="1"/>
      <c r="G6" s="1"/>
      <c r="H6" s="1"/>
      <c r="I6" s="1"/>
      <c r="J6" s="1"/>
      <c r="K6" s="1"/>
      <c r="L6" s="1"/>
    </row>
    <row r="7" spans="1:18">
      <c r="A7" s="43"/>
      <c r="B7" s="6">
        <v>502</v>
      </c>
      <c r="C7" s="7">
        <v>3600</v>
      </c>
      <c r="D7" s="491">
        <v>44287</v>
      </c>
      <c r="E7" s="491">
        <v>45382</v>
      </c>
      <c r="F7" s="1"/>
      <c r="G7" s="1"/>
      <c r="H7" s="1"/>
      <c r="I7" s="1"/>
      <c r="J7" s="1"/>
      <c r="K7" s="1"/>
      <c r="L7" s="1"/>
    </row>
    <row r="8" spans="1:18">
      <c r="A8" s="43"/>
      <c r="B8" s="6">
        <v>503</v>
      </c>
      <c r="C8" s="7">
        <v>2400</v>
      </c>
      <c r="D8" s="491">
        <v>44562</v>
      </c>
      <c r="E8" s="491">
        <v>45657</v>
      </c>
      <c r="F8" s="1"/>
      <c r="G8" s="1"/>
      <c r="H8" s="1"/>
      <c r="I8" s="1"/>
      <c r="J8" s="1"/>
      <c r="K8" s="1"/>
      <c r="L8" s="1"/>
    </row>
    <row r="9" spans="1:18">
      <c r="A9" s="1"/>
      <c r="B9" s="6">
        <v>504</v>
      </c>
      <c r="C9" s="7">
        <v>4800</v>
      </c>
      <c r="D9" s="491">
        <v>44805</v>
      </c>
      <c r="E9" s="491">
        <v>45535</v>
      </c>
      <c r="F9" s="1"/>
      <c r="G9" s="1"/>
      <c r="H9" s="1"/>
      <c r="I9" s="1"/>
      <c r="J9" s="1"/>
      <c r="K9" s="1"/>
      <c r="L9" s="1"/>
    </row>
    <row r="10" spans="1:18">
      <c r="A10" s="1"/>
      <c r="B10" s="1"/>
      <c r="C10" s="1"/>
      <c r="D10" s="1"/>
      <c r="E10" s="1"/>
      <c r="F10" s="1"/>
      <c r="G10" s="1"/>
      <c r="H10" s="1"/>
      <c r="I10" s="1"/>
      <c r="J10" s="1"/>
      <c r="K10" s="1"/>
      <c r="L10" s="1"/>
    </row>
    <row r="11" spans="1:18">
      <c r="A11" s="43"/>
      <c r="B11" s="1" t="s">
        <v>2240</v>
      </c>
      <c r="C11" s="1"/>
      <c r="D11" s="1"/>
      <c r="E11" s="1"/>
      <c r="F11" s="1"/>
      <c r="G11" s="1"/>
      <c r="H11" s="1"/>
      <c r="I11" s="1"/>
      <c r="J11" s="1"/>
      <c r="K11" s="1"/>
      <c r="L11" s="1"/>
    </row>
    <row r="12" spans="1:18">
      <c r="A12" s="1"/>
      <c r="B12" s="1" t="s">
        <v>2058</v>
      </c>
      <c r="C12" s="1"/>
      <c r="D12" s="1"/>
      <c r="E12" s="1"/>
      <c r="F12" s="1"/>
      <c r="G12" s="1"/>
      <c r="H12" s="1"/>
      <c r="I12" s="1"/>
      <c r="J12" s="1"/>
      <c r="K12" s="1"/>
      <c r="L12" s="1"/>
    </row>
    <row r="13" spans="1:18">
      <c r="A13" s="1"/>
      <c r="B13" s="1" t="s">
        <v>2241</v>
      </c>
      <c r="C13" s="1"/>
      <c r="D13" s="1"/>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91</v>
      </c>
      <c r="B16" s="1" t="s">
        <v>2242</v>
      </c>
      <c r="C16" s="1"/>
      <c r="D16" s="1"/>
      <c r="E16" s="1"/>
      <c r="F16" s="1"/>
      <c r="G16" s="1"/>
      <c r="H16" s="1"/>
      <c r="I16" s="1"/>
      <c r="J16" s="1"/>
      <c r="K16" s="1"/>
      <c r="L16" s="1"/>
      <c r="M16" s="9"/>
      <c r="N16" s="9"/>
      <c r="O16" s="9"/>
      <c r="P16" s="9"/>
      <c r="Q16" s="9"/>
      <c r="R16" s="9"/>
    </row>
    <row r="17" spans="1:14">
      <c r="A17" s="3"/>
      <c r="B17" s="3"/>
      <c r="C17" s="3"/>
      <c r="D17" s="3"/>
      <c r="E17" s="3"/>
      <c r="F17" s="3"/>
      <c r="G17" s="3"/>
      <c r="H17" s="3"/>
      <c r="I17" s="3"/>
      <c r="J17" s="3"/>
      <c r="K17" s="3"/>
      <c r="L17" s="3"/>
      <c r="M17" s="3"/>
    </row>
    <row r="18" spans="1:14">
      <c r="A18" s="3" t="s">
        <v>20</v>
      </c>
      <c r="B18" s="3"/>
      <c r="C18" s="3"/>
      <c r="D18" s="3"/>
      <c r="E18" s="3"/>
      <c r="F18" s="3"/>
      <c r="G18" s="3"/>
      <c r="H18" s="3"/>
      <c r="I18" s="3"/>
      <c r="J18" s="3"/>
      <c r="K18" s="3"/>
      <c r="L18" s="3"/>
      <c r="M18" s="3"/>
      <c r="N18" s="9"/>
    </row>
    <row r="19" spans="1:14" ht="31.2">
      <c r="B19" s="93" t="s">
        <v>2236</v>
      </c>
      <c r="C19" s="93" t="s">
        <v>2237</v>
      </c>
      <c r="D19" s="93" t="s">
        <v>2238</v>
      </c>
      <c r="E19" s="93" t="s">
        <v>2239</v>
      </c>
      <c r="F19" s="93" t="s">
        <v>2243</v>
      </c>
      <c r="G19" s="93" t="s">
        <v>2244</v>
      </c>
      <c r="M19" s="9"/>
      <c r="N19" s="9"/>
    </row>
    <row r="20" spans="1:14">
      <c r="B20" s="94">
        <f t="shared" ref="B20:E23" si="0">B6</f>
        <v>501</v>
      </c>
      <c r="C20" s="106">
        <f t="shared" si="0"/>
        <v>5000</v>
      </c>
      <c r="D20" s="520">
        <f t="shared" si="0"/>
        <v>44013</v>
      </c>
      <c r="E20" s="520">
        <f t="shared" si="0"/>
        <v>44742</v>
      </c>
      <c r="F20" s="181">
        <v>0</v>
      </c>
      <c r="G20" s="106">
        <f>$C20*F20</f>
        <v>0</v>
      </c>
      <c r="M20" s="9"/>
      <c r="N20" s="9"/>
    </row>
    <row r="21" spans="1:14">
      <c r="B21" s="94">
        <f t="shared" si="0"/>
        <v>502</v>
      </c>
      <c r="C21" s="106">
        <f t="shared" si="0"/>
        <v>3600</v>
      </c>
      <c r="D21" s="520">
        <f t="shared" si="0"/>
        <v>44287</v>
      </c>
      <c r="E21" s="520">
        <f t="shared" si="0"/>
        <v>45382</v>
      </c>
      <c r="F21" s="181">
        <f>1/3</f>
        <v>0.33333333333333331</v>
      </c>
      <c r="G21" s="106">
        <f t="shared" ref="G21:G23" si="1">$C21*F21</f>
        <v>1200</v>
      </c>
      <c r="M21" s="9"/>
      <c r="N21" s="9"/>
    </row>
    <row r="22" spans="1:14">
      <c r="B22" s="94">
        <f t="shared" si="0"/>
        <v>503</v>
      </c>
      <c r="C22" s="106">
        <f t="shared" si="0"/>
        <v>2400</v>
      </c>
      <c r="D22" s="520">
        <f t="shared" si="0"/>
        <v>44562</v>
      </c>
      <c r="E22" s="520">
        <f t="shared" si="0"/>
        <v>45657</v>
      </c>
      <c r="F22" s="181">
        <f>1/3</f>
        <v>0.33333333333333331</v>
      </c>
      <c r="G22" s="106">
        <f t="shared" si="1"/>
        <v>800</v>
      </c>
      <c r="M22" s="9"/>
      <c r="N22" s="9"/>
    </row>
    <row r="23" spans="1:14">
      <c r="B23" s="107">
        <f t="shared" si="0"/>
        <v>504</v>
      </c>
      <c r="C23" s="110">
        <f t="shared" si="0"/>
        <v>4800</v>
      </c>
      <c r="D23" s="522">
        <f t="shared" si="0"/>
        <v>44805</v>
      </c>
      <c r="E23" s="522">
        <f t="shared" si="0"/>
        <v>45535</v>
      </c>
      <c r="F23" s="183">
        <v>0.5</v>
      </c>
      <c r="G23" s="110">
        <f t="shared" si="1"/>
        <v>2400</v>
      </c>
      <c r="M23" s="9"/>
      <c r="N23" s="9"/>
    </row>
    <row r="24" spans="1:14">
      <c r="B24" s="94" t="s">
        <v>132</v>
      </c>
      <c r="C24" s="3"/>
      <c r="D24" s="3"/>
      <c r="E24" s="3"/>
      <c r="F24" s="3"/>
      <c r="G24" s="106">
        <f>SUM(G20:G23)</f>
        <v>4400</v>
      </c>
      <c r="M24" s="9"/>
      <c r="N24" s="9"/>
    </row>
    <row r="26" spans="1:14">
      <c r="A26" s="17" t="s">
        <v>133</v>
      </c>
      <c r="B26" s="1" t="s">
        <v>2245</v>
      </c>
      <c r="C26" s="1"/>
      <c r="D26" s="1"/>
      <c r="E26" s="1"/>
      <c r="F26" s="1"/>
      <c r="G26" s="1"/>
      <c r="H26" s="1"/>
      <c r="I26" s="1"/>
      <c r="J26" s="1"/>
      <c r="K26" s="1"/>
      <c r="L26" s="1"/>
    </row>
    <row r="27" spans="1:14">
      <c r="A27" s="3"/>
      <c r="B27" s="3"/>
      <c r="C27" s="3"/>
      <c r="D27" s="3"/>
      <c r="E27" s="3"/>
      <c r="F27" s="3"/>
      <c r="G27" s="3"/>
      <c r="H27" s="3"/>
      <c r="I27" s="3"/>
      <c r="J27" s="3"/>
      <c r="K27" s="3"/>
      <c r="L27" s="3"/>
    </row>
    <row r="28" spans="1:14">
      <c r="A28" s="3" t="s">
        <v>20</v>
      </c>
      <c r="B28" s="3"/>
      <c r="C28" s="3"/>
      <c r="D28" s="3"/>
      <c r="E28" s="3"/>
      <c r="F28" s="3"/>
      <c r="G28" s="3"/>
      <c r="H28" s="3"/>
      <c r="I28" s="3"/>
      <c r="J28" s="3"/>
      <c r="K28" s="3"/>
      <c r="L28" s="3"/>
    </row>
    <row r="29" spans="1:14" ht="31.2">
      <c r="B29" s="93" t="s">
        <v>2236</v>
      </c>
      <c r="C29" s="691" t="s">
        <v>2246</v>
      </c>
      <c r="D29" s="691"/>
      <c r="E29" s="93" t="s">
        <v>2247</v>
      </c>
      <c r="M29" s="3"/>
    </row>
    <row r="30" spans="1:14">
      <c r="B30" s="94">
        <f>B20</f>
        <v>501</v>
      </c>
      <c r="C30" s="692" t="s">
        <v>2248</v>
      </c>
      <c r="D30" s="693">
        <f>6/24</f>
        <v>0.25</v>
      </c>
      <c r="E30" s="106">
        <f>$C20*D30</f>
        <v>1250</v>
      </c>
    </row>
    <row r="31" spans="1:14">
      <c r="B31" s="94">
        <f>B21</f>
        <v>502</v>
      </c>
      <c r="C31" s="692" t="s">
        <v>2249</v>
      </c>
      <c r="D31" s="693">
        <f>1/3</f>
        <v>0.33333333333333331</v>
      </c>
      <c r="E31" s="106">
        <f>$C21*D31</f>
        <v>1200</v>
      </c>
    </row>
    <row r="32" spans="1:14">
      <c r="B32" s="94">
        <f>B22</f>
        <v>503</v>
      </c>
      <c r="C32" s="692" t="s">
        <v>2249</v>
      </c>
      <c r="D32" s="693">
        <f>1/3</f>
        <v>0.33333333333333331</v>
      </c>
      <c r="E32" s="106">
        <f>$C22*D32</f>
        <v>800</v>
      </c>
    </row>
    <row r="33" spans="1:12">
      <c r="B33" s="107">
        <f>B23</f>
        <v>504</v>
      </c>
      <c r="C33" s="694" t="s">
        <v>2250</v>
      </c>
      <c r="D33" s="695">
        <f>4/24</f>
        <v>0.16666666666666666</v>
      </c>
      <c r="E33" s="110">
        <f>$C23*D33</f>
        <v>800</v>
      </c>
    </row>
    <row r="34" spans="1:12">
      <c r="B34" s="94" t="s">
        <v>132</v>
      </c>
      <c r="C34" s="106"/>
      <c r="D34" s="3"/>
      <c r="E34" s="106">
        <f>SUM(E30:E33)</f>
        <v>4050</v>
      </c>
    </row>
    <row r="36" spans="1:12">
      <c r="A36" s="17" t="s">
        <v>18</v>
      </c>
      <c r="B36" s="1" t="s">
        <v>2251</v>
      </c>
      <c r="C36" s="1"/>
      <c r="D36" s="1"/>
      <c r="E36" s="1"/>
      <c r="F36" s="1"/>
      <c r="G36" s="1"/>
      <c r="H36" s="1"/>
      <c r="I36" s="1"/>
      <c r="J36" s="1"/>
      <c r="K36" s="1"/>
      <c r="L36" s="1"/>
    </row>
    <row r="37" spans="1:12">
      <c r="A37" s="3"/>
      <c r="B37" s="3"/>
      <c r="C37" s="3"/>
      <c r="D37" s="3"/>
      <c r="E37" s="3"/>
      <c r="F37" s="3"/>
      <c r="G37" s="3"/>
      <c r="H37" s="3"/>
      <c r="I37" s="3"/>
      <c r="J37" s="3"/>
      <c r="K37" s="3"/>
      <c r="L37" s="3"/>
    </row>
    <row r="38" spans="1:12">
      <c r="A38" s="3" t="s">
        <v>20</v>
      </c>
      <c r="B38" s="3"/>
      <c r="C38" s="3"/>
      <c r="D38" s="3"/>
      <c r="E38" s="3"/>
      <c r="F38" s="3"/>
      <c r="G38" s="3"/>
      <c r="H38" s="3"/>
      <c r="I38" s="3"/>
      <c r="J38" s="3"/>
      <c r="K38" s="3"/>
      <c r="L38" s="3"/>
    </row>
    <row r="39" spans="1:12" ht="46.8">
      <c r="A39" s="3"/>
      <c r="B39" s="93" t="s">
        <v>2236</v>
      </c>
      <c r="C39" s="93" t="s">
        <v>2252</v>
      </c>
      <c r="D39" s="93" t="s">
        <v>2253</v>
      </c>
      <c r="E39" s="93" t="s">
        <v>2254</v>
      </c>
      <c r="F39" s="93" t="s">
        <v>2255</v>
      </c>
      <c r="G39" s="3"/>
      <c r="H39" s="3"/>
      <c r="I39" s="3"/>
      <c r="J39" s="3"/>
      <c r="K39" s="3"/>
      <c r="L39" s="3"/>
    </row>
    <row r="40" spans="1:12">
      <c r="A40" s="3"/>
      <c r="B40" s="94">
        <f>B20</f>
        <v>501</v>
      </c>
      <c r="C40" s="106">
        <f>C20/2</f>
        <v>2500</v>
      </c>
      <c r="D40" s="443">
        <f>DATE(2022,MONTH(D20),1)</f>
        <v>44743</v>
      </c>
      <c r="E40" s="106">
        <v>0</v>
      </c>
      <c r="F40" s="106">
        <f>C40*E40/12</f>
        <v>0</v>
      </c>
      <c r="G40" s="3"/>
      <c r="H40" s="3"/>
      <c r="I40" s="3"/>
      <c r="J40" s="3"/>
      <c r="K40" s="3"/>
      <c r="L40" s="3"/>
    </row>
    <row r="41" spans="1:12">
      <c r="A41" s="3"/>
      <c r="B41" s="94">
        <f>B21</f>
        <v>502</v>
      </c>
      <c r="C41" s="106">
        <f>C21/3</f>
        <v>1200</v>
      </c>
      <c r="D41" s="443">
        <f>DATE(2022,MONTH(D21),1)</f>
        <v>44652</v>
      </c>
      <c r="E41" s="106">
        <f t="shared" ref="E41:E43" si="2">12-13+MONTH(D41)</f>
        <v>3</v>
      </c>
      <c r="F41" s="106">
        <f t="shared" ref="F41:F43" si="3">C41*E41/12</f>
        <v>300</v>
      </c>
      <c r="G41" s="3"/>
      <c r="H41" s="3"/>
      <c r="I41" s="3"/>
      <c r="J41" s="3"/>
      <c r="K41" s="3"/>
      <c r="L41" s="3"/>
    </row>
    <row r="42" spans="1:12">
      <c r="A42" s="3"/>
      <c r="B42" s="94">
        <f>B22</f>
        <v>503</v>
      </c>
      <c r="C42" s="106">
        <f>C22/3</f>
        <v>800</v>
      </c>
      <c r="D42" s="443">
        <f>DATE(2022,MONTH(D22),1)</f>
        <v>44562</v>
      </c>
      <c r="E42" s="106">
        <f t="shared" si="2"/>
        <v>0</v>
      </c>
      <c r="F42" s="106">
        <f t="shared" si="3"/>
        <v>0</v>
      </c>
      <c r="G42" s="3"/>
      <c r="H42" s="3"/>
      <c r="I42" s="3"/>
      <c r="J42" s="3"/>
      <c r="K42" s="3"/>
      <c r="L42" s="3"/>
    </row>
    <row r="43" spans="1:12">
      <c r="A43" s="3"/>
      <c r="B43" s="107">
        <f>B23</f>
        <v>504</v>
      </c>
      <c r="C43" s="110">
        <f>C23/2</f>
        <v>2400</v>
      </c>
      <c r="D43" s="445">
        <f>DATE(2022,MONTH(D23),1)</f>
        <v>44805</v>
      </c>
      <c r="E43" s="110">
        <f t="shared" si="2"/>
        <v>8</v>
      </c>
      <c r="F43" s="110">
        <f t="shared" si="3"/>
        <v>1600</v>
      </c>
      <c r="G43" s="3"/>
      <c r="H43" s="3"/>
      <c r="I43" s="3"/>
      <c r="J43" s="3"/>
      <c r="K43" s="3"/>
      <c r="L43" s="3"/>
    </row>
    <row r="44" spans="1:12">
      <c r="A44" s="3"/>
      <c r="B44" s="94" t="s">
        <v>132</v>
      </c>
      <c r="C44" s="696"/>
      <c r="D44" s="696"/>
      <c r="E44" s="696"/>
      <c r="F44" s="106">
        <f>SUM(F40:F43)</f>
        <v>1900</v>
      </c>
      <c r="G44" s="3"/>
      <c r="H44" s="3"/>
      <c r="I44" s="3"/>
      <c r="J44" s="3"/>
      <c r="K44" s="3"/>
      <c r="L44" s="3"/>
    </row>
    <row r="46" spans="1:12">
      <c r="A46" s="1"/>
      <c r="B46" s="1"/>
      <c r="C46" s="1"/>
      <c r="D46" s="1"/>
      <c r="E46" s="1"/>
      <c r="F46" s="1"/>
      <c r="G46" s="1"/>
      <c r="H46" s="1"/>
      <c r="I46" s="1"/>
      <c r="J46" s="1"/>
      <c r="K46" s="1"/>
      <c r="L46" s="1"/>
    </row>
    <row r="47" spans="1:12">
      <c r="A47" s="260" t="s">
        <v>2256</v>
      </c>
      <c r="B47" s="1"/>
      <c r="C47" s="1"/>
      <c r="D47" s="1"/>
      <c r="E47" s="1"/>
      <c r="F47" s="1"/>
      <c r="G47" s="1"/>
      <c r="H47" s="1"/>
      <c r="I47" s="1"/>
      <c r="J47" s="1"/>
      <c r="K47" s="1"/>
      <c r="L47" s="1"/>
    </row>
    <row r="48" spans="1:12">
      <c r="A48" s="1"/>
      <c r="B48" s="1"/>
      <c r="C48" s="1"/>
      <c r="D48" s="1"/>
      <c r="E48" s="1"/>
      <c r="F48" s="1"/>
      <c r="G48" s="1"/>
      <c r="H48" s="1"/>
      <c r="I48" s="1"/>
      <c r="J48" s="1"/>
      <c r="K48" s="1"/>
      <c r="L48" s="1"/>
    </row>
    <row r="50" spans="1:13">
      <c r="A50" s="17" t="s">
        <v>25</v>
      </c>
      <c r="B50" s="1" t="s">
        <v>2257</v>
      </c>
      <c r="C50" s="1"/>
      <c r="D50" s="1"/>
      <c r="E50" s="1"/>
      <c r="F50" s="1"/>
      <c r="G50" s="1"/>
      <c r="H50" s="1"/>
      <c r="I50" s="1"/>
      <c r="J50" s="1"/>
      <c r="K50" s="1"/>
      <c r="L50" s="1"/>
    </row>
    <row r="51" spans="1:13">
      <c r="A51" s="3"/>
      <c r="B51" s="3"/>
      <c r="C51" s="3"/>
      <c r="D51" s="3"/>
      <c r="E51" s="3"/>
      <c r="F51" s="3"/>
      <c r="G51" s="3"/>
      <c r="H51" s="3"/>
      <c r="I51" s="3"/>
      <c r="J51" s="3"/>
      <c r="K51" s="3"/>
      <c r="L51" s="3"/>
    </row>
    <row r="52" spans="1:13">
      <c r="A52" s="3" t="s">
        <v>20</v>
      </c>
      <c r="B52" s="3"/>
      <c r="C52" s="3"/>
      <c r="D52" s="3"/>
      <c r="E52" s="3"/>
      <c r="F52" s="3"/>
      <c r="G52" s="3"/>
      <c r="H52" s="3"/>
      <c r="I52" s="3"/>
      <c r="J52" s="3"/>
      <c r="K52" s="3"/>
      <c r="L52" s="3"/>
    </row>
    <row r="53" spans="1:13">
      <c r="A53" s="3"/>
      <c r="B53" s="3" t="str">
        <f>"Annual premium written on "&amp;TEXT(D23,"mmm. d, yyyy")&amp;" ="</f>
        <v>Annual premium written on Sep. 1, 2022 =</v>
      </c>
      <c r="C53" s="3"/>
      <c r="D53" s="3"/>
      <c r="E53" s="3"/>
      <c r="F53" s="3"/>
      <c r="G53" s="106">
        <f>G23</f>
        <v>2400</v>
      </c>
      <c r="I53" s="3"/>
      <c r="J53" s="3"/>
      <c r="K53" s="3"/>
      <c r="L53" s="3"/>
    </row>
    <row r="54" spans="1:13">
      <c r="A54" s="3"/>
      <c r="B54" s="3" t="str">
        <f>"Number of months of earned premium during 1st year: (i.e., "&amp;TEXT(D23,"mmm. d, yyyy")&amp;" to "&amp;TEXT(DATE(1+YEAR(D23),MONTH(D23),DAY(D23)),"mmm. D, yyyy")&amp;")"</f>
        <v>Number of months of earned premium during 1st year: (i.e., Sep. 1, 2022 to Sep. 1, 2023)</v>
      </c>
      <c r="C54" s="3"/>
      <c r="D54" s="3"/>
      <c r="E54" s="3"/>
      <c r="F54" s="3"/>
      <c r="G54" s="94">
        <v>6</v>
      </c>
      <c r="I54" s="3"/>
      <c r="J54" s="3"/>
      <c r="K54" s="3"/>
      <c r="L54" s="3"/>
    </row>
    <row r="55" spans="1:13">
      <c r="B55" s="3"/>
      <c r="C55" s="3"/>
      <c r="D55" s="100" t="s">
        <v>2258</v>
      </c>
      <c r="E55" s="3"/>
      <c r="F55" s="3"/>
      <c r="G55" s="94"/>
    </row>
    <row r="56" spans="1:13">
      <c r="B56" s="3" t="s">
        <v>2259</v>
      </c>
      <c r="C56" s="3"/>
      <c r="D56" s="3"/>
      <c r="E56" s="3"/>
      <c r="F56" s="3"/>
      <c r="G56" s="94">
        <f>G53/G54</f>
        <v>400</v>
      </c>
    </row>
    <row r="57" spans="1:13">
      <c r="B57" s="3" t="s">
        <v>2260</v>
      </c>
      <c r="C57" s="3"/>
      <c r="D57" s="3"/>
      <c r="E57" s="3"/>
      <c r="F57" s="3"/>
      <c r="G57" s="94">
        <v>1</v>
      </c>
      <c r="M57" s="3"/>
    </row>
    <row r="58" spans="1:13">
      <c r="B58" s="3" t="s">
        <v>2261</v>
      </c>
      <c r="C58" s="3"/>
      <c r="D58" s="3"/>
      <c r="E58" s="3"/>
      <c r="F58" s="3"/>
      <c r="G58" s="94">
        <f>G57*G56</f>
        <v>400</v>
      </c>
      <c r="M58" s="3"/>
    </row>
    <row r="60" spans="1:13">
      <c r="A60" s="17" t="s">
        <v>147</v>
      </c>
      <c r="B60" s="1" t="s">
        <v>2262</v>
      </c>
      <c r="C60" s="1"/>
      <c r="D60" s="1"/>
      <c r="E60" s="1"/>
      <c r="F60" s="1"/>
      <c r="G60" s="1"/>
      <c r="H60" s="1"/>
      <c r="I60" s="1"/>
      <c r="J60" s="1"/>
      <c r="K60" s="1"/>
      <c r="L60" s="1"/>
    </row>
    <row r="61" spans="1:13">
      <c r="A61" s="3"/>
      <c r="B61" s="3"/>
      <c r="C61" s="3"/>
      <c r="D61" s="3"/>
      <c r="E61" s="3"/>
      <c r="F61" s="3"/>
      <c r="G61" s="3"/>
      <c r="H61" s="3"/>
      <c r="I61" s="3"/>
      <c r="J61" s="3"/>
      <c r="K61" s="3"/>
      <c r="L61" s="3"/>
    </row>
    <row r="62" spans="1:13">
      <c r="A62" s="3" t="s">
        <v>20</v>
      </c>
      <c r="B62" s="3"/>
      <c r="C62" s="3"/>
      <c r="D62" s="3"/>
      <c r="E62" s="3"/>
      <c r="F62" s="3"/>
      <c r="G62" s="3"/>
      <c r="H62" s="3"/>
      <c r="I62" s="3"/>
      <c r="J62" s="3"/>
      <c r="K62" s="3"/>
      <c r="L62" s="3"/>
    </row>
    <row r="63" spans="1:13">
      <c r="B63" s="3" t="s">
        <v>2263</v>
      </c>
      <c r="C63" s="3"/>
      <c r="D63" s="3"/>
      <c r="E63" s="3"/>
      <c r="F63" s="3"/>
      <c r="G63" s="3"/>
      <c r="H63" s="94">
        <f>G54-G57</f>
        <v>5</v>
      </c>
    </row>
    <row r="64" spans="1:13">
      <c r="B64" s="3" t="s">
        <v>2264</v>
      </c>
      <c r="C64" s="3"/>
      <c r="D64" s="3"/>
      <c r="E64" s="3"/>
      <c r="F64" s="3"/>
      <c r="G64" s="3"/>
      <c r="H64" s="106">
        <f>H63*G56</f>
        <v>2000</v>
      </c>
    </row>
    <row r="66" spans="1:12">
      <c r="A66" s="17" t="s">
        <v>545</v>
      </c>
      <c r="B66" s="831" t="s">
        <v>2265</v>
      </c>
      <c r="C66" s="831"/>
      <c r="D66" s="831"/>
      <c r="E66" s="831"/>
      <c r="F66" s="831"/>
      <c r="G66" s="831"/>
      <c r="H66" s="831"/>
      <c r="I66" s="831"/>
      <c r="J66" s="831"/>
      <c r="K66" s="831"/>
      <c r="L66" s="1"/>
    </row>
    <row r="67" spans="1:12">
      <c r="A67" s="17"/>
      <c r="B67" s="831"/>
      <c r="C67" s="831"/>
      <c r="D67" s="831"/>
      <c r="E67" s="831"/>
      <c r="F67" s="831"/>
      <c r="G67" s="831"/>
      <c r="H67" s="831"/>
      <c r="I67" s="831"/>
      <c r="J67" s="831"/>
      <c r="K67" s="831"/>
      <c r="L67" s="1"/>
    </row>
    <row r="68" spans="1:12">
      <c r="A68" s="3"/>
      <c r="B68" s="3"/>
      <c r="C68" s="3"/>
      <c r="D68" s="3"/>
      <c r="E68" s="3"/>
      <c r="F68" s="3"/>
      <c r="G68" s="3"/>
      <c r="H68" s="3"/>
      <c r="I68" s="3"/>
      <c r="J68" s="3"/>
      <c r="K68" s="3"/>
      <c r="L68" s="3"/>
    </row>
    <row r="69" spans="1:12">
      <c r="A69" s="3" t="s">
        <v>20</v>
      </c>
      <c r="B69" s="3"/>
      <c r="C69" s="3"/>
      <c r="D69" s="3"/>
      <c r="E69" s="3"/>
      <c r="F69" s="3"/>
      <c r="G69" s="3"/>
      <c r="H69" s="3"/>
      <c r="I69" s="3"/>
      <c r="J69" s="3"/>
      <c r="K69" s="3"/>
      <c r="L69" s="3"/>
    </row>
    <row r="70" spans="1:12">
      <c r="A70" s="3"/>
      <c r="B70" s="3" t="s">
        <v>2266</v>
      </c>
      <c r="C70" s="3"/>
      <c r="D70" s="3"/>
      <c r="E70" s="3"/>
      <c r="F70" s="3"/>
      <c r="G70" s="3"/>
      <c r="H70" s="3"/>
      <c r="I70" s="3"/>
      <c r="J70" s="3"/>
      <c r="K70" s="3"/>
      <c r="L70" s="3"/>
    </row>
  </sheetData>
  <mergeCells count="1">
    <mergeCell ref="B66:K67"/>
  </mergeCells>
  <hyperlinks>
    <hyperlink ref="O1" location="TOC!A1" display="Table of Contents" xr:uid="{81163C0B-E040-4810-80D7-AF400D5470EA}"/>
  </hyperlinks>
  <pageMargins left="0.7" right="0.7" top="0.75" bottom="0.75" header="0.3" footer="0.3"/>
  <pageSetup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FEA0-EAFC-4E66-B806-01A16A6BE6BC}">
  <dimension ref="A1:R67"/>
  <sheetViews>
    <sheetView zoomScaleNormal="100" workbookViewId="0"/>
  </sheetViews>
  <sheetFormatPr defaultColWidth="8.88671875" defaultRowHeight="15.6"/>
  <cols>
    <col min="1" max="1" width="8.88671875" style="2" customWidth="1"/>
    <col min="2" max="2" width="14.6640625" style="2" customWidth="1"/>
    <col min="3" max="3" width="20.6640625" style="2" customWidth="1"/>
    <col min="4" max="6" width="14.6640625" style="2" customWidth="1"/>
    <col min="7" max="8" width="11.6640625" style="2" customWidth="1"/>
    <col min="9" max="9" width="18.44140625" style="2" customWidth="1"/>
    <col min="10" max="12" width="11.6640625" style="2" customWidth="1"/>
    <col min="13" max="16384" width="8.88671875" style="2"/>
  </cols>
  <sheetData>
    <row r="1" spans="1:15" ht="17.399999999999999">
      <c r="A1" s="13" t="s">
        <v>2601</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2279</v>
      </c>
      <c r="B3" s="1"/>
      <c r="C3" s="1"/>
      <c r="D3" s="1"/>
      <c r="E3" s="1"/>
      <c r="F3" s="1"/>
      <c r="G3" s="1"/>
      <c r="H3" s="1"/>
      <c r="I3" s="1"/>
      <c r="J3" s="1"/>
      <c r="K3" s="1"/>
      <c r="L3" s="14"/>
    </row>
    <row r="4" spans="1:15">
      <c r="A4" s="43"/>
      <c r="B4" s="519" t="s">
        <v>2280</v>
      </c>
      <c r="C4" s="92">
        <v>1000</v>
      </c>
      <c r="D4" s="204" t="s">
        <v>2281</v>
      </c>
      <c r="E4" s="1"/>
      <c r="F4" s="1"/>
      <c r="G4" s="1"/>
      <c r="H4" s="1"/>
      <c r="I4" s="92">
        <v>2100</v>
      </c>
      <c r="J4" s="204" t="s">
        <v>2282</v>
      </c>
      <c r="K4" s="1"/>
      <c r="L4" s="1"/>
    </row>
    <row r="5" spans="1:15">
      <c r="A5" s="43"/>
      <c r="B5" s="519" t="s">
        <v>2283</v>
      </c>
      <c r="C5" s="1"/>
      <c r="D5" s="1"/>
      <c r="E5" s="1"/>
      <c r="F5" s="1"/>
      <c r="G5" s="1"/>
      <c r="H5" s="1"/>
      <c r="I5" s="1"/>
      <c r="J5" s="1"/>
      <c r="K5" s="1"/>
      <c r="L5" s="1"/>
    </row>
    <row r="6" spans="1:15">
      <c r="A6" s="43"/>
      <c r="B6" s="519"/>
      <c r="C6" s="377">
        <v>0.8</v>
      </c>
      <c r="D6" s="1" t="s">
        <v>2284</v>
      </c>
      <c r="E6" s="1"/>
      <c r="F6" s="1"/>
      <c r="G6" s="1"/>
      <c r="H6" s="1"/>
      <c r="I6" s="1"/>
      <c r="J6" s="1"/>
      <c r="K6" s="1"/>
      <c r="L6" s="1"/>
    </row>
    <row r="7" spans="1:15">
      <c r="A7" s="43"/>
      <c r="B7" s="519"/>
      <c r="C7" s="377">
        <v>0.7</v>
      </c>
      <c r="D7" s="1" t="s">
        <v>2285</v>
      </c>
      <c r="E7" s="1"/>
      <c r="F7" s="1"/>
      <c r="G7" s="1"/>
      <c r="H7" s="1"/>
      <c r="I7" s="1"/>
      <c r="J7" s="1"/>
      <c r="K7" s="1"/>
      <c r="L7" s="1"/>
    </row>
    <row r="8" spans="1:15">
      <c r="A8" s="43"/>
      <c r="B8" s="519" t="s">
        <v>2286</v>
      </c>
      <c r="C8" s="1"/>
      <c r="D8" s="1"/>
      <c r="E8" s="1"/>
      <c r="F8" s="1"/>
      <c r="G8" s="1"/>
      <c r="H8" s="1"/>
      <c r="I8" s="1"/>
      <c r="J8" s="1"/>
      <c r="K8" s="1"/>
      <c r="L8" s="1"/>
    </row>
    <row r="9" spans="1:15" ht="31.2">
      <c r="A9" s="43"/>
      <c r="B9" s="4" t="s">
        <v>2236</v>
      </c>
      <c r="C9" s="4" t="s">
        <v>243</v>
      </c>
      <c r="D9" s="4" t="s">
        <v>2287</v>
      </c>
      <c r="E9" s="4" t="s">
        <v>1075</v>
      </c>
      <c r="F9" s="1"/>
      <c r="G9" s="1"/>
      <c r="H9" s="1"/>
      <c r="I9" s="1"/>
      <c r="J9" s="1"/>
      <c r="K9" s="1"/>
      <c r="L9" s="1"/>
    </row>
    <row r="10" spans="1:15">
      <c r="A10" s="43"/>
      <c r="B10" s="32">
        <v>100</v>
      </c>
      <c r="C10" s="576">
        <v>44621</v>
      </c>
      <c r="D10" s="32">
        <v>12</v>
      </c>
      <c r="E10" s="92">
        <v>3000</v>
      </c>
      <c r="F10" s="1"/>
      <c r="G10" s="1"/>
      <c r="H10" s="1"/>
      <c r="I10" s="1"/>
      <c r="J10" s="1"/>
      <c r="K10" s="1"/>
      <c r="L10" s="1"/>
    </row>
    <row r="11" spans="1:15">
      <c r="A11" s="1"/>
      <c r="B11" s="32">
        <v>200</v>
      </c>
      <c r="C11" s="697">
        <v>44682</v>
      </c>
      <c r="D11" s="32">
        <v>24</v>
      </c>
      <c r="E11" s="92">
        <v>4200</v>
      </c>
      <c r="F11" s="1"/>
      <c r="G11" s="1"/>
      <c r="H11" s="1"/>
      <c r="I11" s="1"/>
      <c r="J11" s="1"/>
      <c r="K11" s="1"/>
      <c r="L11" s="1"/>
    </row>
    <row r="12" spans="1:15">
      <c r="A12" s="1"/>
      <c r="B12" s="32">
        <v>300</v>
      </c>
      <c r="C12" s="576">
        <v>44743</v>
      </c>
      <c r="D12" s="32">
        <v>18</v>
      </c>
      <c r="E12" s="92">
        <v>2100</v>
      </c>
      <c r="F12" s="1"/>
      <c r="G12" s="1"/>
      <c r="H12" s="1"/>
      <c r="I12" s="1"/>
      <c r="J12" s="1"/>
      <c r="K12" s="1"/>
      <c r="L12" s="1"/>
    </row>
    <row r="13" spans="1:15">
      <c r="A13" s="43"/>
      <c r="B13" s="32">
        <v>400</v>
      </c>
      <c r="C13" s="576">
        <v>45170</v>
      </c>
      <c r="D13" s="32">
        <v>6</v>
      </c>
      <c r="E13" s="92">
        <v>1200</v>
      </c>
      <c r="F13" s="1"/>
      <c r="G13" s="1"/>
      <c r="H13" s="1"/>
      <c r="I13" s="1"/>
      <c r="J13" s="1"/>
      <c r="K13" s="1"/>
      <c r="L13" s="1"/>
    </row>
    <row r="14" spans="1:15">
      <c r="A14" s="43"/>
      <c r="B14" s="519" t="s">
        <v>2288</v>
      </c>
      <c r="C14" s="33"/>
      <c r="D14" s="33"/>
      <c r="E14" s="198"/>
      <c r="F14" s="1"/>
      <c r="G14" s="1"/>
      <c r="H14" s="1"/>
      <c r="I14" s="1"/>
      <c r="J14" s="1"/>
      <c r="K14" s="1"/>
      <c r="L14" s="1"/>
    </row>
    <row r="15" spans="1:15">
      <c r="A15" s="43"/>
      <c r="B15" s="519" t="s">
        <v>2289</v>
      </c>
      <c r="C15" s="33"/>
      <c r="D15" s="33"/>
      <c r="E15" s="198"/>
      <c r="F15" s="1"/>
      <c r="G15" s="1"/>
      <c r="H15" s="1"/>
      <c r="I15" s="1"/>
      <c r="J15" s="1"/>
      <c r="K15" s="1"/>
      <c r="L15" s="1"/>
    </row>
    <row r="16" spans="1:15">
      <c r="A16" s="43"/>
      <c r="B16" s="519" t="s">
        <v>2290</v>
      </c>
      <c r="C16" s="33"/>
      <c r="D16" s="33"/>
      <c r="E16" s="198"/>
      <c r="F16" s="1"/>
      <c r="G16" s="1"/>
      <c r="H16" s="1"/>
      <c r="I16" s="1"/>
      <c r="J16" s="1"/>
      <c r="K16" s="1"/>
      <c r="L16" s="1"/>
    </row>
    <row r="17" spans="1:18">
      <c r="A17" s="43"/>
      <c r="B17" s="519" t="s">
        <v>2291</v>
      </c>
      <c r="C17" s="33"/>
      <c r="D17" s="33"/>
      <c r="E17" s="198"/>
      <c r="F17" s="1"/>
      <c r="G17" s="1"/>
      <c r="H17" s="377">
        <v>0.05</v>
      </c>
      <c r="I17" s="1"/>
      <c r="J17" s="1"/>
      <c r="K17" s="1"/>
      <c r="L17" s="1"/>
    </row>
    <row r="18" spans="1:18">
      <c r="A18" s="43"/>
      <c r="B18" s="519" t="s">
        <v>2292</v>
      </c>
      <c r="C18" s="33"/>
      <c r="D18" s="33"/>
      <c r="E18" s="198"/>
      <c r="F18" s="1"/>
      <c r="G18" s="1"/>
      <c r="H18" s="377">
        <v>0.08</v>
      </c>
      <c r="I18" s="1"/>
      <c r="J18" s="1"/>
      <c r="K18" s="1"/>
      <c r="L18" s="1"/>
    </row>
    <row r="19" spans="1:18">
      <c r="A19" s="43"/>
      <c r="B19" s="519" t="s">
        <v>2293</v>
      </c>
      <c r="C19" s="33"/>
      <c r="D19" s="33"/>
      <c r="E19" s="198"/>
      <c r="F19" s="1"/>
      <c r="G19" s="1"/>
      <c r="H19" s="1"/>
      <c r="I19" s="1"/>
      <c r="J19" s="1"/>
      <c r="K19" s="1"/>
      <c r="L19" s="1"/>
    </row>
    <row r="20" spans="1:18">
      <c r="A20" s="1"/>
      <c r="B20" s="1"/>
      <c r="C20" s="1"/>
      <c r="D20" s="1"/>
      <c r="E20" s="1"/>
      <c r="F20" s="1"/>
      <c r="G20" s="1"/>
      <c r="H20" s="1"/>
      <c r="I20" s="1"/>
      <c r="J20" s="1"/>
      <c r="K20" s="1"/>
      <c r="L20" s="1"/>
    </row>
    <row r="21" spans="1:18">
      <c r="A21" s="3"/>
      <c r="B21" s="3"/>
      <c r="C21" s="3"/>
      <c r="D21" s="3"/>
      <c r="E21" s="3"/>
      <c r="F21" s="3"/>
      <c r="G21" s="3"/>
      <c r="H21" s="3"/>
      <c r="I21" s="3"/>
      <c r="J21" s="3"/>
      <c r="K21" s="3"/>
      <c r="L21" s="3"/>
    </row>
    <row r="22" spans="1:18">
      <c r="A22" s="17" t="s">
        <v>91</v>
      </c>
      <c r="B22" s="1" t="s">
        <v>2294</v>
      </c>
      <c r="C22" s="1"/>
      <c r="D22" s="1"/>
      <c r="E22" s="1"/>
      <c r="F22" s="1"/>
      <c r="G22" s="1"/>
      <c r="H22" s="1"/>
      <c r="I22" s="1"/>
      <c r="J22" s="1"/>
      <c r="K22" s="1"/>
      <c r="L22" s="1"/>
      <c r="M22" s="9"/>
      <c r="N22" s="9"/>
      <c r="O22" s="9"/>
      <c r="P22" s="9"/>
      <c r="Q22" s="9"/>
      <c r="R22" s="9"/>
    </row>
    <row r="23" spans="1:18">
      <c r="A23" s="3"/>
      <c r="B23" s="3"/>
      <c r="C23" s="3"/>
      <c r="D23" s="3"/>
      <c r="E23" s="3"/>
      <c r="F23" s="3"/>
      <c r="G23" s="3"/>
      <c r="H23" s="3"/>
      <c r="I23" s="3"/>
      <c r="J23" s="3"/>
      <c r="K23" s="3"/>
      <c r="L23" s="3"/>
      <c r="M23" s="3"/>
    </row>
    <row r="24" spans="1:18">
      <c r="A24" s="3" t="s">
        <v>20</v>
      </c>
      <c r="B24" s="3"/>
      <c r="C24" s="3"/>
      <c r="D24" s="3"/>
      <c r="E24" s="3"/>
      <c r="F24" s="3"/>
      <c r="G24" s="3"/>
      <c r="H24" s="3"/>
      <c r="I24" s="3"/>
      <c r="J24" s="3"/>
      <c r="K24" s="3"/>
      <c r="L24" s="3"/>
      <c r="M24" s="3"/>
      <c r="N24" s="9"/>
    </row>
    <row r="25" spans="1:18" ht="46.8">
      <c r="A25" s="3"/>
      <c r="B25" s="35" t="s">
        <v>1093</v>
      </c>
      <c r="C25" s="35" t="s">
        <v>2295</v>
      </c>
      <c r="D25" s="36" t="s">
        <v>2296</v>
      </c>
      <c r="E25" s="35" t="s">
        <v>2297</v>
      </c>
      <c r="F25" s="36" t="s">
        <v>2298</v>
      </c>
      <c r="G25" s="36" t="s">
        <v>2299</v>
      </c>
      <c r="H25" s="3"/>
      <c r="I25" s="3"/>
      <c r="J25" s="3"/>
      <c r="K25" s="3"/>
      <c r="L25" s="3"/>
      <c r="M25" s="3"/>
      <c r="N25" s="9"/>
    </row>
    <row r="26" spans="1:18">
      <c r="A26" s="3"/>
      <c r="B26" s="34" t="s">
        <v>2300</v>
      </c>
      <c r="C26" s="34" t="s">
        <v>2301</v>
      </c>
      <c r="D26" s="176">
        <f>I4/12</f>
        <v>175</v>
      </c>
      <c r="E26" s="83">
        <f>C4</f>
        <v>1000</v>
      </c>
      <c r="F26" s="34">
        <v>3</v>
      </c>
      <c r="G26" s="83">
        <f>D26*E26*F26</f>
        <v>525000</v>
      </c>
      <c r="H26" s="3"/>
      <c r="I26" s="3"/>
      <c r="J26" s="3"/>
      <c r="K26" s="3"/>
      <c r="L26" s="3"/>
      <c r="M26" s="3"/>
      <c r="N26" s="9"/>
    </row>
    <row r="27" spans="1:18">
      <c r="B27" s="34" t="s">
        <v>2300</v>
      </c>
      <c r="C27" s="34" t="s">
        <v>2302</v>
      </c>
      <c r="D27" s="176">
        <f>D26*(1+H17)</f>
        <v>183.75</v>
      </c>
      <c r="E27" s="83">
        <f>E26*C6</f>
        <v>800</v>
      </c>
      <c r="F27" s="34">
        <v>9</v>
      </c>
      <c r="G27" s="83">
        <f>D27*E27*F27</f>
        <v>1323000</v>
      </c>
      <c r="M27" s="9"/>
      <c r="N27" s="9"/>
    </row>
    <row r="28" spans="1:18">
      <c r="B28" s="625">
        <v>100</v>
      </c>
      <c r="C28" s="575" t="s">
        <v>2303</v>
      </c>
      <c r="D28" s="176">
        <f>E10/D10</f>
        <v>250</v>
      </c>
      <c r="E28" s="83">
        <v>1</v>
      </c>
      <c r="F28" s="34">
        <v>10</v>
      </c>
      <c r="G28" s="83">
        <f t="shared" ref="G28:G31" si="0">D28*E28*F28</f>
        <v>2500</v>
      </c>
      <c r="M28" s="9"/>
      <c r="N28" s="9"/>
    </row>
    <row r="29" spans="1:18">
      <c r="B29" s="625">
        <v>200</v>
      </c>
      <c r="C29" s="575" t="s">
        <v>2304</v>
      </c>
      <c r="D29" s="176">
        <f t="shared" ref="D29:D31" si="1">E11/D11</f>
        <v>175</v>
      </c>
      <c r="E29" s="34">
        <v>1</v>
      </c>
      <c r="F29" s="34">
        <v>8</v>
      </c>
      <c r="G29" s="83">
        <f t="shared" si="0"/>
        <v>1400</v>
      </c>
      <c r="M29" s="9"/>
      <c r="N29" s="9"/>
    </row>
    <row r="30" spans="1:18">
      <c r="B30" s="625">
        <v>300</v>
      </c>
      <c r="C30" s="34" t="s">
        <v>2305</v>
      </c>
      <c r="D30" s="176">
        <f t="shared" si="1"/>
        <v>116.66666666666667</v>
      </c>
      <c r="E30" s="34">
        <v>1</v>
      </c>
      <c r="F30" s="34">
        <v>6</v>
      </c>
      <c r="G30" s="83">
        <f t="shared" si="0"/>
        <v>700</v>
      </c>
      <c r="M30" s="9"/>
      <c r="N30" s="9"/>
    </row>
    <row r="31" spans="1:18">
      <c r="B31" s="626">
        <v>400</v>
      </c>
      <c r="C31" s="35" t="s">
        <v>1098</v>
      </c>
      <c r="D31" s="178">
        <f t="shared" si="1"/>
        <v>200</v>
      </c>
      <c r="E31" s="35">
        <v>1</v>
      </c>
      <c r="F31" s="35">
        <v>0</v>
      </c>
      <c r="G31" s="86">
        <f t="shared" si="0"/>
        <v>0</v>
      </c>
      <c r="M31" s="9"/>
      <c r="N31" s="9"/>
    </row>
    <row r="32" spans="1:18">
      <c r="B32" s="34" t="s">
        <v>132</v>
      </c>
      <c r="G32" s="83">
        <f>SUM(G26:G31)</f>
        <v>1852600</v>
      </c>
      <c r="M32" s="9"/>
      <c r="N32" s="9"/>
    </row>
    <row r="34" spans="1:13">
      <c r="A34" s="17" t="s">
        <v>133</v>
      </c>
      <c r="B34" s="1" t="s">
        <v>2306</v>
      </c>
      <c r="C34" s="1"/>
      <c r="D34" s="1"/>
      <c r="E34" s="1"/>
      <c r="F34" s="1"/>
      <c r="G34" s="1"/>
      <c r="H34" s="1"/>
      <c r="I34" s="1"/>
      <c r="J34" s="1"/>
      <c r="K34" s="1"/>
      <c r="L34" s="1"/>
    </row>
    <row r="35" spans="1:13">
      <c r="A35" s="3"/>
      <c r="B35" s="3"/>
      <c r="C35" s="3"/>
      <c r="D35" s="3"/>
      <c r="E35" s="3"/>
      <c r="F35" s="3"/>
      <c r="G35" s="3"/>
      <c r="H35" s="3"/>
      <c r="I35" s="3"/>
      <c r="J35" s="3"/>
      <c r="K35" s="3"/>
      <c r="L35" s="3"/>
    </row>
    <row r="36" spans="1:13">
      <c r="A36" s="3" t="s">
        <v>20</v>
      </c>
      <c r="B36" s="3"/>
      <c r="C36" s="3"/>
      <c r="D36" s="3"/>
      <c r="E36" s="3"/>
      <c r="F36" s="3"/>
      <c r="G36" s="3"/>
      <c r="H36" s="3"/>
      <c r="I36" s="3"/>
      <c r="J36" s="3"/>
      <c r="K36" s="3"/>
      <c r="L36" s="3"/>
    </row>
    <row r="37" spans="1:13" ht="46.8">
      <c r="A37" s="3"/>
      <c r="B37" s="35" t="s">
        <v>1093</v>
      </c>
      <c r="C37" s="36" t="s">
        <v>2296</v>
      </c>
      <c r="D37" s="35" t="s">
        <v>2297</v>
      </c>
      <c r="E37" s="36" t="s">
        <v>2307</v>
      </c>
      <c r="F37" s="36" t="s">
        <v>2308</v>
      </c>
      <c r="G37" s="3"/>
      <c r="H37" s="3"/>
      <c r="I37" s="3"/>
      <c r="J37" s="3"/>
      <c r="K37" s="3"/>
      <c r="L37" s="3"/>
    </row>
    <row r="38" spans="1:13">
      <c r="A38" s="3"/>
      <c r="B38" s="34" t="s">
        <v>2300</v>
      </c>
      <c r="C38" s="176">
        <f>D27*(1+H18)</f>
        <v>198.45000000000002</v>
      </c>
      <c r="D38" s="83">
        <f>C4*C6*C7</f>
        <v>560</v>
      </c>
      <c r="E38" s="34">
        <v>3</v>
      </c>
      <c r="F38" s="83">
        <f>C38*D38*E38</f>
        <v>333396.00000000006</v>
      </c>
      <c r="G38" s="3"/>
      <c r="H38" s="3"/>
      <c r="I38" s="3"/>
      <c r="J38" s="3"/>
      <c r="K38" s="3"/>
      <c r="L38" s="3"/>
    </row>
    <row r="39" spans="1:13">
      <c r="B39" s="625">
        <v>100</v>
      </c>
      <c r="C39" s="176">
        <f>D28*(1+H17)</f>
        <v>262.5</v>
      </c>
      <c r="D39" s="83">
        <v>1</v>
      </c>
      <c r="E39" s="34">
        <v>2</v>
      </c>
      <c r="F39" s="83">
        <f t="shared" ref="F39:F42" si="2">C39*D39*E39</f>
        <v>525</v>
      </c>
      <c r="M39" s="3"/>
    </row>
    <row r="40" spans="1:13">
      <c r="B40" s="625">
        <v>200</v>
      </c>
      <c r="C40" s="176">
        <f t="shared" ref="C40:C42" si="3">D29</f>
        <v>175</v>
      </c>
      <c r="D40" s="34">
        <v>1</v>
      </c>
      <c r="E40" s="34">
        <v>4</v>
      </c>
      <c r="F40" s="83">
        <f t="shared" si="2"/>
        <v>700</v>
      </c>
      <c r="M40" s="3"/>
    </row>
    <row r="41" spans="1:13">
      <c r="B41" s="625">
        <v>300</v>
      </c>
      <c r="C41" s="176">
        <f t="shared" si="3"/>
        <v>116.66666666666667</v>
      </c>
      <c r="D41" s="34">
        <v>1</v>
      </c>
      <c r="E41" s="34">
        <v>0</v>
      </c>
      <c r="F41" s="83">
        <f t="shared" si="2"/>
        <v>0</v>
      </c>
      <c r="M41" s="3"/>
    </row>
    <row r="42" spans="1:13">
      <c r="B42" s="626">
        <v>400</v>
      </c>
      <c r="C42" s="178">
        <f t="shared" si="3"/>
        <v>200</v>
      </c>
      <c r="D42" s="35">
        <v>1</v>
      </c>
      <c r="E42" s="35">
        <v>2</v>
      </c>
      <c r="F42" s="86">
        <f t="shared" si="2"/>
        <v>400</v>
      </c>
    </row>
    <row r="43" spans="1:13">
      <c r="B43" s="34" t="s">
        <v>132</v>
      </c>
      <c r="F43" s="83">
        <f>SUM(F38:F42)</f>
        <v>335021.00000000006</v>
      </c>
    </row>
    <row r="45" spans="1:13">
      <c r="A45" s="1" t="s">
        <v>2309</v>
      </c>
      <c r="B45" s="14"/>
      <c r="C45" s="14"/>
      <c r="D45" s="14"/>
      <c r="E45" s="14"/>
      <c r="F45" s="14"/>
      <c r="G45" s="1"/>
      <c r="H45" s="1"/>
      <c r="I45" s="1"/>
      <c r="J45" s="1"/>
      <c r="K45" s="1"/>
      <c r="L45" s="1"/>
    </row>
    <row r="47" spans="1:13">
      <c r="A47" s="17" t="s">
        <v>18</v>
      </c>
      <c r="B47" s="1" t="s">
        <v>2310</v>
      </c>
      <c r="C47" s="1"/>
      <c r="D47" s="1"/>
      <c r="E47" s="1"/>
      <c r="F47" s="1"/>
      <c r="G47" s="1"/>
      <c r="H47" s="1"/>
      <c r="I47" s="1"/>
      <c r="J47" s="1"/>
      <c r="K47" s="1"/>
      <c r="L47" s="1"/>
    </row>
    <row r="48" spans="1:13">
      <c r="A48" s="3"/>
      <c r="B48" s="3"/>
      <c r="C48" s="3"/>
      <c r="D48" s="3"/>
      <c r="E48" s="3"/>
      <c r="F48" s="3"/>
      <c r="G48" s="3"/>
      <c r="H48" s="3"/>
      <c r="I48" s="3"/>
      <c r="J48" s="3"/>
      <c r="K48" s="3"/>
      <c r="L48" s="3"/>
    </row>
    <row r="49" spans="1:14">
      <c r="A49" s="3" t="s">
        <v>20</v>
      </c>
      <c r="B49" s="3"/>
      <c r="C49" s="3"/>
      <c r="D49" s="3"/>
      <c r="E49" s="3"/>
      <c r="F49" s="3"/>
      <c r="G49" s="3"/>
      <c r="H49" s="3"/>
      <c r="I49" s="3"/>
      <c r="J49" s="3"/>
      <c r="K49" s="3"/>
      <c r="L49" s="3"/>
    </row>
    <row r="50" spans="1:14" ht="46.8">
      <c r="A50" s="3"/>
      <c r="B50" s="35" t="s">
        <v>1093</v>
      </c>
      <c r="C50" s="35" t="s">
        <v>759</v>
      </c>
      <c r="D50" s="36" t="s">
        <v>2311</v>
      </c>
      <c r="E50" s="36" t="s">
        <v>2312</v>
      </c>
      <c r="F50" s="36" t="s">
        <v>2313</v>
      </c>
      <c r="G50" s="35" t="s">
        <v>2297</v>
      </c>
      <c r="H50" s="36" t="s">
        <v>2298</v>
      </c>
      <c r="I50" s="36" t="s">
        <v>2314</v>
      </c>
      <c r="J50" s="3"/>
      <c r="K50" s="3"/>
      <c r="L50" s="3"/>
    </row>
    <row r="51" spans="1:14">
      <c r="A51" s="3"/>
      <c r="B51" s="34" t="s">
        <v>2300</v>
      </c>
      <c r="C51" s="34" t="s">
        <v>2301</v>
      </c>
      <c r="D51" s="176">
        <f>D26</f>
        <v>175</v>
      </c>
      <c r="E51" s="96">
        <f>(1+H17)*(1+H18)-1</f>
        <v>0.13400000000000012</v>
      </c>
      <c r="F51" s="176">
        <f>D51*(1+E51)</f>
        <v>198.45000000000002</v>
      </c>
      <c r="G51" s="83">
        <f>E26</f>
        <v>1000</v>
      </c>
      <c r="H51" s="34">
        <f>F26</f>
        <v>3</v>
      </c>
      <c r="I51" s="83">
        <f>F51*G51*H51</f>
        <v>595350.00000000012</v>
      </c>
      <c r="J51" s="3"/>
      <c r="K51" s="3"/>
      <c r="L51" s="3"/>
    </row>
    <row r="52" spans="1:14">
      <c r="B52" s="34" t="s">
        <v>2300</v>
      </c>
      <c r="C52" s="34" t="s">
        <v>2302</v>
      </c>
      <c r="D52" s="176">
        <f t="shared" ref="D52:D55" si="4">D27</f>
        <v>183.75</v>
      </c>
      <c r="E52" s="96">
        <f>H18</f>
        <v>0.08</v>
      </c>
      <c r="F52" s="176">
        <f t="shared" ref="F52:F55" si="5">D52*(1+E52)</f>
        <v>198.45000000000002</v>
      </c>
      <c r="G52" s="83">
        <f t="shared" ref="G52:H56" si="6">E27</f>
        <v>800</v>
      </c>
      <c r="H52" s="34">
        <f t="shared" si="6"/>
        <v>9</v>
      </c>
      <c r="I52" s="83">
        <f>F52*G52*H52</f>
        <v>1428840</v>
      </c>
    </row>
    <row r="53" spans="1:14">
      <c r="B53" s="625">
        <v>100</v>
      </c>
      <c r="C53" s="575" t="s">
        <v>2303</v>
      </c>
      <c r="D53" s="176">
        <f t="shared" si="4"/>
        <v>250</v>
      </c>
      <c r="E53" s="96">
        <f>E51</f>
        <v>0.13400000000000012</v>
      </c>
      <c r="F53" s="176">
        <f t="shared" si="5"/>
        <v>283.50000000000006</v>
      </c>
      <c r="G53" s="83">
        <f t="shared" si="6"/>
        <v>1</v>
      </c>
      <c r="H53" s="34">
        <f t="shared" si="6"/>
        <v>10</v>
      </c>
      <c r="I53" s="83">
        <f t="shared" ref="I53:I56" si="7">F53*G53*H53</f>
        <v>2835.0000000000005</v>
      </c>
    </row>
    <row r="54" spans="1:14">
      <c r="B54" s="625">
        <v>200</v>
      </c>
      <c r="C54" s="575" t="s">
        <v>2304</v>
      </c>
      <c r="D54" s="176">
        <f t="shared" si="4"/>
        <v>175</v>
      </c>
      <c r="E54" s="96">
        <f>E52</f>
        <v>0.08</v>
      </c>
      <c r="F54" s="176">
        <f t="shared" si="5"/>
        <v>189</v>
      </c>
      <c r="G54" s="34">
        <f t="shared" si="6"/>
        <v>1</v>
      </c>
      <c r="H54" s="34">
        <f t="shared" si="6"/>
        <v>8</v>
      </c>
      <c r="I54" s="83">
        <f t="shared" si="7"/>
        <v>1512</v>
      </c>
      <c r="M54" s="3"/>
      <c r="N54" s="3"/>
    </row>
    <row r="55" spans="1:14">
      <c r="B55" s="625">
        <v>300</v>
      </c>
      <c r="C55" s="34" t="s">
        <v>2305</v>
      </c>
      <c r="D55" s="176">
        <f t="shared" si="4"/>
        <v>116.66666666666667</v>
      </c>
      <c r="E55" s="96">
        <f>E54</f>
        <v>0.08</v>
      </c>
      <c r="F55" s="176">
        <f t="shared" si="5"/>
        <v>126.00000000000001</v>
      </c>
      <c r="G55" s="34">
        <f t="shared" si="6"/>
        <v>1</v>
      </c>
      <c r="H55" s="34">
        <f t="shared" si="6"/>
        <v>6</v>
      </c>
      <c r="I55" s="83">
        <f t="shared" si="7"/>
        <v>756.00000000000011</v>
      </c>
      <c r="M55" s="3"/>
      <c r="N55" s="3"/>
    </row>
    <row r="56" spans="1:14">
      <c r="B56" s="626">
        <v>400</v>
      </c>
      <c r="C56" s="35" t="s">
        <v>1098</v>
      </c>
      <c r="D56" s="178"/>
      <c r="E56" s="158"/>
      <c r="F56" s="178"/>
      <c r="G56" s="35">
        <f t="shared" si="6"/>
        <v>1</v>
      </c>
      <c r="H56" s="35">
        <f t="shared" si="6"/>
        <v>0</v>
      </c>
      <c r="I56" s="86">
        <f t="shared" si="7"/>
        <v>0</v>
      </c>
      <c r="M56" s="3"/>
      <c r="N56" s="3"/>
    </row>
    <row r="57" spans="1:14">
      <c r="B57" s="34" t="s">
        <v>132</v>
      </c>
      <c r="E57" s="18"/>
      <c r="I57" s="83">
        <f>SUM(I51:I56)</f>
        <v>2029293</v>
      </c>
    </row>
    <row r="59" spans="1:14">
      <c r="A59" s="17" t="s">
        <v>25</v>
      </c>
      <c r="B59" s="1" t="s">
        <v>2315</v>
      </c>
      <c r="C59" s="1"/>
      <c r="D59" s="1"/>
      <c r="E59" s="1"/>
      <c r="F59" s="1"/>
      <c r="G59" s="1"/>
      <c r="H59" s="1"/>
      <c r="I59" s="1"/>
      <c r="J59" s="1"/>
      <c r="K59" s="1"/>
      <c r="L59" s="1"/>
    </row>
    <row r="60" spans="1:14">
      <c r="A60" s="3"/>
      <c r="B60" s="3"/>
      <c r="C60" s="3"/>
      <c r="D60" s="3"/>
      <c r="E60" s="3"/>
      <c r="F60" s="3"/>
      <c r="G60" s="3"/>
      <c r="H60" s="3"/>
      <c r="I60" s="3"/>
      <c r="J60" s="3"/>
      <c r="K60" s="3"/>
      <c r="L60" s="3"/>
    </row>
    <row r="61" spans="1:14">
      <c r="A61" s="3" t="s">
        <v>20</v>
      </c>
      <c r="B61" s="3"/>
      <c r="C61" s="3"/>
      <c r="D61" s="3"/>
      <c r="E61" s="3"/>
      <c r="F61" s="3"/>
      <c r="G61" s="3"/>
      <c r="H61" s="3"/>
      <c r="I61" s="3"/>
      <c r="J61" s="3"/>
      <c r="K61" s="3"/>
      <c r="L61" s="3"/>
    </row>
    <row r="62" spans="1:14">
      <c r="A62" s="3"/>
      <c r="B62" s="3"/>
      <c r="C62" s="3"/>
      <c r="D62" s="3"/>
      <c r="E62" s="3"/>
      <c r="F62" s="3"/>
      <c r="G62" s="3"/>
      <c r="H62" s="3"/>
      <c r="I62" s="3"/>
      <c r="J62" s="3"/>
      <c r="K62" s="3"/>
      <c r="L62" s="3"/>
    </row>
    <row r="63" spans="1:14">
      <c r="A63" s="3"/>
      <c r="B63" s="3" t="s">
        <v>2316</v>
      </c>
      <c r="C63" s="3"/>
      <c r="D63" s="3"/>
      <c r="E63" s="3"/>
      <c r="F63" s="3"/>
      <c r="G63" s="3"/>
      <c r="H63" s="3"/>
      <c r="I63" s="3"/>
      <c r="J63" s="3"/>
      <c r="K63" s="3"/>
      <c r="L63" s="3"/>
    </row>
    <row r="66" spans="13:13">
      <c r="M66" s="3"/>
    </row>
    <row r="67" spans="13:13">
      <c r="M67" s="3"/>
    </row>
  </sheetData>
  <hyperlinks>
    <hyperlink ref="O1" location="TOC!A1" display="Table of Contents" xr:uid="{C21CAA69-F22C-473A-8E31-5EDD7812540E}"/>
  </hyperlinks>
  <pageMargins left="0.7" right="0.7" top="0.75" bottom="0.75" header="0.3" footer="0.3"/>
  <pageSetup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9C09-4CA7-4ADF-9BC6-7DEAE86105BE}">
  <dimension ref="A1:R73"/>
  <sheetViews>
    <sheetView zoomScaleNormal="100" workbookViewId="0"/>
  </sheetViews>
  <sheetFormatPr defaultColWidth="8.88671875" defaultRowHeight="15.6"/>
  <cols>
    <col min="1" max="1" width="8.88671875" style="2" customWidth="1"/>
    <col min="2" max="2" width="15.33203125" style="2" customWidth="1"/>
    <col min="3" max="10" width="11.6640625" style="2" customWidth="1"/>
    <col min="11" max="16384" width="8.88671875" style="2"/>
  </cols>
  <sheetData>
    <row r="1" spans="1:15" ht="17.399999999999999">
      <c r="A1" s="13" t="s">
        <v>2600</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2317</v>
      </c>
      <c r="B3" s="1"/>
      <c r="C3" s="1"/>
      <c r="D3" s="1"/>
      <c r="E3" s="1"/>
      <c r="F3" s="1"/>
      <c r="G3" s="1"/>
      <c r="H3" s="1"/>
      <c r="I3" s="1"/>
      <c r="J3" s="1"/>
      <c r="K3" s="1"/>
      <c r="L3" s="14"/>
    </row>
    <row r="4" spans="1:15">
      <c r="A4" s="43"/>
      <c r="B4" s="1"/>
      <c r="C4" s="1"/>
      <c r="D4" s="1"/>
      <c r="E4" s="1"/>
      <c r="F4" s="1"/>
      <c r="G4" s="1"/>
      <c r="H4" s="1"/>
      <c r="I4" s="1"/>
      <c r="J4" s="1"/>
      <c r="K4" s="1"/>
      <c r="L4" s="1"/>
    </row>
    <row r="5" spans="1:15" ht="16.2" customHeight="1">
      <c r="A5" s="43"/>
      <c r="B5" s="829" t="s">
        <v>2318</v>
      </c>
      <c r="C5" s="841" t="s">
        <v>59</v>
      </c>
      <c r="D5" s="841"/>
      <c r="E5" s="841"/>
      <c r="F5" s="841"/>
      <c r="G5" s="841"/>
      <c r="H5" s="841"/>
      <c r="I5" s="841"/>
      <c r="J5" s="841"/>
      <c r="K5" s="1"/>
      <c r="L5" s="1"/>
    </row>
    <row r="6" spans="1:15">
      <c r="A6" s="43"/>
      <c r="B6" s="829"/>
      <c r="C6" s="27">
        <v>6</v>
      </c>
      <c r="D6" s="27">
        <v>12</v>
      </c>
      <c r="E6" s="27">
        <v>18</v>
      </c>
      <c r="F6" s="27">
        <v>24</v>
      </c>
      <c r="G6" s="27">
        <v>30</v>
      </c>
      <c r="H6" s="27">
        <v>36</v>
      </c>
      <c r="I6" s="27">
        <v>42</v>
      </c>
      <c r="J6" s="27">
        <v>48</v>
      </c>
      <c r="K6" s="1"/>
      <c r="L6" s="1"/>
    </row>
    <row r="7" spans="1:15">
      <c r="A7" s="43"/>
      <c r="B7" s="32" t="s">
        <v>1541</v>
      </c>
      <c r="C7" s="92">
        <v>1778236</v>
      </c>
      <c r="D7" s="92">
        <v>1817664</v>
      </c>
      <c r="E7" s="92">
        <v>1906195</v>
      </c>
      <c r="F7" s="92">
        <v>1918947</v>
      </c>
      <c r="G7" s="92">
        <v>1938911</v>
      </c>
      <c r="H7" s="92">
        <v>1949451</v>
      </c>
      <c r="I7" s="92">
        <v>1951269</v>
      </c>
      <c r="J7" s="92">
        <v>1951269</v>
      </c>
      <c r="K7" s="1"/>
      <c r="L7" s="1"/>
    </row>
    <row r="8" spans="1:15">
      <c r="A8" s="43"/>
      <c r="B8" s="32" t="s">
        <v>1542</v>
      </c>
      <c r="C8" s="92">
        <v>1801831</v>
      </c>
      <c r="D8" s="92">
        <v>1896710</v>
      </c>
      <c r="E8" s="92">
        <v>1942431</v>
      </c>
      <c r="F8" s="92">
        <v>1969627</v>
      </c>
      <c r="G8" s="92">
        <v>1990982</v>
      </c>
      <c r="H8" s="92">
        <v>2002627</v>
      </c>
      <c r="I8" s="92">
        <v>2004998</v>
      </c>
      <c r="J8" s="32"/>
      <c r="K8" s="1"/>
      <c r="L8" s="1"/>
    </row>
    <row r="9" spans="1:15">
      <c r="A9" s="1"/>
      <c r="B9" s="32" t="s">
        <v>1545</v>
      </c>
      <c r="C9" s="92">
        <v>1930879</v>
      </c>
      <c r="D9" s="92">
        <v>1983793</v>
      </c>
      <c r="E9" s="92">
        <v>2069155</v>
      </c>
      <c r="F9" s="92">
        <v>2084933</v>
      </c>
      <c r="G9" s="92">
        <v>2109125</v>
      </c>
      <c r="H9" s="92">
        <v>2121231</v>
      </c>
      <c r="I9" s="32"/>
      <c r="J9" s="32"/>
      <c r="K9" s="1"/>
      <c r="L9" s="1"/>
    </row>
    <row r="10" spans="1:15">
      <c r="A10" s="1"/>
      <c r="B10" s="32" t="s">
        <v>1546</v>
      </c>
      <c r="C10" s="92">
        <v>1944003</v>
      </c>
      <c r="D10" s="92">
        <v>2034385</v>
      </c>
      <c r="E10" s="92">
        <v>2091282</v>
      </c>
      <c r="F10" s="92">
        <v>2125691</v>
      </c>
      <c r="G10" s="92">
        <v>2146588</v>
      </c>
      <c r="H10" s="32"/>
      <c r="I10" s="32"/>
      <c r="J10" s="32"/>
      <c r="K10" s="1"/>
      <c r="L10" s="1"/>
    </row>
    <row r="11" spans="1:15">
      <c r="A11" s="43"/>
      <c r="B11" s="32" t="s">
        <v>1549</v>
      </c>
      <c r="C11" s="92">
        <v>2075131</v>
      </c>
      <c r="D11" s="92">
        <v>2126932</v>
      </c>
      <c r="E11" s="92">
        <v>2205071</v>
      </c>
      <c r="F11" s="92">
        <v>2220455</v>
      </c>
      <c r="G11" s="32"/>
      <c r="H11" s="32"/>
      <c r="I11" s="32"/>
      <c r="J11" s="32"/>
      <c r="K11" s="1"/>
      <c r="L11" s="1"/>
    </row>
    <row r="12" spans="1:15">
      <c r="A12" s="1"/>
      <c r="B12" s="32" t="s">
        <v>1550</v>
      </c>
      <c r="C12" s="92">
        <v>2137034</v>
      </c>
      <c r="D12" s="92">
        <v>2253530</v>
      </c>
      <c r="E12" s="92">
        <v>2273987</v>
      </c>
      <c r="F12" s="32"/>
      <c r="G12" s="32"/>
      <c r="H12" s="32"/>
      <c r="I12" s="32"/>
      <c r="J12" s="32"/>
      <c r="K12" s="1"/>
      <c r="L12" s="1"/>
    </row>
    <row r="13" spans="1:15">
      <c r="A13" s="1"/>
      <c r="B13" s="32" t="s">
        <v>2319</v>
      </c>
      <c r="C13" s="92">
        <v>2243409</v>
      </c>
      <c r="D13" s="92">
        <v>2283355</v>
      </c>
      <c r="E13" s="32"/>
      <c r="F13" s="32"/>
      <c r="G13" s="32"/>
      <c r="H13" s="32"/>
      <c r="I13" s="32"/>
      <c r="J13" s="32"/>
      <c r="K13" s="1"/>
      <c r="L13" s="1"/>
    </row>
    <row r="14" spans="1:15">
      <c r="A14" s="1"/>
      <c r="B14" s="32" t="s">
        <v>2320</v>
      </c>
      <c r="C14" s="92">
        <v>2451221</v>
      </c>
      <c r="D14" s="32"/>
      <c r="E14" s="32"/>
      <c r="F14" s="32"/>
      <c r="G14" s="32"/>
      <c r="H14" s="32"/>
      <c r="I14" s="32"/>
      <c r="J14" s="32"/>
      <c r="K14" s="1"/>
      <c r="L14" s="1"/>
    </row>
    <row r="15" spans="1:15">
      <c r="A15" s="1"/>
      <c r="B15" s="1"/>
      <c r="C15" s="1"/>
      <c r="D15" s="1"/>
      <c r="E15" s="1"/>
      <c r="F15" s="1"/>
      <c r="G15" s="1"/>
      <c r="H15" s="1"/>
      <c r="I15" s="1"/>
      <c r="J15" s="1"/>
      <c r="K15" s="1"/>
      <c r="L15" s="1"/>
    </row>
    <row r="16" spans="1:15">
      <c r="A16" s="1"/>
      <c r="B16" s="1" t="s">
        <v>2321</v>
      </c>
      <c r="C16" s="1"/>
      <c r="D16" s="1"/>
      <c r="E16" s="1"/>
      <c r="F16" s="1"/>
      <c r="G16" s="1"/>
      <c r="H16" s="1"/>
      <c r="I16" s="1"/>
      <c r="J16" s="1"/>
      <c r="K16" s="1"/>
      <c r="L16" s="1"/>
    </row>
    <row r="17" spans="1:18">
      <c r="A17" s="3"/>
      <c r="B17" s="3"/>
      <c r="C17" s="3"/>
      <c r="D17" s="3"/>
      <c r="E17" s="3"/>
      <c r="F17" s="3"/>
      <c r="G17" s="3"/>
      <c r="H17" s="3"/>
      <c r="I17" s="3"/>
      <c r="J17" s="3"/>
      <c r="K17" s="3"/>
      <c r="L17" s="3"/>
    </row>
    <row r="18" spans="1:18">
      <c r="A18" s="17" t="s">
        <v>91</v>
      </c>
      <c r="B18" s="1" t="s">
        <v>2322</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ht="15.6" customHeight="1">
      <c r="A21" s="3"/>
      <c r="B21" s="842" t="s">
        <v>2318</v>
      </c>
      <c r="C21" s="844" t="s">
        <v>1501</v>
      </c>
      <c r="D21" s="844"/>
      <c r="E21" s="844"/>
      <c r="F21" s="844"/>
      <c r="G21" s="844"/>
      <c r="H21" s="844"/>
      <c r="I21" s="844"/>
      <c r="J21" s="844"/>
      <c r="K21" s="3"/>
      <c r="L21" s="3"/>
      <c r="M21" s="3"/>
      <c r="N21" s="9"/>
    </row>
    <row r="22" spans="1:18">
      <c r="A22" s="3"/>
      <c r="B22" s="843"/>
      <c r="C22" s="107" t="str">
        <f>C6&amp;"-"&amp;D6</f>
        <v>6-12</v>
      </c>
      <c r="D22" s="107" t="str">
        <f t="shared" ref="D22:I22" si="0">D6&amp;"-"&amp;E6</f>
        <v>12-18</v>
      </c>
      <c r="E22" s="107" t="str">
        <f t="shared" si="0"/>
        <v>18-24</v>
      </c>
      <c r="F22" s="107" t="str">
        <f t="shared" si="0"/>
        <v>24-30</v>
      </c>
      <c r="G22" s="107" t="str">
        <f t="shared" si="0"/>
        <v>30-36</v>
      </c>
      <c r="H22" s="107" t="str">
        <f t="shared" si="0"/>
        <v>36-42</v>
      </c>
      <c r="I22" s="107" t="str">
        <f t="shared" si="0"/>
        <v>42-48</v>
      </c>
      <c r="J22" s="107" t="str">
        <f>J6&amp;"-Ult"</f>
        <v>48-Ult</v>
      </c>
      <c r="K22" s="3"/>
      <c r="L22" s="3"/>
      <c r="M22" s="3"/>
      <c r="N22" s="9"/>
    </row>
    <row r="23" spans="1:18">
      <c r="A23" s="3"/>
      <c r="B23" s="94" t="str">
        <f>B7</f>
        <v>2020-1</v>
      </c>
      <c r="C23" s="332">
        <f>D7/C7</f>
        <v>1.0221725350290962</v>
      </c>
      <c r="D23" s="332">
        <f t="shared" ref="D23:I23" si="1">E7/D7</f>
        <v>1.048705921446428</v>
      </c>
      <c r="E23" s="332">
        <f t="shared" si="1"/>
        <v>1.0066897667867138</v>
      </c>
      <c r="F23" s="332">
        <f t="shared" si="1"/>
        <v>1.0104036224033286</v>
      </c>
      <c r="G23" s="332">
        <f t="shared" si="1"/>
        <v>1.0054360411591867</v>
      </c>
      <c r="H23" s="332">
        <f t="shared" si="1"/>
        <v>1.0009325702467002</v>
      </c>
      <c r="I23" s="332">
        <f t="shared" si="1"/>
        <v>1</v>
      </c>
      <c r="J23" s="332"/>
      <c r="K23" s="3"/>
      <c r="L23" s="3"/>
      <c r="M23" s="3"/>
      <c r="N23" s="9"/>
    </row>
    <row r="24" spans="1:18">
      <c r="A24" s="3"/>
      <c r="B24" s="94" t="str">
        <f t="shared" ref="B24:B29" si="2">B8</f>
        <v>2020-2</v>
      </c>
      <c r="C24" s="332">
        <f t="shared" ref="C24:H29" si="3">D8/C8</f>
        <v>1.0526569916934496</v>
      </c>
      <c r="D24" s="332">
        <f t="shared" si="3"/>
        <v>1.0241054246563788</v>
      </c>
      <c r="E24" s="332">
        <f t="shared" si="3"/>
        <v>1.0140010121337644</v>
      </c>
      <c r="F24" s="332">
        <f t="shared" si="3"/>
        <v>1.0108421543774533</v>
      </c>
      <c r="G24" s="332">
        <f t="shared" si="3"/>
        <v>1.0058488725664019</v>
      </c>
      <c r="H24" s="332">
        <f t="shared" si="3"/>
        <v>1.001183944888389</v>
      </c>
      <c r="I24" s="332"/>
      <c r="J24" s="332"/>
      <c r="K24" s="3"/>
      <c r="L24" s="3"/>
      <c r="M24" s="3"/>
      <c r="N24" s="9"/>
    </row>
    <row r="25" spans="1:18">
      <c r="A25" s="3"/>
      <c r="B25" s="94" t="str">
        <f t="shared" si="2"/>
        <v>2021-1</v>
      </c>
      <c r="C25" s="332">
        <f t="shared" si="3"/>
        <v>1.0274040993765017</v>
      </c>
      <c r="D25" s="332">
        <f t="shared" si="3"/>
        <v>1.0430296911018437</v>
      </c>
      <c r="E25" s="332">
        <f t="shared" si="3"/>
        <v>1.0076253349797382</v>
      </c>
      <c r="F25" s="332">
        <f t="shared" si="3"/>
        <v>1.01160325056009</v>
      </c>
      <c r="G25" s="332">
        <f t="shared" si="3"/>
        <v>1.0057398210158242</v>
      </c>
      <c r="H25" s="332"/>
      <c r="I25" s="332"/>
      <c r="J25" s="332"/>
      <c r="K25" s="3"/>
      <c r="L25" s="3"/>
      <c r="M25" s="3"/>
      <c r="N25" s="9"/>
    </row>
    <row r="26" spans="1:18">
      <c r="A26" s="3"/>
      <c r="B26" s="94" t="str">
        <f t="shared" si="2"/>
        <v>2021-2</v>
      </c>
      <c r="C26" s="332">
        <f t="shared" si="3"/>
        <v>1.0464927266058746</v>
      </c>
      <c r="D26" s="332">
        <f t="shared" si="3"/>
        <v>1.0279676659039465</v>
      </c>
      <c r="E26" s="332">
        <f t="shared" si="3"/>
        <v>1.0164535438071001</v>
      </c>
      <c r="F26" s="332">
        <f t="shared" si="3"/>
        <v>1.0098306856452797</v>
      </c>
      <c r="G26" s="332"/>
      <c r="H26" s="332"/>
      <c r="I26" s="332"/>
      <c r="J26" s="332"/>
      <c r="K26" s="3"/>
      <c r="L26" s="3"/>
      <c r="M26" s="3"/>
      <c r="N26" s="9"/>
    </row>
    <row r="27" spans="1:18">
      <c r="A27" s="3"/>
      <c r="B27" s="94" t="str">
        <f t="shared" si="2"/>
        <v>2022-1</v>
      </c>
      <c r="C27" s="332">
        <f t="shared" si="3"/>
        <v>1.0249627613871124</v>
      </c>
      <c r="D27" s="332">
        <f t="shared" si="3"/>
        <v>1.0367378928898525</v>
      </c>
      <c r="E27" s="332">
        <f t="shared" si="3"/>
        <v>1.0069766461034588</v>
      </c>
      <c r="F27" s="332"/>
      <c r="G27" s="332"/>
      <c r="H27" s="332"/>
      <c r="I27" s="332"/>
      <c r="J27" s="332"/>
      <c r="K27" s="3"/>
      <c r="L27" s="3"/>
      <c r="M27" s="3"/>
      <c r="N27" s="9"/>
    </row>
    <row r="28" spans="1:18">
      <c r="A28" s="3"/>
      <c r="B28" s="94" t="str">
        <f t="shared" si="2"/>
        <v>2022-2</v>
      </c>
      <c r="C28" s="332">
        <f t="shared" si="3"/>
        <v>1.0545129370894426</v>
      </c>
      <c r="D28" s="332">
        <f t="shared" si="3"/>
        <v>1.0090777580063279</v>
      </c>
      <c r="E28" s="332"/>
      <c r="F28" s="332"/>
      <c r="G28" s="332"/>
      <c r="H28" s="332"/>
      <c r="I28" s="332"/>
      <c r="J28" s="332"/>
      <c r="K28" s="3"/>
      <c r="L28" s="3"/>
      <c r="M28" s="3"/>
      <c r="N28" s="9"/>
    </row>
    <row r="29" spans="1:18">
      <c r="A29" s="3"/>
      <c r="B29" s="94" t="str">
        <f t="shared" si="2"/>
        <v>2023-1</v>
      </c>
      <c r="C29" s="332">
        <f t="shared" si="3"/>
        <v>1.017805937303452</v>
      </c>
      <c r="D29" s="332"/>
      <c r="E29" s="332"/>
      <c r="F29" s="332"/>
      <c r="G29" s="332"/>
      <c r="H29" s="332"/>
      <c r="I29" s="332"/>
      <c r="J29" s="332"/>
      <c r="K29" s="3"/>
      <c r="L29" s="3"/>
      <c r="M29" s="3"/>
      <c r="N29" s="9"/>
    </row>
    <row r="30" spans="1:18">
      <c r="A30" s="3"/>
      <c r="B30" s="34"/>
      <c r="C30" s="160"/>
      <c r="D30" s="160"/>
      <c r="E30" s="160"/>
      <c r="F30" s="698"/>
      <c r="G30" s="160"/>
      <c r="K30" s="3"/>
      <c r="L30" s="3"/>
      <c r="M30" s="3"/>
      <c r="N30" s="9"/>
    </row>
    <row r="31" spans="1:18">
      <c r="A31" s="3"/>
      <c r="B31" s="2" t="s">
        <v>2323</v>
      </c>
      <c r="C31" s="160">
        <f>AVERAGE(C23,C25,C27,C29)</f>
        <v>1.0230863332740405</v>
      </c>
      <c r="D31" s="160">
        <f>AVERAGE(D23,D25,D27)</f>
        <v>1.042824501812708</v>
      </c>
      <c r="E31" s="160">
        <f>AVERAGE(E23,E25,E27)</f>
        <v>1.0070972492899701</v>
      </c>
      <c r="F31" s="160">
        <f>AVERAGE(F23,F25)</f>
        <v>1.0110034364817093</v>
      </c>
      <c r="G31" s="160"/>
      <c r="K31" s="3"/>
      <c r="L31" s="3"/>
      <c r="M31" s="3"/>
      <c r="N31" s="9"/>
    </row>
    <row r="32" spans="1:18">
      <c r="A32" s="3"/>
      <c r="B32" s="2" t="s">
        <v>2324</v>
      </c>
      <c r="C32" s="160">
        <f>AVERAGE(C24,C26,C28)</f>
        <v>1.051220885129589</v>
      </c>
      <c r="D32" s="160">
        <f>AVERAGE(D24,D26,D28)</f>
        <v>1.0203836161888844</v>
      </c>
      <c r="E32" s="160">
        <f>AVERAGE(E24,E26)</f>
        <v>1.0152272779704323</v>
      </c>
      <c r="F32" s="160">
        <f>AVERAGE(F24,F26)</f>
        <v>1.0103364200113665</v>
      </c>
      <c r="G32" s="160"/>
      <c r="K32" s="3"/>
      <c r="L32" s="3"/>
      <c r="M32" s="3"/>
      <c r="N32" s="9"/>
    </row>
    <row r="33" spans="1:14">
      <c r="A33" s="3"/>
      <c r="B33" s="2" t="s">
        <v>2325</v>
      </c>
      <c r="C33" s="160">
        <f>AVERAGE(C23:C29)</f>
        <v>1.0351439983549899</v>
      </c>
      <c r="D33" s="160">
        <f>AVERAGE(D23:D28)</f>
        <v>1.0316040590007962</v>
      </c>
      <c r="E33" s="160">
        <f>AVERAGE(E23:E28)</f>
        <v>1.0103492607621551</v>
      </c>
      <c r="F33" s="160">
        <f>AVERAGE(F23:F28)</f>
        <v>1.0106699282465379</v>
      </c>
      <c r="G33" s="160">
        <f>AVERAGE(G23:G28)</f>
        <v>1.0056749115804708</v>
      </c>
      <c r="H33" s="160">
        <f>AVERAGE(H23:H28)</f>
        <v>1.0010582575675446</v>
      </c>
      <c r="I33" s="160">
        <f>ROUND(AVERAGE(I23:I28),3)</f>
        <v>1</v>
      </c>
      <c r="K33" s="3"/>
      <c r="L33" s="3"/>
      <c r="M33" s="3"/>
      <c r="N33" s="9"/>
    </row>
    <row r="34" spans="1:14">
      <c r="A34" s="3"/>
      <c r="C34" s="160"/>
      <c r="D34" s="160"/>
      <c r="E34" s="160"/>
      <c r="F34" s="160"/>
      <c r="G34" s="160"/>
      <c r="K34" s="3"/>
      <c r="L34" s="3"/>
      <c r="M34" s="3"/>
      <c r="N34" s="9"/>
    </row>
    <row r="35" spans="1:14">
      <c r="A35" s="3"/>
      <c r="B35" s="2" t="s">
        <v>2326</v>
      </c>
      <c r="C35" s="160"/>
      <c r="D35" s="160"/>
      <c r="E35" s="160"/>
      <c r="F35" s="160"/>
      <c r="G35" s="160"/>
      <c r="K35" s="3"/>
      <c r="L35" s="3"/>
      <c r="M35" s="3"/>
      <c r="N35" s="9"/>
    </row>
    <row r="36" spans="1:14">
      <c r="A36" s="3"/>
      <c r="B36" s="2" t="s">
        <v>319</v>
      </c>
      <c r="C36" s="160">
        <f>C31</f>
        <v>1.0230863332740405</v>
      </c>
      <c r="D36" s="160">
        <f>D31</f>
        <v>1.042824501812708</v>
      </c>
      <c r="E36" s="160">
        <f>E31</f>
        <v>1.0070972492899701</v>
      </c>
      <c r="F36" s="160">
        <f t="shared" ref="F36:I36" si="4">F33</f>
        <v>1.0106699282465379</v>
      </c>
      <c r="G36" s="160">
        <f t="shared" si="4"/>
        <v>1.0056749115804708</v>
      </c>
      <c r="H36" s="160">
        <f t="shared" si="4"/>
        <v>1.0010582575675446</v>
      </c>
      <c r="I36" s="160">
        <f t="shared" si="4"/>
        <v>1</v>
      </c>
      <c r="J36" s="160">
        <f>I36</f>
        <v>1</v>
      </c>
      <c r="K36" s="3"/>
      <c r="L36" s="3"/>
      <c r="M36" s="3"/>
      <c r="N36" s="9"/>
    </row>
    <row r="37" spans="1:14">
      <c r="A37" s="3"/>
      <c r="B37" s="2" t="s">
        <v>2327</v>
      </c>
      <c r="C37" s="160">
        <f t="shared" ref="C37:H37" si="5">C36*D37</f>
        <v>1.0932543947433164</v>
      </c>
      <c r="D37" s="699">
        <f t="shared" si="5"/>
        <v>1.0685846924029636</v>
      </c>
      <c r="E37" s="160">
        <f t="shared" si="5"/>
        <v>1.0247023257944914</v>
      </c>
      <c r="F37" s="160">
        <f t="shared" si="5"/>
        <v>1.0174810094228073</v>
      </c>
      <c r="G37" s="160">
        <f t="shared" si="5"/>
        <v>1.0067391746661407</v>
      </c>
      <c r="H37" s="160">
        <f t="shared" si="5"/>
        <v>1.0010582575675446</v>
      </c>
      <c r="I37" s="160">
        <f>I36*J37</f>
        <v>1</v>
      </c>
      <c r="J37" s="160">
        <f>J36</f>
        <v>1</v>
      </c>
      <c r="K37" s="3"/>
      <c r="L37" s="3"/>
      <c r="M37" s="3"/>
      <c r="N37" s="9"/>
    </row>
    <row r="38" spans="1:14">
      <c r="A38" s="3"/>
      <c r="C38" s="160"/>
      <c r="D38" s="160"/>
      <c r="E38" s="160"/>
      <c r="F38" s="160"/>
      <c r="G38" s="160"/>
      <c r="K38" s="3"/>
      <c r="L38" s="3"/>
      <c r="M38" s="3"/>
      <c r="N38" s="9"/>
    </row>
    <row r="39" spans="1:14">
      <c r="A39" s="3"/>
      <c r="B39" s="2" t="s">
        <v>2328</v>
      </c>
      <c r="C39" s="160"/>
      <c r="D39" s="160"/>
      <c r="E39" s="160"/>
      <c r="F39" s="160"/>
      <c r="G39" s="160"/>
      <c r="K39" s="3"/>
      <c r="L39" s="3"/>
      <c r="M39" s="3"/>
      <c r="N39" s="9"/>
    </row>
    <row r="40" spans="1:14">
      <c r="A40" s="3"/>
      <c r="B40" s="2" t="s">
        <v>319</v>
      </c>
      <c r="C40" s="160">
        <f>C32</f>
        <v>1.051220885129589</v>
      </c>
      <c r="D40" s="160">
        <f>D32</f>
        <v>1.0203836161888844</v>
      </c>
      <c r="E40" s="160">
        <f>E32</f>
        <v>1.0152272779704323</v>
      </c>
      <c r="F40" s="160">
        <f t="shared" ref="F40:I40" si="6">F33</f>
        <v>1.0106699282465379</v>
      </c>
      <c r="G40" s="160">
        <f t="shared" si="6"/>
        <v>1.0056749115804708</v>
      </c>
      <c r="H40" s="160">
        <f t="shared" si="6"/>
        <v>1.0010582575675446</v>
      </c>
      <c r="I40" s="160">
        <f t="shared" si="6"/>
        <v>1</v>
      </c>
      <c r="J40" s="160">
        <v>1</v>
      </c>
      <c r="K40" s="3"/>
      <c r="L40" s="3"/>
      <c r="M40" s="3"/>
      <c r="N40" s="9"/>
    </row>
    <row r="41" spans="1:14">
      <c r="A41" s="3"/>
      <c r="B41" s="2" t="s">
        <v>2327</v>
      </c>
      <c r="C41" s="699">
        <f t="shared" ref="C41:H41" si="7">C40*D41</f>
        <v>1.1080185922023797</v>
      </c>
      <c r="D41" s="160">
        <f t="shared" si="7"/>
        <v>1.0540302308261209</v>
      </c>
      <c r="E41" s="160">
        <f t="shared" si="7"/>
        <v>1.0329744755829244</v>
      </c>
      <c r="F41" s="160">
        <f t="shared" si="7"/>
        <v>1.0174810094228073</v>
      </c>
      <c r="G41" s="160">
        <f t="shared" si="7"/>
        <v>1.0067391746661407</v>
      </c>
      <c r="H41" s="160">
        <f t="shared" si="7"/>
        <v>1.0010582575675446</v>
      </c>
      <c r="I41" s="160">
        <f>I40*J41</f>
        <v>1</v>
      </c>
      <c r="J41" s="160">
        <f>J40</f>
        <v>1</v>
      </c>
      <c r="K41" s="3"/>
      <c r="L41" s="3"/>
      <c r="M41" s="3"/>
      <c r="N41" s="9"/>
    </row>
    <row r="42" spans="1:14">
      <c r="C42" s="160"/>
      <c r="D42" s="160"/>
      <c r="E42" s="160"/>
      <c r="F42" s="160"/>
      <c r="G42" s="160"/>
      <c r="M42" s="9"/>
      <c r="N42" s="9"/>
    </row>
    <row r="43" spans="1:14">
      <c r="B43" s="2" t="s">
        <v>2329</v>
      </c>
      <c r="C43" s="160"/>
      <c r="D43" s="160"/>
      <c r="E43" s="160"/>
      <c r="F43" s="160"/>
      <c r="G43" s="160"/>
      <c r="M43" s="9"/>
      <c r="N43" s="9"/>
    </row>
    <row r="44" spans="1:14" ht="31.2">
      <c r="B44" s="93" t="s">
        <v>2318</v>
      </c>
      <c r="C44" s="93" t="s">
        <v>59</v>
      </c>
      <c r="D44" s="93" t="s">
        <v>2330</v>
      </c>
      <c r="E44" s="93" t="s">
        <v>131</v>
      </c>
      <c r="F44" s="160"/>
      <c r="G44" s="160"/>
      <c r="M44" s="9"/>
      <c r="N44" s="9"/>
    </row>
    <row r="45" spans="1:14">
      <c r="B45" s="94" t="s">
        <v>2319</v>
      </c>
      <c r="C45" s="83">
        <f>D13</f>
        <v>2283355</v>
      </c>
      <c r="D45" s="160">
        <f>D37</f>
        <v>1.0685846924029636</v>
      </c>
      <c r="E45" s="83">
        <f>C45*D45</f>
        <v>2439958.2003217689</v>
      </c>
      <c r="F45" s="160"/>
      <c r="G45" s="160"/>
      <c r="H45" s="83"/>
      <c r="M45" s="9"/>
      <c r="N45" s="9"/>
    </row>
    <row r="46" spans="1:14">
      <c r="B46" s="107" t="s">
        <v>2320</v>
      </c>
      <c r="C46" s="86">
        <f>C14</f>
        <v>2451221</v>
      </c>
      <c r="D46" s="175">
        <f>C41</f>
        <v>1.1080185922023797</v>
      </c>
      <c r="E46" s="86">
        <f t="shared" ref="E46" si="8">C46*D46</f>
        <v>2715998.4415969094</v>
      </c>
      <c r="F46" s="160"/>
      <c r="G46" s="160"/>
      <c r="H46" s="83"/>
      <c r="M46" s="9"/>
      <c r="N46" s="9"/>
    </row>
    <row r="47" spans="1:14">
      <c r="B47" s="34" t="s">
        <v>132</v>
      </c>
      <c r="C47" s="160"/>
      <c r="D47" s="160"/>
      <c r="E47" s="83">
        <f>SUM(E45:E46)</f>
        <v>5155956.6419186778</v>
      </c>
      <c r="F47" s="160"/>
      <c r="G47" s="160"/>
      <c r="H47" s="83"/>
      <c r="M47" s="9"/>
      <c r="N47" s="9"/>
    </row>
    <row r="49" spans="1:13">
      <c r="A49" s="17" t="s">
        <v>133</v>
      </c>
      <c r="B49" s="1" t="s">
        <v>2331</v>
      </c>
      <c r="C49" s="1"/>
      <c r="D49" s="1"/>
      <c r="E49" s="1"/>
      <c r="F49" s="1"/>
      <c r="G49" s="1"/>
      <c r="H49" s="1"/>
      <c r="I49" s="1"/>
      <c r="J49" s="1"/>
      <c r="K49" s="1"/>
      <c r="L49" s="1"/>
    </row>
    <row r="50" spans="1:13">
      <c r="A50" s="3"/>
      <c r="B50" s="3"/>
      <c r="C50" s="3"/>
      <c r="D50" s="3"/>
      <c r="E50" s="3"/>
      <c r="F50" s="3"/>
      <c r="G50" s="3"/>
      <c r="H50" s="3"/>
      <c r="I50" s="3"/>
      <c r="J50" s="3"/>
      <c r="K50" s="3"/>
      <c r="L50" s="3"/>
    </row>
    <row r="51" spans="1:13">
      <c r="A51" s="3" t="s">
        <v>20</v>
      </c>
      <c r="B51" s="3"/>
      <c r="C51" s="3"/>
      <c r="D51" s="3"/>
      <c r="E51" s="3"/>
      <c r="F51" s="3"/>
      <c r="G51" s="3"/>
      <c r="H51" s="3"/>
      <c r="I51" s="3"/>
      <c r="J51" s="3"/>
      <c r="K51" s="3"/>
      <c r="L51" s="3"/>
    </row>
    <row r="52" spans="1:13">
      <c r="B52" s="94" t="s">
        <v>53</v>
      </c>
      <c r="C52" s="94" t="s">
        <v>65</v>
      </c>
      <c r="D52" s="160" t="s">
        <v>2332</v>
      </c>
      <c r="E52" s="94" t="s">
        <v>123</v>
      </c>
      <c r="M52" s="3"/>
    </row>
    <row r="53" spans="1:13">
      <c r="B53" s="93" t="s">
        <v>2333</v>
      </c>
      <c r="C53" s="93" t="s">
        <v>124</v>
      </c>
      <c r="D53" s="175" t="s">
        <v>2334</v>
      </c>
      <c r="E53" s="93" t="s">
        <v>124</v>
      </c>
      <c r="M53" s="3"/>
    </row>
    <row r="54" spans="1:13">
      <c r="B54" s="94" t="str">
        <f>B45</f>
        <v>2023-1</v>
      </c>
      <c r="C54" s="83">
        <f>C45</f>
        <v>2283355</v>
      </c>
      <c r="D54" s="160">
        <f>D36-1</f>
        <v>4.2824501812708027E-2</v>
      </c>
      <c r="E54" s="83">
        <f>D54*C54</f>
        <v>97783.540336555932</v>
      </c>
      <c r="M54" s="3"/>
    </row>
    <row r="55" spans="1:13">
      <c r="B55" s="107" t="str">
        <f>B46</f>
        <v>2023-2</v>
      </c>
      <c r="C55" s="86">
        <f>C46</f>
        <v>2451221</v>
      </c>
      <c r="D55" s="175">
        <f>C40-1</f>
        <v>5.1220885129589E-2</v>
      </c>
      <c r="E55" s="86">
        <f t="shared" ref="E55" si="9">D55*C55</f>
        <v>125553.70926823627</v>
      </c>
    </row>
    <row r="56" spans="1:13">
      <c r="B56" s="34" t="s">
        <v>132</v>
      </c>
      <c r="C56" s="160"/>
      <c r="D56" s="160"/>
      <c r="E56" s="83">
        <f>SUM(E54:E55)</f>
        <v>223337.24960479222</v>
      </c>
    </row>
    <row r="58" spans="1:13">
      <c r="A58" s="1" t="s">
        <v>2335</v>
      </c>
      <c r="B58" s="14"/>
      <c r="C58" s="14"/>
      <c r="D58" s="14"/>
      <c r="E58" s="14"/>
      <c r="F58" s="14"/>
      <c r="G58" s="1"/>
      <c r="H58" s="1"/>
      <c r="I58" s="1"/>
      <c r="J58" s="1"/>
      <c r="K58" s="1"/>
      <c r="L58" s="1"/>
    </row>
    <row r="60" spans="1:13" ht="16.2" customHeight="1">
      <c r="A60" s="17" t="s">
        <v>18</v>
      </c>
      <c r="B60" s="1" t="s">
        <v>2336</v>
      </c>
      <c r="C60" s="1"/>
      <c r="D60" s="1"/>
      <c r="E60" s="1"/>
      <c r="F60" s="1"/>
      <c r="G60" s="1"/>
      <c r="H60" s="1"/>
      <c r="I60" s="1"/>
      <c r="J60" s="1"/>
      <c r="K60" s="1"/>
      <c r="L60" s="1"/>
    </row>
    <row r="61" spans="1:13">
      <c r="A61" s="3"/>
      <c r="B61" s="3"/>
      <c r="C61" s="3"/>
      <c r="D61" s="3"/>
      <c r="E61" s="3"/>
      <c r="F61" s="3"/>
      <c r="G61" s="3"/>
      <c r="H61" s="3"/>
      <c r="I61" s="3"/>
      <c r="J61" s="3"/>
      <c r="K61" s="3"/>
      <c r="L61" s="3"/>
    </row>
    <row r="62" spans="1:13">
      <c r="A62" s="3" t="s">
        <v>20</v>
      </c>
      <c r="B62" s="3"/>
      <c r="C62" s="3"/>
      <c r="D62" s="3"/>
      <c r="E62" s="3"/>
      <c r="F62" s="3"/>
      <c r="G62" s="3"/>
      <c r="H62" s="3"/>
      <c r="I62" s="3"/>
      <c r="J62" s="3"/>
      <c r="K62" s="3"/>
      <c r="L62" s="3"/>
    </row>
    <row r="63" spans="1:13">
      <c r="A63" s="3"/>
      <c r="B63" s="3" t="s">
        <v>2337</v>
      </c>
      <c r="C63" s="3"/>
      <c r="D63" s="3"/>
      <c r="E63" s="3"/>
      <c r="F63" s="3"/>
      <c r="G63" s="3"/>
      <c r="H63" s="3"/>
      <c r="I63" s="3"/>
      <c r="J63" s="3"/>
      <c r="K63" s="3"/>
      <c r="L63" s="3"/>
    </row>
    <row r="65" spans="1:13">
      <c r="A65" s="17" t="s">
        <v>25</v>
      </c>
      <c r="B65" s="1" t="s">
        <v>2338</v>
      </c>
      <c r="C65" s="1"/>
      <c r="D65" s="1"/>
      <c r="E65" s="1"/>
      <c r="F65" s="1"/>
      <c r="G65" s="1"/>
      <c r="H65" s="1"/>
      <c r="I65" s="1"/>
      <c r="J65" s="1"/>
      <c r="K65" s="1"/>
      <c r="L65" s="1"/>
    </row>
    <row r="66" spans="1:13">
      <c r="A66" s="3"/>
      <c r="B66" s="3"/>
      <c r="C66" s="3"/>
      <c r="D66" s="3"/>
      <c r="E66" s="3"/>
      <c r="F66" s="3"/>
      <c r="G66" s="3"/>
      <c r="H66" s="3"/>
      <c r="I66" s="3"/>
      <c r="J66" s="3"/>
      <c r="K66" s="3"/>
      <c r="L66" s="3"/>
    </row>
    <row r="67" spans="1:13">
      <c r="A67" s="3" t="s">
        <v>20</v>
      </c>
      <c r="B67" s="3"/>
      <c r="C67" s="3"/>
      <c r="D67" s="3"/>
      <c r="E67" s="3"/>
      <c r="F67" s="3"/>
      <c r="G67" s="3"/>
      <c r="H67" s="3"/>
      <c r="I67" s="3"/>
      <c r="J67" s="3"/>
      <c r="K67" s="3"/>
      <c r="L67" s="3"/>
    </row>
    <row r="68" spans="1:13">
      <c r="A68" s="3"/>
      <c r="B68" s="3" t="s">
        <v>2339</v>
      </c>
      <c r="C68" s="3"/>
      <c r="D68" s="3"/>
      <c r="E68" s="3"/>
      <c r="F68" s="3"/>
      <c r="G68" s="3"/>
      <c r="H68" s="3"/>
      <c r="I68" s="3"/>
      <c r="J68" s="3"/>
      <c r="K68" s="3"/>
      <c r="L68" s="3"/>
    </row>
    <row r="69" spans="1:13">
      <c r="A69" s="3"/>
      <c r="B69" s="3" t="s">
        <v>2340</v>
      </c>
      <c r="C69" s="3"/>
      <c r="D69" s="3"/>
      <c r="E69" s="3"/>
      <c r="F69" s="3"/>
      <c r="G69" s="3"/>
      <c r="H69" s="3"/>
      <c r="I69" s="3"/>
      <c r="J69" s="3"/>
      <c r="K69" s="3"/>
      <c r="L69" s="3"/>
    </row>
    <row r="72" spans="1:13">
      <c r="M72" s="3"/>
    </row>
    <row r="73" spans="1:13">
      <c r="M73" s="3"/>
    </row>
  </sheetData>
  <mergeCells count="4">
    <mergeCell ref="B5:B6"/>
    <mergeCell ref="C5:J5"/>
    <mergeCell ref="B21:B22"/>
    <mergeCell ref="C21:J21"/>
  </mergeCells>
  <hyperlinks>
    <hyperlink ref="O1" location="TOC!A1" display="Table of Contents" xr:uid="{98D26007-5E58-40A2-908B-CC3DF8B6530F}"/>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7826-A3AB-421A-A84C-ED4F73094CD3}">
  <dimension ref="A1:R50"/>
  <sheetViews>
    <sheetView zoomScaleNormal="100" workbookViewId="0"/>
  </sheetViews>
  <sheetFormatPr defaultColWidth="8.88671875" defaultRowHeight="15.6"/>
  <cols>
    <col min="1" max="1" width="8.88671875" style="2" customWidth="1"/>
    <col min="2" max="4" width="10.6640625" style="2" customWidth="1"/>
    <col min="5" max="5" width="13.6640625" style="2" customWidth="1"/>
    <col min="6" max="6" width="10.6640625" style="2" customWidth="1"/>
    <col min="7" max="7" width="13.6640625" style="2" customWidth="1"/>
    <col min="8" max="10" width="10.6640625" style="2" customWidth="1"/>
    <col min="11" max="11" width="13.6640625" style="2" customWidth="1"/>
    <col min="12" max="12" width="10.6640625" style="2" customWidth="1"/>
    <col min="13" max="16384" width="8.88671875" style="2"/>
  </cols>
  <sheetData>
    <row r="1" spans="1:18" ht="17.399999999999999">
      <c r="A1" s="13" t="s">
        <v>2599</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2341</v>
      </c>
      <c r="B3" s="1"/>
      <c r="C3" s="1"/>
      <c r="D3" s="1"/>
      <c r="E3" s="1"/>
      <c r="F3" s="1"/>
      <c r="G3" s="1"/>
      <c r="H3" s="1"/>
      <c r="I3" s="1"/>
      <c r="J3" s="1"/>
      <c r="K3" s="1"/>
      <c r="L3" s="14"/>
    </row>
    <row r="4" spans="1:18">
      <c r="A4" s="3"/>
      <c r="B4" s="3"/>
      <c r="C4" s="3"/>
      <c r="D4" s="3"/>
      <c r="E4" s="3"/>
      <c r="F4" s="3"/>
      <c r="G4" s="3"/>
      <c r="H4" s="3"/>
      <c r="I4" s="3"/>
      <c r="J4" s="3"/>
      <c r="K4" s="3"/>
      <c r="L4" s="3"/>
    </row>
    <row r="5" spans="1:18">
      <c r="A5" s="17" t="s">
        <v>91</v>
      </c>
      <c r="B5" s="831" t="s">
        <v>2342</v>
      </c>
      <c r="C5" s="831"/>
      <c r="D5" s="831"/>
      <c r="E5" s="831"/>
      <c r="F5" s="831"/>
      <c r="G5" s="831"/>
      <c r="H5" s="831"/>
      <c r="I5" s="831"/>
      <c r="J5" s="831"/>
      <c r="K5" s="831"/>
      <c r="L5" s="831"/>
      <c r="M5" s="9"/>
      <c r="N5" s="9"/>
      <c r="O5" s="9"/>
      <c r="P5" s="9"/>
      <c r="Q5" s="9"/>
      <c r="R5" s="9"/>
    </row>
    <row r="6" spans="1:18">
      <c r="A6" s="14"/>
      <c r="B6" s="831"/>
      <c r="C6" s="831"/>
      <c r="D6" s="831"/>
      <c r="E6" s="831"/>
      <c r="F6" s="831"/>
      <c r="G6" s="831"/>
      <c r="H6" s="831"/>
      <c r="I6" s="831"/>
      <c r="J6" s="831"/>
      <c r="K6" s="831"/>
      <c r="L6" s="831"/>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t="s">
        <v>2343</v>
      </c>
      <c r="C10" s="3"/>
      <c r="D10" s="3"/>
      <c r="E10" s="3"/>
      <c r="F10" s="3"/>
      <c r="G10" s="3"/>
      <c r="H10" s="3"/>
      <c r="I10" s="3"/>
      <c r="J10" s="3"/>
      <c r="K10" s="3"/>
      <c r="L10" s="3"/>
      <c r="M10" s="3"/>
      <c r="N10" s="9"/>
    </row>
    <row r="11" spans="1:18">
      <c r="M11" s="9"/>
      <c r="N11" s="9"/>
    </row>
    <row r="12" spans="1:18">
      <c r="A12" s="949" t="s">
        <v>2344</v>
      </c>
      <c r="B12" s="949"/>
      <c r="C12" s="949"/>
      <c r="D12" s="949"/>
      <c r="E12" s="949"/>
      <c r="F12" s="949"/>
      <c r="G12" s="949"/>
      <c r="H12" s="949"/>
      <c r="I12" s="949"/>
      <c r="J12" s="949"/>
      <c r="K12" s="949"/>
      <c r="L12" s="949"/>
    </row>
    <row r="13" spans="1:18">
      <c r="A13" s="949"/>
      <c r="B13" s="949"/>
      <c r="C13" s="949"/>
      <c r="D13" s="949"/>
      <c r="E13" s="949"/>
      <c r="F13" s="949"/>
      <c r="G13" s="949"/>
      <c r="H13" s="949"/>
      <c r="I13" s="949"/>
      <c r="J13" s="949"/>
      <c r="K13" s="949"/>
      <c r="L13" s="949"/>
    </row>
    <row r="14" spans="1:18">
      <c r="A14" s="949"/>
      <c r="B14" s="949"/>
      <c r="C14" s="949"/>
      <c r="D14" s="949"/>
      <c r="E14" s="949"/>
      <c r="F14" s="949"/>
      <c r="G14" s="949"/>
      <c r="H14" s="949"/>
      <c r="I14" s="949"/>
      <c r="J14" s="949"/>
      <c r="K14" s="949"/>
      <c r="L14" s="949"/>
    </row>
    <row r="15" spans="1:18">
      <c r="A15" s="949"/>
      <c r="B15" s="949"/>
      <c r="C15" s="949"/>
      <c r="D15" s="949"/>
      <c r="E15" s="949"/>
      <c r="F15" s="949"/>
      <c r="G15" s="949"/>
      <c r="H15" s="949"/>
      <c r="I15" s="949"/>
      <c r="J15" s="949"/>
      <c r="K15" s="949"/>
      <c r="L15" s="949"/>
    </row>
    <row r="17" spans="1:12">
      <c r="A17" s="17" t="s">
        <v>133</v>
      </c>
      <c r="B17" s="1" t="s">
        <v>2345</v>
      </c>
      <c r="C17" s="1"/>
      <c r="D17" s="1"/>
      <c r="E17" s="1"/>
      <c r="F17" s="1"/>
      <c r="G17" s="1"/>
      <c r="H17" s="1"/>
      <c r="I17" s="1"/>
      <c r="J17" s="1"/>
      <c r="K17" s="1"/>
      <c r="L17" s="1"/>
    </row>
    <row r="18" spans="1:12">
      <c r="A18" s="3"/>
      <c r="B18" s="3"/>
      <c r="C18" s="3"/>
      <c r="D18" s="3"/>
      <c r="E18" s="3"/>
      <c r="F18" s="3"/>
      <c r="G18" s="3"/>
      <c r="H18" s="3"/>
      <c r="I18" s="3"/>
      <c r="J18" s="3"/>
      <c r="K18" s="3"/>
      <c r="L18" s="3"/>
    </row>
    <row r="19" spans="1:12">
      <c r="A19" s="3" t="s">
        <v>20</v>
      </c>
      <c r="B19" s="3"/>
      <c r="C19" s="3"/>
      <c r="D19" s="3"/>
      <c r="E19" s="3"/>
      <c r="F19" s="3"/>
      <c r="G19" s="3"/>
      <c r="H19" s="3"/>
      <c r="I19" s="3"/>
      <c r="J19" s="3"/>
      <c r="K19" s="3"/>
      <c r="L19" s="3"/>
    </row>
    <row r="20" spans="1:12">
      <c r="A20" s="3"/>
      <c r="B20" s="3"/>
      <c r="C20" s="3"/>
      <c r="D20" s="3"/>
      <c r="E20" s="3"/>
      <c r="F20" s="3"/>
      <c r="G20" s="3"/>
      <c r="H20" s="3"/>
      <c r="I20" s="3"/>
      <c r="J20" s="3"/>
      <c r="K20" s="3"/>
      <c r="L20" s="3"/>
    </row>
    <row r="21" spans="1:12">
      <c r="A21" s="3" t="s">
        <v>2346</v>
      </c>
      <c r="C21" s="125">
        <v>1.4999999999999999E-2</v>
      </c>
      <c r="D21" s="62"/>
      <c r="F21" s="3"/>
      <c r="G21" s="3"/>
      <c r="H21" s="3"/>
      <c r="I21" s="3"/>
      <c r="J21" s="3"/>
      <c r="K21" s="3"/>
      <c r="L21" s="3"/>
    </row>
    <row r="22" spans="1:12">
      <c r="A22" s="3" t="s">
        <v>2347</v>
      </c>
      <c r="D22" s="62"/>
      <c r="E22" s="3"/>
      <c r="F22" s="3"/>
      <c r="G22" s="3"/>
      <c r="H22" s="3"/>
      <c r="I22" s="3"/>
      <c r="J22" s="3"/>
      <c r="K22" s="443">
        <v>43922</v>
      </c>
    </row>
    <row r="23" spans="1:12">
      <c r="A23" s="3" t="s">
        <v>2348</v>
      </c>
      <c r="B23" s="62"/>
      <c r="D23" s="62"/>
      <c r="E23" s="700">
        <f>K22</f>
        <v>43922</v>
      </c>
      <c r="F23" s="94" t="s">
        <v>2152</v>
      </c>
      <c r="G23" s="700">
        <v>45292</v>
      </c>
      <c r="H23" s="560" t="s">
        <v>1630</v>
      </c>
      <c r="I23" s="94">
        <f>(12*YEAR(G23)+MONTH(G23))-(12*YEAR(E23)+MONTH(E23))</f>
        <v>45</v>
      </c>
      <c r="J23" s="94" t="s">
        <v>2153</v>
      </c>
      <c r="K23" s="94">
        <f>I23/12</f>
        <v>3.75</v>
      </c>
      <c r="L23" s="3" t="s">
        <v>2154</v>
      </c>
    </row>
    <row r="24" spans="1:12">
      <c r="A24" s="3"/>
      <c r="B24" s="62"/>
      <c r="D24" s="62"/>
      <c r="E24" s="3"/>
      <c r="F24" s="3"/>
      <c r="G24" s="3"/>
      <c r="H24" s="3"/>
      <c r="I24" s="3"/>
      <c r="J24" s="3"/>
      <c r="K24" s="3"/>
      <c r="L24" s="3"/>
    </row>
    <row r="25" spans="1:12">
      <c r="A25" s="3" t="s">
        <v>2349</v>
      </c>
      <c r="B25" s="62"/>
      <c r="D25" s="62"/>
      <c r="E25" s="125">
        <v>0.03</v>
      </c>
      <c r="F25" s="3"/>
      <c r="G25" s="3"/>
      <c r="H25" s="3"/>
      <c r="I25" s="3"/>
      <c r="J25" s="3"/>
      <c r="K25" s="3"/>
      <c r="L25" s="3"/>
    </row>
    <row r="26" spans="1:12">
      <c r="A26" s="3" t="s">
        <v>2350</v>
      </c>
      <c r="B26" s="62"/>
      <c r="D26" s="62"/>
      <c r="E26" s="700">
        <v>45566</v>
      </c>
      <c r="F26" s="94" t="s">
        <v>1241</v>
      </c>
      <c r="G26" s="94">
        <v>1</v>
      </c>
      <c r="H26" s="94" t="s">
        <v>2351</v>
      </c>
      <c r="I26" s="3"/>
      <c r="J26" s="3"/>
      <c r="K26" s="3"/>
      <c r="L26" s="3"/>
    </row>
    <row r="27" spans="1:12">
      <c r="A27" s="3" t="s">
        <v>2352</v>
      </c>
      <c r="B27" s="62"/>
      <c r="D27" s="62"/>
      <c r="E27" s="700">
        <f>DATE((YEAR(E26)+1),(MONTH(E26)-6),1)</f>
        <v>45748</v>
      </c>
      <c r="F27" s="3"/>
      <c r="G27" s="3"/>
      <c r="H27" s="3"/>
      <c r="I27" s="3"/>
      <c r="J27" s="3"/>
      <c r="K27" s="3"/>
      <c r="L27" s="3"/>
    </row>
    <row r="28" spans="1:12">
      <c r="A28" s="3" t="s">
        <v>2353</v>
      </c>
      <c r="B28" s="62"/>
      <c r="D28" s="62"/>
      <c r="E28" s="700">
        <v>45292</v>
      </c>
      <c r="F28" s="94" t="s">
        <v>2152</v>
      </c>
      <c r="G28" s="700">
        <f>E27</f>
        <v>45748</v>
      </c>
      <c r="H28" s="560" t="s">
        <v>1630</v>
      </c>
      <c r="I28" s="94">
        <f>(12*YEAR(G28)+MONTH(G28))-(12*YEAR(E28)+MONTH(E28))</f>
        <v>15</v>
      </c>
      <c r="J28" s="94" t="s">
        <v>2153</v>
      </c>
      <c r="K28" s="94">
        <f>I28/12</f>
        <v>1.25</v>
      </c>
      <c r="L28" s="3" t="s">
        <v>2154</v>
      </c>
    </row>
    <row r="29" spans="1:12">
      <c r="A29" s="3"/>
      <c r="B29" s="62"/>
      <c r="D29" s="62"/>
      <c r="E29" s="3"/>
      <c r="F29" s="3"/>
      <c r="G29" s="3"/>
      <c r="H29" s="3"/>
      <c r="I29" s="3"/>
      <c r="J29" s="3"/>
      <c r="K29" s="3"/>
      <c r="L29" s="3"/>
    </row>
    <row r="30" spans="1:12">
      <c r="A30" s="3" t="str">
        <f>"2020 premium trend factor = (1 + "&amp;TEXT(C21*100,"0.0")&amp;"%)^"&amp;K23&amp;" × (1 + "&amp;TEXT(100*E25,"0.0")&amp;"%)^"&amp;K28&amp;" = "</f>
        <v xml:space="preserve">2020 premium trend factor = (1 + 1.5%)^3.75 × (1 + 3.0%)^1.25 = </v>
      </c>
      <c r="B30" s="62"/>
      <c r="D30" s="62"/>
      <c r="E30" s="3"/>
      <c r="F30" s="3"/>
      <c r="G30" s="480">
        <f>((1+C21)^K23)*((1+E25)^K28)</f>
        <v>1.0972211976393642</v>
      </c>
      <c r="H30" s="3"/>
      <c r="I30" s="3"/>
      <c r="J30" s="63"/>
      <c r="K30" s="3"/>
      <c r="L30" s="3"/>
    </row>
    <row r="32" spans="1:12">
      <c r="A32" s="17" t="s">
        <v>18</v>
      </c>
      <c r="B32" s="1" t="s">
        <v>2354</v>
      </c>
      <c r="C32" s="1"/>
      <c r="D32" s="1"/>
      <c r="E32" s="1"/>
      <c r="F32" s="1"/>
      <c r="G32" s="1"/>
      <c r="H32" s="1"/>
      <c r="I32" s="1"/>
      <c r="J32" s="1"/>
      <c r="K32" s="1"/>
      <c r="L32" s="1"/>
    </row>
    <row r="33" spans="1:12">
      <c r="A33" s="17"/>
      <c r="B33" s="1"/>
      <c r="C33" s="1"/>
      <c r="D33" s="1"/>
      <c r="E33" s="1"/>
      <c r="F33" s="1"/>
      <c r="G33" s="1"/>
      <c r="H33" s="1"/>
      <c r="I33" s="1"/>
      <c r="J33" s="1"/>
      <c r="K33" s="1"/>
      <c r="L33" s="1"/>
    </row>
    <row r="34" spans="1:12">
      <c r="A34" s="17"/>
      <c r="B34" s="204" t="s">
        <v>2355</v>
      </c>
      <c r="C34" s="1"/>
      <c r="D34" s="1"/>
      <c r="E34" s="1"/>
      <c r="F34" s="1"/>
      <c r="G34" s="1"/>
      <c r="H34" s="1"/>
      <c r="I34" s="1"/>
      <c r="J34" s="1"/>
      <c r="K34" s="1"/>
      <c r="L34" s="1"/>
    </row>
    <row r="35" spans="1:12">
      <c r="A35" s="17"/>
      <c r="B35" s="1"/>
      <c r="C35" s="1"/>
      <c r="D35" s="1"/>
      <c r="E35" s="1"/>
      <c r="F35" s="1"/>
      <c r="G35" s="1"/>
      <c r="H35" s="1"/>
      <c r="I35" s="1"/>
      <c r="J35" s="1"/>
      <c r="K35" s="1"/>
      <c r="L35" s="1"/>
    </row>
    <row r="36" spans="1:12">
      <c r="A36" s="17"/>
      <c r="B36" s="204" t="s">
        <v>2356</v>
      </c>
      <c r="C36" s="1"/>
      <c r="D36" s="1"/>
      <c r="E36" s="1"/>
      <c r="F36" s="1"/>
      <c r="G36" s="1"/>
      <c r="H36" s="1"/>
      <c r="I36" s="1"/>
      <c r="J36" s="1"/>
      <c r="K36" s="1"/>
      <c r="L36" s="1"/>
    </row>
    <row r="37" spans="1:12">
      <c r="A37" s="3"/>
      <c r="B37" s="3"/>
      <c r="C37" s="3"/>
      <c r="D37" s="3"/>
      <c r="E37" s="3"/>
      <c r="F37" s="3"/>
      <c r="G37" s="3"/>
      <c r="H37" s="3"/>
      <c r="I37" s="3"/>
      <c r="J37" s="3"/>
      <c r="K37" s="3"/>
      <c r="L37" s="3"/>
    </row>
    <row r="38" spans="1:12">
      <c r="A38" s="3" t="s">
        <v>20</v>
      </c>
      <c r="B38" s="3"/>
      <c r="C38" s="3"/>
      <c r="D38" s="3"/>
      <c r="E38" s="3"/>
      <c r="F38" s="3"/>
      <c r="G38" s="3"/>
      <c r="H38" s="3"/>
      <c r="I38" s="3"/>
      <c r="J38" s="3"/>
      <c r="K38" s="3"/>
      <c r="L38" s="3"/>
    </row>
    <row r="39" spans="1:12">
      <c r="A39" s="3"/>
      <c r="B39" s="3"/>
      <c r="C39" s="3"/>
      <c r="D39" s="3"/>
      <c r="E39" s="3"/>
      <c r="F39" s="3"/>
      <c r="G39" s="3"/>
      <c r="H39" s="3"/>
      <c r="I39" s="3"/>
      <c r="J39" s="3"/>
      <c r="K39" s="3"/>
      <c r="L39" s="3"/>
    </row>
    <row r="40" spans="1:12">
      <c r="A40" s="3" t="s">
        <v>2357</v>
      </c>
      <c r="B40" s="3"/>
      <c r="C40" s="3"/>
      <c r="D40" s="3"/>
      <c r="E40" s="3"/>
      <c r="F40" s="3"/>
      <c r="G40" s="3"/>
      <c r="H40" s="3"/>
      <c r="I40" s="3"/>
      <c r="J40" s="3"/>
      <c r="K40" s="3"/>
      <c r="L40" s="3"/>
    </row>
    <row r="41" spans="1:12">
      <c r="A41" s="2" t="s">
        <v>2358</v>
      </c>
    </row>
    <row r="43" spans="1:12">
      <c r="A43" s="17" t="s">
        <v>25</v>
      </c>
      <c r="B43" s="1" t="s">
        <v>2359</v>
      </c>
      <c r="C43" s="1"/>
      <c r="D43" s="1"/>
      <c r="E43" s="1"/>
      <c r="F43" s="1"/>
      <c r="G43" s="1"/>
      <c r="H43" s="1"/>
      <c r="I43" s="1"/>
      <c r="J43" s="1"/>
      <c r="K43" s="1"/>
      <c r="L43" s="1"/>
    </row>
    <row r="44" spans="1:12">
      <c r="A44" s="3"/>
      <c r="B44" s="3"/>
      <c r="C44" s="3"/>
      <c r="D44" s="3"/>
      <c r="E44" s="3"/>
      <c r="F44" s="3"/>
      <c r="G44" s="3"/>
      <c r="H44" s="3"/>
      <c r="I44" s="3"/>
      <c r="J44" s="3"/>
      <c r="K44" s="3"/>
      <c r="L44" s="3"/>
    </row>
    <row r="45" spans="1:12">
      <c r="A45" s="3" t="s">
        <v>20</v>
      </c>
      <c r="B45" s="3"/>
      <c r="C45" s="3"/>
      <c r="D45" s="3"/>
      <c r="E45" s="3"/>
      <c r="F45" s="3"/>
      <c r="G45" s="3"/>
      <c r="H45" s="3"/>
      <c r="I45" s="3"/>
      <c r="J45" s="3"/>
      <c r="K45" s="3"/>
      <c r="L45" s="3"/>
    </row>
    <row r="46" spans="1:12">
      <c r="A46" s="3"/>
      <c r="B46" s="3"/>
      <c r="C46" s="3"/>
      <c r="D46" s="3"/>
      <c r="E46" s="3"/>
      <c r="F46" s="3"/>
      <c r="G46" s="3"/>
      <c r="H46" s="3"/>
      <c r="I46" s="3"/>
      <c r="J46" s="3"/>
      <c r="K46" s="3"/>
      <c r="L46" s="3"/>
    </row>
    <row r="47" spans="1:12">
      <c r="A47" s="3" t="s">
        <v>2360</v>
      </c>
      <c r="B47" s="3"/>
      <c r="C47" s="3"/>
      <c r="D47" s="3"/>
      <c r="E47" s="3"/>
      <c r="F47" s="3"/>
      <c r="G47" s="3"/>
      <c r="H47" s="3"/>
      <c r="I47" s="3"/>
      <c r="J47" s="3"/>
      <c r="K47" s="3"/>
      <c r="L47" s="3"/>
    </row>
    <row r="48" spans="1:12">
      <c r="A48" s="2" t="s">
        <v>2361</v>
      </c>
    </row>
    <row r="50" spans="13:13">
      <c r="M50" s="3"/>
    </row>
  </sheetData>
  <mergeCells count="2">
    <mergeCell ref="B5:L6"/>
    <mergeCell ref="A12:L15"/>
  </mergeCells>
  <hyperlinks>
    <hyperlink ref="O1" location="TOC!A1" display="Table of Contents" xr:uid="{190F1831-DDF6-4F2D-8A88-5B4C097435C1}"/>
  </hyperlinks>
  <pageMargins left="0.7" right="0.7" top="0.75" bottom="0.75" header="0.3" footer="0.3"/>
  <pageSetup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CE43-7092-4917-8751-3E223B712BAE}">
  <dimension ref="A1:AF179"/>
  <sheetViews>
    <sheetView zoomScaleNormal="100" workbookViewId="0"/>
  </sheetViews>
  <sheetFormatPr defaultColWidth="8.88671875" defaultRowHeight="15.6"/>
  <cols>
    <col min="1" max="1" width="9.88671875" style="2" customWidth="1"/>
    <col min="2" max="2" width="15.109375" style="2" customWidth="1"/>
    <col min="3" max="3" width="14.5546875" style="2" customWidth="1"/>
    <col min="4" max="4" width="15.6640625" style="2" customWidth="1"/>
    <col min="5" max="5" width="13.33203125" style="2" customWidth="1"/>
    <col min="6" max="6" width="12.6640625" style="2" customWidth="1"/>
    <col min="7" max="7" width="13.6640625" style="2" customWidth="1"/>
    <col min="8" max="8" width="12.5546875" style="2" customWidth="1"/>
    <col min="9" max="9" width="18.44140625" style="2" customWidth="1"/>
    <col min="10" max="12" width="10.6640625" style="2" customWidth="1"/>
    <col min="13" max="32" width="5.6640625" style="2" customWidth="1"/>
    <col min="33" max="16384" width="8.88671875" style="2"/>
  </cols>
  <sheetData>
    <row r="1" spans="1:15" ht="17.399999999999999">
      <c r="A1" s="13" t="s">
        <v>2598</v>
      </c>
      <c r="B1" s="1"/>
      <c r="C1" s="1"/>
      <c r="D1" s="1" t="s">
        <v>2362</v>
      </c>
      <c r="E1" s="1"/>
      <c r="F1" s="1"/>
      <c r="G1" s="1"/>
      <c r="H1" s="1"/>
      <c r="I1" s="1"/>
      <c r="J1" s="1"/>
      <c r="K1" s="1"/>
      <c r="L1" s="14"/>
      <c r="O1" s="21" t="s">
        <v>2927</v>
      </c>
    </row>
    <row r="2" spans="1:15">
      <c r="A2" s="1"/>
      <c r="B2" s="1"/>
      <c r="C2" s="1"/>
      <c r="D2" s="1"/>
      <c r="E2" s="1"/>
      <c r="F2" s="1"/>
      <c r="G2" s="1"/>
      <c r="H2" s="1"/>
      <c r="I2" s="1"/>
      <c r="J2" s="1"/>
      <c r="K2" s="1"/>
      <c r="L2" s="14"/>
    </row>
    <row r="3" spans="1:15">
      <c r="A3" s="1" t="s">
        <v>2363</v>
      </c>
      <c r="B3" s="1"/>
      <c r="C3" s="1"/>
      <c r="D3" s="1"/>
      <c r="E3" s="1"/>
      <c r="F3" s="1"/>
      <c r="G3" s="1"/>
      <c r="H3" s="1"/>
      <c r="I3" s="1"/>
      <c r="J3" s="1"/>
      <c r="K3" s="1"/>
      <c r="L3" s="14"/>
    </row>
    <row r="4" spans="1:15">
      <c r="A4" s="43"/>
      <c r="B4" s="1"/>
      <c r="C4" s="1"/>
      <c r="D4" s="1"/>
      <c r="E4" s="1"/>
      <c r="F4" s="1"/>
      <c r="G4" s="1"/>
      <c r="H4" s="1"/>
      <c r="I4" s="1"/>
      <c r="J4" s="1"/>
      <c r="K4" s="1"/>
      <c r="L4" s="1"/>
    </row>
    <row r="5" spans="1:15">
      <c r="A5" s="43"/>
      <c r="B5" s="519" t="s">
        <v>2364</v>
      </c>
      <c r="C5" s="1"/>
      <c r="D5" s="1"/>
      <c r="E5" s="1"/>
      <c r="F5" s="1"/>
      <c r="G5" s="1"/>
      <c r="H5" s="1"/>
      <c r="I5" s="1"/>
      <c r="J5" s="1"/>
      <c r="K5" s="1"/>
      <c r="L5" s="1"/>
    </row>
    <row r="6" spans="1:15">
      <c r="A6" s="43"/>
      <c r="B6" s="519" t="s">
        <v>2365</v>
      </c>
      <c r="C6" s="1"/>
      <c r="D6" s="1"/>
      <c r="E6" s="1"/>
      <c r="F6" s="1"/>
      <c r="G6" s="1"/>
      <c r="H6" s="1"/>
      <c r="I6" s="1"/>
      <c r="J6" s="1"/>
      <c r="K6" s="1"/>
      <c r="L6" s="1"/>
    </row>
    <row r="7" spans="1:15">
      <c r="A7" s="43"/>
      <c r="B7" s="519" t="s">
        <v>2366</v>
      </c>
      <c r="C7" s="1"/>
      <c r="D7" s="1"/>
      <c r="E7" s="1"/>
      <c r="F7" s="377">
        <v>-0.01</v>
      </c>
      <c r="G7" s="1"/>
      <c r="H7" s="1"/>
      <c r="I7" s="1"/>
      <c r="J7" s="1"/>
      <c r="K7" s="1"/>
      <c r="L7" s="1"/>
    </row>
    <row r="8" spans="1:15">
      <c r="A8" s="43"/>
      <c r="B8" s="519" t="s">
        <v>2367</v>
      </c>
      <c r="C8" s="1"/>
      <c r="D8" s="1"/>
      <c r="E8" s="1"/>
      <c r="F8" s="377">
        <v>0.05</v>
      </c>
      <c r="G8" s="1"/>
      <c r="H8" s="1"/>
      <c r="I8" s="1"/>
      <c r="J8" s="1"/>
      <c r="K8" s="1"/>
      <c r="L8" s="1"/>
    </row>
    <row r="9" spans="1:15">
      <c r="A9" s="1"/>
      <c r="B9" s="1"/>
      <c r="C9" s="1"/>
      <c r="D9" s="1"/>
      <c r="E9" s="1"/>
      <c r="F9" s="1"/>
      <c r="G9" s="1"/>
      <c r="H9" s="1"/>
      <c r="I9" s="1"/>
      <c r="J9" s="1"/>
      <c r="K9" s="1"/>
      <c r="L9" s="1"/>
    </row>
    <row r="10" spans="1:15">
      <c r="A10" s="260" t="s">
        <v>2368</v>
      </c>
      <c r="B10" s="1"/>
      <c r="C10" s="1"/>
      <c r="D10" s="1"/>
      <c r="E10" s="1"/>
      <c r="F10" s="1"/>
      <c r="G10" s="1"/>
      <c r="H10" s="1"/>
      <c r="I10" s="1"/>
      <c r="J10" s="1"/>
      <c r="K10" s="1"/>
      <c r="L10" s="1"/>
    </row>
    <row r="11" spans="1:15">
      <c r="A11" s="43"/>
      <c r="B11" s="1"/>
      <c r="C11" s="1"/>
      <c r="D11" s="1"/>
      <c r="E11" s="1"/>
      <c r="F11" s="1"/>
      <c r="G11" s="1"/>
      <c r="H11" s="1"/>
      <c r="I11" s="1"/>
      <c r="J11" s="1"/>
      <c r="K11" s="1"/>
      <c r="L11" s="1"/>
    </row>
    <row r="12" spans="1:15">
      <c r="A12" s="1"/>
      <c r="B12" s="404"/>
      <c r="C12" s="841" t="s">
        <v>276</v>
      </c>
      <c r="D12" s="841"/>
      <c r="E12" s="841"/>
      <c r="F12" s="1"/>
      <c r="G12" s="1"/>
      <c r="H12" s="1"/>
      <c r="I12" s="1"/>
      <c r="J12" s="1"/>
      <c r="K12" s="1"/>
      <c r="L12" s="1"/>
    </row>
    <row r="13" spans="1:15">
      <c r="A13" s="1"/>
      <c r="B13" s="4" t="s">
        <v>49</v>
      </c>
      <c r="C13" s="828" t="s">
        <v>2369</v>
      </c>
      <c r="D13" s="828"/>
      <c r="E13" s="232" t="s">
        <v>512</v>
      </c>
      <c r="F13" s="1"/>
      <c r="G13" s="1"/>
      <c r="H13" s="1"/>
      <c r="I13" s="1"/>
      <c r="J13" s="1"/>
      <c r="K13" s="1"/>
      <c r="L13" s="1"/>
    </row>
    <row r="14" spans="1:15">
      <c r="A14" s="1"/>
      <c r="B14" s="32">
        <v>2014</v>
      </c>
      <c r="C14" s="951">
        <v>2.02</v>
      </c>
      <c r="D14" s="951"/>
      <c r="E14" s="92">
        <v>4100</v>
      </c>
      <c r="F14" s="1"/>
      <c r="G14" s="1"/>
      <c r="H14" s="1"/>
      <c r="I14" s="1"/>
      <c r="J14" s="1"/>
      <c r="K14" s="1"/>
      <c r="L14" s="1"/>
    </row>
    <row r="15" spans="1:15">
      <c r="A15" s="1"/>
      <c r="B15" s="32">
        <v>2015</v>
      </c>
      <c r="C15" s="951">
        <v>0.39</v>
      </c>
      <c r="D15" s="951"/>
      <c r="E15" s="92">
        <v>3500</v>
      </c>
      <c r="F15" s="1"/>
      <c r="G15" s="1"/>
      <c r="H15" s="1"/>
      <c r="I15" s="1"/>
      <c r="J15" s="1"/>
      <c r="K15" s="1"/>
      <c r="L15" s="1"/>
    </row>
    <row r="16" spans="1:15">
      <c r="A16" s="1"/>
      <c r="B16" s="32">
        <v>2016</v>
      </c>
      <c r="C16" s="951">
        <v>1.99</v>
      </c>
      <c r="D16" s="951"/>
      <c r="E16" s="92">
        <v>2900</v>
      </c>
      <c r="F16" s="1"/>
      <c r="G16" s="1"/>
      <c r="H16" s="1"/>
      <c r="I16" s="1"/>
      <c r="J16" s="1"/>
      <c r="K16" s="1"/>
      <c r="L16" s="1"/>
    </row>
    <row r="17" spans="1:18">
      <c r="A17" s="1"/>
      <c r="B17" s="32">
        <v>2017</v>
      </c>
      <c r="C17" s="951">
        <v>0.1</v>
      </c>
      <c r="D17" s="951"/>
      <c r="E17" s="92">
        <v>4400</v>
      </c>
      <c r="F17" s="1"/>
      <c r="G17" s="1"/>
      <c r="H17" s="1"/>
      <c r="I17" s="1"/>
      <c r="J17" s="1"/>
      <c r="K17" s="1"/>
      <c r="L17" s="1"/>
    </row>
    <row r="18" spans="1:18">
      <c r="A18" s="1"/>
      <c r="B18" s="32">
        <v>2018</v>
      </c>
      <c r="C18" s="951">
        <v>1.99</v>
      </c>
      <c r="D18" s="951"/>
      <c r="E18" s="92">
        <v>2800</v>
      </c>
      <c r="F18" s="1"/>
      <c r="G18" s="1"/>
      <c r="H18" s="1"/>
      <c r="I18" s="1"/>
      <c r="J18" s="1"/>
      <c r="K18" s="1"/>
      <c r="L18" s="1"/>
    </row>
    <row r="19" spans="1:18">
      <c r="A19" s="1"/>
      <c r="B19" s="32">
        <v>2019</v>
      </c>
      <c r="C19" s="951">
        <v>0.8</v>
      </c>
      <c r="D19" s="951"/>
      <c r="E19" s="92">
        <v>4200</v>
      </c>
      <c r="F19" s="1"/>
      <c r="G19" s="1"/>
      <c r="H19" s="1"/>
      <c r="I19" s="1"/>
      <c r="J19" s="1"/>
      <c r="K19" s="1"/>
      <c r="L19" s="1"/>
    </row>
    <row r="20" spans="1:18">
      <c r="A20" s="1"/>
      <c r="B20" s="32">
        <v>2020</v>
      </c>
      <c r="C20" s="951">
        <v>0.63</v>
      </c>
      <c r="D20" s="951"/>
      <c r="E20" s="92">
        <v>2600</v>
      </c>
      <c r="F20" s="1"/>
      <c r="G20" s="1"/>
      <c r="H20" s="1"/>
      <c r="I20" s="1"/>
      <c r="J20" s="1"/>
      <c r="K20" s="1"/>
      <c r="L20" s="1"/>
    </row>
    <row r="21" spans="1:18">
      <c r="A21" s="1"/>
      <c r="B21" s="32">
        <v>2021</v>
      </c>
      <c r="C21" s="951">
        <v>2.73</v>
      </c>
      <c r="D21" s="951"/>
      <c r="E21" s="92">
        <v>3600</v>
      </c>
      <c r="F21" s="1"/>
      <c r="G21" s="1"/>
      <c r="H21" s="1"/>
      <c r="I21" s="1"/>
      <c r="J21" s="1"/>
      <c r="K21" s="1"/>
      <c r="L21" s="1"/>
    </row>
    <row r="22" spans="1:18">
      <c r="A22" s="1"/>
      <c r="B22" s="32">
        <v>2022</v>
      </c>
      <c r="C22" s="951">
        <v>0.56000000000000005</v>
      </c>
      <c r="D22" s="951"/>
      <c r="E22" s="92">
        <v>2100</v>
      </c>
      <c r="F22" s="1"/>
      <c r="G22" s="1"/>
      <c r="H22" s="1"/>
      <c r="I22" s="1"/>
      <c r="J22" s="1"/>
      <c r="K22" s="1"/>
      <c r="L22" s="1"/>
    </row>
    <row r="23" spans="1:18">
      <c r="A23" s="1"/>
      <c r="B23" s="32">
        <v>2023</v>
      </c>
      <c r="C23" s="951">
        <v>1.69</v>
      </c>
      <c r="D23" s="951"/>
      <c r="E23" s="92">
        <v>3100</v>
      </c>
      <c r="F23" s="1"/>
      <c r="G23" s="1"/>
      <c r="H23" s="1"/>
      <c r="I23" s="1"/>
      <c r="J23" s="1"/>
      <c r="K23" s="1"/>
      <c r="L23" s="1"/>
    </row>
    <row r="24" spans="1:18">
      <c r="A24" s="3"/>
      <c r="B24" s="3"/>
      <c r="C24" s="3"/>
      <c r="D24" s="3"/>
      <c r="E24" s="3"/>
      <c r="F24" s="3"/>
      <c r="G24" s="3"/>
      <c r="H24" s="3"/>
      <c r="I24" s="3"/>
      <c r="J24" s="3"/>
      <c r="K24" s="3"/>
      <c r="L24" s="3"/>
    </row>
    <row r="25" spans="1:18">
      <c r="A25" s="17" t="s">
        <v>91</v>
      </c>
      <c r="B25" s="1" t="s">
        <v>2370</v>
      </c>
      <c r="C25" s="1"/>
      <c r="D25" s="1"/>
      <c r="E25" s="1"/>
      <c r="F25" s="1"/>
      <c r="G25" s="1"/>
      <c r="H25" s="1"/>
      <c r="I25" s="1"/>
      <c r="J25" s="1"/>
      <c r="K25" s="1"/>
      <c r="L25" s="1"/>
      <c r="M25" s="9"/>
      <c r="N25" s="9"/>
      <c r="O25" s="9"/>
      <c r="P25" s="9"/>
      <c r="Q25" s="9"/>
      <c r="R25" s="9"/>
    </row>
    <row r="26" spans="1:18">
      <c r="A26" s="3"/>
      <c r="B26" s="3"/>
      <c r="C26" s="3"/>
      <c r="D26" s="3"/>
      <c r="E26" s="3"/>
      <c r="F26" s="3"/>
      <c r="G26" s="3"/>
      <c r="H26" s="3"/>
      <c r="I26" s="3"/>
      <c r="J26" s="3"/>
      <c r="K26" s="3"/>
      <c r="L26" s="3"/>
      <c r="M26" s="3"/>
    </row>
    <row r="27" spans="1:18">
      <c r="A27" s="3" t="s">
        <v>20</v>
      </c>
      <c r="B27" s="3"/>
      <c r="C27" s="3"/>
      <c r="D27" s="3"/>
      <c r="E27" s="3"/>
      <c r="F27" s="3"/>
      <c r="G27" s="3"/>
      <c r="H27" s="3"/>
      <c r="I27" s="3"/>
      <c r="J27" s="3"/>
      <c r="K27" s="3"/>
      <c r="L27" s="3"/>
      <c r="M27" s="3"/>
      <c r="N27" s="9"/>
    </row>
    <row r="28" spans="1:18">
      <c r="A28" s="3"/>
      <c r="B28" s="3"/>
      <c r="C28" s="3"/>
      <c r="D28" s="3"/>
      <c r="E28" s="3"/>
      <c r="F28" s="3"/>
      <c r="G28" s="3"/>
      <c r="H28" s="3"/>
      <c r="I28" s="3"/>
      <c r="J28" s="3"/>
      <c r="K28" s="3"/>
      <c r="L28" s="3"/>
      <c r="M28" s="3"/>
      <c r="N28" s="9"/>
    </row>
    <row r="29" spans="1:18">
      <c r="A29" s="2" t="s">
        <v>261</v>
      </c>
      <c r="E29" s="701">
        <v>45809</v>
      </c>
      <c r="F29" s="60" t="s">
        <v>2371</v>
      </c>
      <c r="G29" s="18"/>
      <c r="H29" s="3"/>
      <c r="I29" s="3"/>
      <c r="J29" s="3"/>
      <c r="K29" s="3"/>
      <c r="L29" s="3"/>
      <c r="M29" s="3"/>
      <c r="N29" s="9"/>
    </row>
    <row r="30" spans="1:18">
      <c r="M30" s="9"/>
      <c r="N30" s="9"/>
    </row>
    <row r="31" spans="1:18">
      <c r="A31" s="2" t="s">
        <v>2372</v>
      </c>
      <c r="E31" s="34">
        <f>DATEDIF(DATE(A44,7,1),E29,"M")</f>
        <v>23</v>
      </c>
      <c r="F31" s="18"/>
      <c r="G31" s="18"/>
      <c r="H31" s="18"/>
      <c r="M31" s="9"/>
      <c r="N31" s="9"/>
    </row>
    <row r="32" spans="1:18">
      <c r="A32" s="18"/>
      <c r="B32" s="18"/>
      <c r="C32" s="18"/>
      <c r="D32" s="18"/>
      <c r="E32" s="18"/>
      <c r="F32" s="18"/>
      <c r="G32" s="18"/>
      <c r="H32" s="18"/>
      <c r="M32" s="9"/>
      <c r="N32" s="9"/>
    </row>
    <row r="33" spans="1:14">
      <c r="A33" s="3"/>
      <c r="B33" s="824" t="s">
        <v>276</v>
      </c>
      <c r="C33" s="824"/>
      <c r="D33" s="18"/>
      <c r="E33" s="875" t="s">
        <v>173</v>
      </c>
      <c r="F33" s="875"/>
      <c r="G33" s="875" t="s">
        <v>2163</v>
      </c>
      <c r="H33" s="875"/>
      <c r="I33" s="875"/>
      <c r="M33" s="9"/>
      <c r="N33" s="9"/>
    </row>
    <row r="34" spans="1:14" ht="31.2">
      <c r="A34" s="93" t="s">
        <v>49</v>
      </c>
      <c r="B34" s="93" t="s">
        <v>2373</v>
      </c>
      <c r="C34" s="107" t="s">
        <v>512</v>
      </c>
      <c r="D34" s="93" t="s">
        <v>591</v>
      </c>
      <c r="E34" s="93" t="s">
        <v>2374</v>
      </c>
      <c r="F34" s="93" t="s">
        <v>2375</v>
      </c>
      <c r="G34" s="93" t="s">
        <v>2373</v>
      </c>
      <c r="H34" s="107" t="s">
        <v>512</v>
      </c>
      <c r="I34" s="93" t="s">
        <v>2376</v>
      </c>
      <c r="M34" s="9"/>
      <c r="N34" s="9"/>
    </row>
    <row r="35" spans="1:14">
      <c r="A35" s="94">
        <f t="shared" ref="A35:B44" si="0">B14</f>
        <v>2014</v>
      </c>
      <c r="B35" s="269">
        <f t="shared" si="0"/>
        <v>2.02</v>
      </c>
      <c r="C35" s="106">
        <f t="shared" ref="C35:C44" si="1">E14</f>
        <v>4100</v>
      </c>
      <c r="D35" s="34">
        <f t="shared" ref="D35:D42" si="2">D36+12</f>
        <v>131</v>
      </c>
      <c r="E35" s="82">
        <f>(1+$F$7)^($D35/12)</f>
        <v>0.89608843921179415</v>
      </c>
      <c r="F35" s="82">
        <f>(1+$F$8)^($D35/12)</f>
        <v>1.7033994977096409</v>
      </c>
      <c r="G35" s="160">
        <f t="shared" ref="G35:H44" si="3">B35*E35</f>
        <v>1.8100986472078242</v>
      </c>
      <c r="H35" s="237">
        <f t="shared" si="3"/>
        <v>6983.9379406095277</v>
      </c>
      <c r="I35" s="106">
        <f>G35*H35</f>
        <v>12641.616618480704</v>
      </c>
      <c r="M35" s="9"/>
      <c r="N35" s="9"/>
    </row>
    <row r="36" spans="1:14">
      <c r="A36" s="94">
        <f t="shared" si="0"/>
        <v>2015</v>
      </c>
      <c r="B36" s="269">
        <f t="shared" si="0"/>
        <v>0.39</v>
      </c>
      <c r="C36" s="106">
        <f t="shared" si="1"/>
        <v>3500</v>
      </c>
      <c r="D36" s="34">
        <f t="shared" si="2"/>
        <v>119</v>
      </c>
      <c r="E36" s="82">
        <f t="shared" ref="E36:E44" si="4">(1+$F$7)^($D36/12)</f>
        <v>0.90513983758767091</v>
      </c>
      <c r="F36" s="82">
        <f t="shared" ref="F36:F44" si="5">(1+$F$8)^($D36/12)</f>
        <v>1.6222852359139435</v>
      </c>
      <c r="G36" s="160">
        <f>B36*E36</f>
        <v>0.35300453665919168</v>
      </c>
      <c r="H36" s="237">
        <f t="shared" si="3"/>
        <v>5677.9983256988025</v>
      </c>
      <c r="I36" s="106">
        <f t="shared" ref="I36:I44" si="6">G36*H36</f>
        <v>2004.3591681149719</v>
      </c>
      <c r="M36" s="9"/>
      <c r="N36" s="9"/>
    </row>
    <row r="37" spans="1:14">
      <c r="A37" s="94">
        <f t="shared" si="0"/>
        <v>2016</v>
      </c>
      <c r="B37" s="269">
        <f t="shared" si="0"/>
        <v>1.99</v>
      </c>
      <c r="C37" s="106">
        <f t="shared" si="1"/>
        <v>2900</v>
      </c>
      <c r="D37" s="34">
        <f t="shared" si="2"/>
        <v>107</v>
      </c>
      <c r="E37" s="82">
        <f t="shared" si="4"/>
        <v>0.91428266422997062</v>
      </c>
      <c r="F37" s="82">
        <f t="shared" si="5"/>
        <v>1.5450335580132795</v>
      </c>
      <c r="G37" s="160">
        <f t="shared" ref="G37:G44" si="7">B37*E37</f>
        <v>1.8194225018176415</v>
      </c>
      <c r="H37" s="237">
        <f t="shared" si="3"/>
        <v>4480.5973182385105</v>
      </c>
      <c r="I37" s="106">
        <f t="shared" si="6"/>
        <v>8152.0995823869262</v>
      </c>
      <c r="M37" s="9"/>
      <c r="N37" s="9"/>
    </row>
    <row r="38" spans="1:14">
      <c r="A38" s="94">
        <f t="shared" si="0"/>
        <v>2017</v>
      </c>
      <c r="B38" s="269">
        <f t="shared" si="0"/>
        <v>0.1</v>
      </c>
      <c r="C38" s="106">
        <f t="shared" si="1"/>
        <v>4400</v>
      </c>
      <c r="D38" s="34">
        <f t="shared" si="2"/>
        <v>95</v>
      </c>
      <c r="E38" s="82">
        <f t="shared" si="4"/>
        <v>0.92351784265653591</v>
      </c>
      <c r="F38" s="82">
        <f t="shared" si="5"/>
        <v>1.4714605314412186</v>
      </c>
      <c r="G38" s="160">
        <f t="shared" si="7"/>
        <v>9.2351784265653603E-2</v>
      </c>
      <c r="H38" s="237">
        <f t="shared" si="3"/>
        <v>6474.4263383413618</v>
      </c>
      <c r="I38" s="106">
        <f t="shared" si="6"/>
        <v>597.92482444236703</v>
      </c>
      <c r="M38" s="9"/>
      <c r="N38" s="9"/>
    </row>
    <row r="39" spans="1:14">
      <c r="A39" s="94">
        <f t="shared" si="0"/>
        <v>2018</v>
      </c>
      <c r="B39" s="269">
        <f t="shared" si="0"/>
        <v>1.99</v>
      </c>
      <c r="C39" s="106">
        <f t="shared" si="1"/>
        <v>2800</v>
      </c>
      <c r="D39" s="34">
        <f t="shared" si="2"/>
        <v>83</v>
      </c>
      <c r="E39" s="82">
        <f t="shared" si="4"/>
        <v>0.93284630571367266</v>
      </c>
      <c r="F39" s="82">
        <f t="shared" si="5"/>
        <v>1.4013909823249699</v>
      </c>
      <c r="G39" s="160">
        <f t="shared" si="7"/>
        <v>1.8563641483702087</v>
      </c>
      <c r="H39" s="237">
        <f t="shared" si="3"/>
        <v>3923.8947505099159</v>
      </c>
      <c r="I39" s="106">
        <f t="shared" si="6"/>
        <v>7284.1775368246726</v>
      </c>
      <c r="M39" s="9"/>
      <c r="N39" s="9"/>
    </row>
    <row r="40" spans="1:14">
      <c r="A40" s="94">
        <f t="shared" si="0"/>
        <v>2019</v>
      </c>
      <c r="B40" s="269">
        <f t="shared" si="0"/>
        <v>0.8</v>
      </c>
      <c r="C40" s="106">
        <f t="shared" si="1"/>
        <v>4200</v>
      </c>
      <c r="D40" s="34">
        <f t="shared" si="2"/>
        <v>71</v>
      </c>
      <c r="E40" s="82">
        <f t="shared" si="4"/>
        <v>0.94226899567037647</v>
      </c>
      <c r="F40" s="82">
        <f t="shared" si="5"/>
        <v>1.3346580784047333</v>
      </c>
      <c r="G40" s="160">
        <f t="shared" si="7"/>
        <v>0.75381519653630125</v>
      </c>
      <c r="H40" s="237">
        <f t="shared" si="3"/>
        <v>5605.5639292998794</v>
      </c>
      <c r="I40" s="106">
        <f t="shared" si="6"/>
        <v>4225.5592750619899</v>
      </c>
      <c r="M40" s="9"/>
      <c r="N40" s="9"/>
    </row>
    <row r="41" spans="1:14">
      <c r="A41" s="94">
        <f t="shared" si="0"/>
        <v>2020</v>
      </c>
      <c r="B41" s="269">
        <f t="shared" si="0"/>
        <v>0.63</v>
      </c>
      <c r="C41" s="106">
        <f t="shared" si="1"/>
        <v>2600</v>
      </c>
      <c r="D41" s="34">
        <f t="shared" si="2"/>
        <v>59</v>
      </c>
      <c r="E41" s="82">
        <f t="shared" si="4"/>
        <v>0.95178686431351156</v>
      </c>
      <c r="F41" s="82">
        <f t="shared" si="5"/>
        <v>1.2711029318140317</v>
      </c>
      <c r="G41" s="160">
        <f t="shared" si="7"/>
        <v>0.59962572451751228</v>
      </c>
      <c r="H41" s="237">
        <f t="shared" si="3"/>
        <v>3304.8676227164824</v>
      </c>
      <c r="I41" s="106">
        <f t="shared" si="6"/>
        <v>1981.6836427058392</v>
      </c>
      <c r="M41" s="9"/>
      <c r="N41" s="9"/>
    </row>
    <row r="42" spans="1:14">
      <c r="A42" s="94">
        <f t="shared" si="0"/>
        <v>2021</v>
      </c>
      <c r="B42" s="269">
        <f t="shared" si="0"/>
        <v>2.73</v>
      </c>
      <c r="C42" s="106">
        <f t="shared" si="1"/>
        <v>3600</v>
      </c>
      <c r="D42" s="34">
        <f t="shared" si="2"/>
        <v>47</v>
      </c>
      <c r="E42" s="82">
        <f t="shared" si="4"/>
        <v>0.96140087304395105</v>
      </c>
      <c r="F42" s="82">
        <f t="shared" si="5"/>
        <v>1.2105742207752681</v>
      </c>
      <c r="G42" s="160">
        <f t="shared" si="7"/>
        <v>2.6246243834099863</v>
      </c>
      <c r="H42" s="237">
        <f t="shared" si="3"/>
        <v>4358.067194790965</v>
      </c>
      <c r="I42" s="106">
        <f t="shared" si="6"/>
        <v>11438.289423987526</v>
      </c>
      <c r="M42" s="9"/>
      <c r="N42" s="9"/>
    </row>
    <row r="43" spans="1:14">
      <c r="A43" s="94">
        <f t="shared" si="0"/>
        <v>2022</v>
      </c>
      <c r="B43" s="269">
        <f t="shared" si="0"/>
        <v>0.56000000000000005</v>
      </c>
      <c r="C43" s="106">
        <f t="shared" si="1"/>
        <v>2100</v>
      </c>
      <c r="D43" s="34">
        <f>D44+12</f>
        <v>35</v>
      </c>
      <c r="E43" s="82">
        <f t="shared" si="4"/>
        <v>0.971111992973688</v>
      </c>
      <c r="F43" s="82">
        <f t="shared" si="5"/>
        <v>1.1529278293097791</v>
      </c>
      <c r="G43" s="160">
        <f t="shared" si="7"/>
        <v>0.54382271606526533</v>
      </c>
      <c r="H43" s="237">
        <f t="shared" si="3"/>
        <v>2421.1484415505361</v>
      </c>
      <c r="I43" s="106">
        <f t="shared" si="6"/>
        <v>1316.6755214811969</v>
      </c>
      <c r="M43" s="9"/>
      <c r="N43" s="9"/>
    </row>
    <row r="44" spans="1:14">
      <c r="A44" s="107">
        <f>B23</f>
        <v>2023</v>
      </c>
      <c r="B44" s="272">
        <f t="shared" si="0"/>
        <v>1.69</v>
      </c>
      <c r="C44" s="110">
        <f t="shared" si="1"/>
        <v>3100</v>
      </c>
      <c r="D44" s="35">
        <f>E31</f>
        <v>23</v>
      </c>
      <c r="E44" s="85">
        <f t="shared" si="4"/>
        <v>0.98092120502392732</v>
      </c>
      <c r="F44" s="85">
        <f t="shared" si="5"/>
        <v>1.0980265041045516</v>
      </c>
      <c r="G44" s="175">
        <f t="shared" si="7"/>
        <v>1.6577568364904371</v>
      </c>
      <c r="H44" s="241">
        <f t="shared" si="3"/>
        <v>3403.88216272411</v>
      </c>
      <c r="I44" s="110">
        <f t="shared" si="6"/>
        <v>5642.8089258637483</v>
      </c>
      <c r="M44" s="9"/>
      <c r="N44" s="9"/>
    </row>
    <row r="45" spans="1:14">
      <c r="A45" s="237" t="s">
        <v>336</v>
      </c>
      <c r="B45" s="94"/>
      <c r="C45" s="106"/>
      <c r="D45" s="34"/>
      <c r="E45" s="82"/>
      <c r="G45" s="160"/>
      <c r="H45" s="18"/>
      <c r="I45" s="106"/>
      <c r="M45" s="9"/>
      <c r="N45" s="9"/>
    </row>
    <row r="46" spans="1:14">
      <c r="A46" s="702" t="s">
        <v>2377</v>
      </c>
      <c r="C46" s="106"/>
      <c r="D46" s="34"/>
      <c r="E46" s="82"/>
      <c r="G46" s="160">
        <f t="shared" ref="G46:H46" si="8">AVERAGE(G35:G44)</f>
        <v>1.2110886475340021</v>
      </c>
      <c r="H46" s="237">
        <f t="shared" si="8"/>
        <v>4663.4384024480087</v>
      </c>
      <c r="I46" s="106">
        <f>AVERAGE(I35:I44)</f>
        <v>5528.5194519349943</v>
      </c>
      <c r="M46" s="9"/>
      <c r="N46" s="9"/>
    </row>
    <row r="48" spans="1:14">
      <c r="A48" s="17" t="s">
        <v>133</v>
      </c>
      <c r="B48" s="831" t="s">
        <v>2378</v>
      </c>
      <c r="C48" s="831"/>
      <c r="D48" s="831"/>
      <c r="E48" s="831"/>
      <c r="F48" s="831"/>
      <c r="G48" s="831"/>
      <c r="H48" s="831"/>
      <c r="I48" s="831"/>
      <c r="J48" s="831"/>
      <c r="K48" s="831"/>
      <c r="L48" s="831"/>
    </row>
    <row r="49" spans="1:12">
      <c r="A49" s="14"/>
      <c r="B49" s="831"/>
      <c r="C49" s="831"/>
      <c r="D49" s="831"/>
      <c r="E49" s="831"/>
      <c r="F49" s="831"/>
      <c r="G49" s="831"/>
      <c r="H49" s="831"/>
      <c r="I49" s="831"/>
      <c r="J49" s="831"/>
      <c r="K49" s="831"/>
      <c r="L49" s="83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2" t="s">
        <v>2379</v>
      </c>
      <c r="B53" s="18"/>
      <c r="C53" s="18"/>
      <c r="D53" s="106">
        <f>I46</f>
        <v>5528.5194519349943</v>
      </c>
      <c r="E53" s="3"/>
      <c r="F53" s="3"/>
      <c r="G53" s="3"/>
      <c r="H53" s="3"/>
      <c r="I53" s="3"/>
      <c r="J53" s="3"/>
      <c r="K53" s="3"/>
      <c r="L53" s="3"/>
    </row>
    <row r="54" spans="1:12">
      <c r="A54" s="2" t="s">
        <v>2380</v>
      </c>
      <c r="C54" s="18"/>
      <c r="D54" s="18"/>
      <c r="E54" s="3"/>
      <c r="F54" s="3"/>
      <c r="G54" s="3"/>
      <c r="H54" s="3"/>
      <c r="I54" s="3"/>
      <c r="J54" s="3"/>
      <c r="K54" s="3"/>
      <c r="L54" s="3"/>
    </row>
    <row r="56" spans="1:12">
      <c r="A56" s="260" t="s">
        <v>12</v>
      </c>
      <c r="B56" s="1"/>
      <c r="C56" s="1"/>
      <c r="D56" s="1"/>
      <c r="E56" s="1"/>
      <c r="F56" s="1"/>
      <c r="G56" s="1"/>
      <c r="H56" s="1"/>
      <c r="I56" s="1"/>
      <c r="J56" s="1"/>
      <c r="K56" s="1"/>
      <c r="L56" s="1"/>
    </row>
    <row r="57" spans="1:12">
      <c r="A57" s="1"/>
      <c r="B57" s="1"/>
      <c r="C57" s="1"/>
      <c r="D57" s="1"/>
      <c r="E57" s="1"/>
      <c r="F57" s="1"/>
      <c r="G57" s="1"/>
      <c r="H57" s="1"/>
      <c r="I57" s="1"/>
      <c r="J57" s="1"/>
      <c r="K57" s="1"/>
      <c r="L57" s="1"/>
    </row>
    <row r="58" spans="1:12">
      <c r="A58" s="1"/>
      <c r="B58" s="519" t="s">
        <v>2381</v>
      </c>
      <c r="C58" s="1"/>
      <c r="D58" s="1"/>
      <c r="E58" s="1"/>
      <c r="F58" s="1"/>
      <c r="G58" s="231">
        <v>13089711</v>
      </c>
      <c r="H58" s="1"/>
      <c r="I58" s="1"/>
      <c r="J58" s="1"/>
      <c r="K58" s="1"/>
      <c r="L58" s="1"/>
    </row>
    <row r="59" spans="1:12">
      <c r="A59" s="1"/>
      <c r="B59" s="519" t="s">
        <v>2382</v>
      </c>
      <c r="C59" s="1"/>
      <c r="D59" s="1"/>
      <c r="E59" s="1"/>
      <c r="F59" s="1"/>
      <c r="G59" s="231">
        <v>17931</v>
      </c>
      <c r="H59" s="1"/>
      <c r="I59" s="1"/>
      <c r="J59" s="1"/>
      <c r="K59" s="1"/>
      <c r="L59" s="1"/>
    </row>
    <row r="60" spans="1:12">
      <c r="A60" s="1"/>
      <c r="B60" s="519" t="s">
        <v>2383</v>
      </c>
      <c r="C60" s="1"/>
      <c r="D60" s="1"/>
      <c r="E60" s="1"/>
      <c r="F60" s="1"/>
      <c r="G60" s="1"/>
      <c r="H60" s="1"/>
      <c r="I60" s="1"/>
      <c r="J60" s="1"/>
      <c r="K60" s="1"/>
      <c r="L60" s="1"/>
    </row>
    <row r="61" spans="1:12">
      <c r="A61" s="1"/>
      <c r="B61" s="519" t="s">
        <v>2384</v>
      </c>
      <c r="C61" s="1"/>
      <c r="D61" s="1"/>
      <c r="E61" s="1"/>
      <c r="F61" s="1"/>
      <c r="G61" s="231">
        <v>4000</v>
      </c>
      <c r="H61" s="1"/>
      <c r="I61" s="1"/>
      <c r="J61" s="1"/>
      <c r="K61" s="1"/>
      <c r="L61" s="1"/>
    </row>
    <row r="62" spans="1:12">
      <c r="A62" s="1"/>
      <c r="B62" s="519" t="s">
        <v>2385</v>
      </c>
      <c r="C62" s="1"/>
      <c r="D62" s="1"/>
      <c r="E62" s="1"/>
      <c r="F62" s="1"/>
      <c r="G62" s="1"/>
      <c r="H62" s="1"/>
      <c r="I62" s="377">
        <v>0.7</v>
      </c>
      <c r="J62" s="1"/>
      <c r="K62" s="1"/>
      <c r="L62" s="1"/>
    </row>
    <row r="64" spans="1:12">
      <c r="A64" s="17" t="s">
        <v>18</v>
      </c>
      <c r="B64" s="1" t="s">
        <v>2386</v>
      </c>
      <c r="C64" s="1"/>
      <c r="D64" s="1"/>
      <c r="E64" s="1"/>
      <c r="F64" s="1"/>
      <c r="G64" s="1"/>
      <c r="H64" s="1"/>
      <c r="I64" s="1"/>
      <c r="J64" s="1"/>
      <c r="K64" s="1"/>
      <c r="L64" s="1"/>
    </row>
    <row r="65" spans="1:12">
      <c r="A65" s="3"/>
      <c r="B65" s="3"/>
      <c r="C65" s="3"/>
      <c r="D65" s="3"/>
      <c r="E65" s="3"/>
      <c r="F65" s="3"/>
      <c r="G65" s="3"/>
      <c r="H65" s="3"/>
      <c r="I65" s="3"/>
      <c r="J65" s="3"/>
      <c r="K65" s="3"/>
      <c r="L65" s="3"/>
    </row>
    <row r="66" spans="1:12">
      <c r="A66" s="3" t="s">
        <v>20</v>
      </c>
      <c r="B66" s="3"/>
      <c r="C66" s="3"/>
      <c r="D66" s="3"/>
      <c r="E66" s="3"/>
      <c r="F66" s="3"/>
      <c r="G66" s="3"/>
      <c r="H66" s="3"/>
      <c r="I66" s="3"/>
      <c r="J66" s="3"/>
      <c r="K66" s="3"/>
      <c r="L66" s="3"/>
    </row>
    <row r="67" spans="1:12">
      <c r="A67" s="18"/>
      <c r="B67" s="18"/>
      <c r="C67" s="18"/>
      <c r="D67" s="18"/>
      <c r="E67" s="18"/>
      <c r="F67" s="18"/>
      <c r="G67" s="18"/>
      <c r="H67" s="18"/>
      <c r="I67" s="3"/>
      <c r="J67" s="3"/>
      <c r="K67" s="3"/>
      <c r="L67" s="3"/>
    </row>
    <row r="68" spans="1:12">
      <c r="A68" s="2" t="s">
        <v>2387</v>
      </c>
      <c r="B68" s="18"/>
      <c r="C68" s="18"/>
      <c r="E68" s="11">
        <f>D53</f>
        <v>5528.5194519349943</v>
      </c>
      <c r="F68" s="18"/>
      <c r="H68" s="3"/>
      <c r="I68" s="3"/>
      <c r="J68" s="3"/>
      <c r="K68" s="3"/>
      <c r="L68" s="3"/>
    </row>
    <row r="69" spans="1:12">
      <c r="B69" s="18"/>
      <c r="C69" s="18"/>
      <c r="F69" s="18"/>
      <c r="H69" s="3"/>
      <c r="I69" s="3"/>
      <c r="J69" s="3"/>
      <c r="K69" s="3"/>
      <c r="L69" s="3"/>
    </row>
    <row r="70" spans="1:12">
      <c r="A70" s="2" t="s">
        <v>2388</v>
      </c>
      <c r="B70" s="18"/>
      <c r="C70" s="18"/>
      <c r="E70" s="703">
        <f>I62*E68+(1-I62)*G61</f>
        <v>5069.9636163544956</v>
      </c>
      <c r="F70" s="18"/>
      <c r="H70" s="3"/>
      <c r="I70" s="3"/>
      <c r="J70" s="3"/>
      <c r="K70" s="3"/>
      <c r="L70" s="3"/>
    </row>
    <row r="71" spans="1:12">
      <c r="B71" s="18"/>
      <c r="C71" s="18"/>
      <c r="F71" s="18"/>
      <c r="H71" s="3"/>
      <c r="I71" s="3"/>
      <c r="J71" s="3"/>
      <c r="K71" s="3"/>
      <c r="L71" s="3"/>
    </row>
    <row r="72" spans="1:12">
      <c r="A72" s="2" t="s">
        <v>2389</v>
      </c>
      <c r="B72" s="18"/>
      <c r="C72" s="18"/>
      <c r="E72" s="703">
        <f>E70*G59/100</f>
        <v>909095.17604852456</v>
      </c>
      <c r="F72" s="18"/>
      <c r="H72" s="3"/>
      <c r="I72" s="3"/>
      <c r="J72" s="3"/>
      <c r="K72" s="3"/>
      <c r="L72" s="3"/>
    </row>
    <row r="73" spans="1:12">
      <c r="B73" s="18"/>
      <c r="C73" s="18"/>
      <c r="F73" s="18"/>
      <c r="H73" s="3"/>
      <c r="I73" s="3"/>
      <c r="J73" s="3"/>
      <c r="K73" s="3"/>
      <c r="L73" s="3"/>
    </row>
    <row r="74" spans="1:12">
      <c r="A74" s="2" t="s">
        <v>2390</v>
      </c>
      <c r="B74" s="18"/>
      <c r="C74" s="18"/>
      <c r="E74" s="406">
        <f>E72/G58</f>
        <v>6.94511266175796E-2</v>
      </c>
      <c r="F74" s="18"/>
      <c r="H74" s="3"/>
      <c r="I74" s="3"/>
      <c r="J74" s="3"/>
      <c r="K74" s="3"/>
      <c r="L74" s="3"/>
    </row>
    <row r="76" spans="1:12">
      <c r="A76" s="260" t="s">
        <v>2391</v>
      </c>
      <c r="B76" s="14"/>
      <c r="C76" s="14"/>
      <c r="D76" s="14"/>
      <c r="E76" s="14"/>
      <c r="F76" s="14"/>
      <c r="G76" s="1"/>
      <c r="H76" s="1"/>
      <c r="I76" s="1"/>
      <c r="J76" s="1"/>
      <c r="K76" s="1"/>
      <c r="L76" s="1"/>
    </row>
    <row r="78" spans="1:12">
      <c r="A78" s="17" t="s">
        <v>25</v>
      </c>
      <c r="B78" s="1" t="s">
        <v>2392</v>
      </c>
      <c r="C78" s="1"/>
      <c r="D78" s="1"/>
      <c r="E78" s="1"/>
      <c r="F78" s="1"/>
      <c r="G78" s="1"/>
      <c r="H78" s="1"/>
      <c r="I78" s="1"/>
      <c r="J78" s="1"/>
      <c r="K78" s="1"/>
      <c r="L78" s="1"/>
    </row>
    <row r="79" spans="1:12">
      <c r="A79" s="3"/>
      <c r="B79" s="3"/>
      <c r="C79" s="3"/>
      <c r="D79" s="3"/>
      <c r="E79" s="3"/>
      <c r="F79" s="3"/>
      <c r="G79" s="3"/>
      <c r="H79" s="3"/>
      <c r="I79" s="3"/>
      <c r="J79" s="3"/>
      <c r="K79" s="3"/>
      <c r="L79" s="3"/>
    </row>
    <row r="80" spans="1:12">
      <c r="A80" s="3" t="s">
        <v>20</v>
      </c>
      <c r="B80" s="3"/>
      <c r="C80" s="3"/>
      <c r="D80" s="3"/>
      <c r="E80" s="3"/>
      <c r="F80" s="3"/>
      <c r="G80" s="3"/>
      <c r="H80" s="3"/>
      <c r="I80" s="3"/>
      <c r="J80" s="3"/>
      <c r="K80" s="3"/>
      <c r="L80" s="3"/>
    </row>
    <row r="81" spans="1:13">
      <c r="A81" s="3"/>
      <c r="B81" s="3"/>
      <c r="C81" s="3"/>
      <c r="D81" s="3"/>
      <c r="E81" s="3"/>
      <c r="F81" s="3"/>
      <c r="G81" s="3"/>
      <c r="H81" s="3"/>
      <c r="I81" s="3"/>
      <c r="J81" s="3"/>
      <c r="K81" s="3"/>
      <c r="L81" s="3"/>
    </row>
    <row r="82" spans="1:13">
      <c r="A82" s="3" t="s">
        <v>2393</v>
      </c>
      <c r="B82" s="3"/>
      <c r="C82" s="3"/>
      <c r="D82" s="3"/>
      <c r="E82" s="3"/>
      <c r="F82" s="3"/>
      <c r="G82" s="3"/>
      <c r="H82" s="3"/>
      <c r="I82" s="3"/>
      <c r="J82" s="3"/>
      <c r="K82" s="3"/>
      <c r="L82" s="3"/>
    </row>
    <row r="83" spans="1:13">
      <c r="A83" s="2" t="s">
        <v>2394</v>
      </c>
    </row>
    <row r="84" spans="1:13">
      <c r="A84" s="2" t="s">
        <v>2395</v>
      </c>
    </row>
    <row r="85" spans="1:13">
      <c r="A85" s="2" t="s">
        <v>2396</v>
      </c>
      <c r="M85" s="3"/>
    </row>
    <row r="86" spans="1:13">
      <c r="A86" s="2" t="s">
        <v>2397</v>
      </c>
      <c r="M86" s="3"/>
    </row>
    <row r="87" spans="1:13">
      <c r="A87" s="2" t="s">
        <v>2398</v>
      </c>
    </row>
    <row r="88" spans="1:13">
      <c r="A88" s="2" t="s">
        <v>2399</v>
      </c>
    </row>
    <row r="89" spans="1:13">
      <c r="A89" s="2" t="s">
        <v>2400</v>
      </c>
    </row>
    <row r="91" spans="1:13">
      <c r="A91" s="260" t="s">
        <v>2401</v>
      </c>
      <c r="B91" s="1"/>
      <c r="C91" s="1"/>
      <c r="D91" s="1"/>
      <c r="E91" s="1"/>
      <c r="F91" s="1"/>
      <c r="G91" s="1"/>
      <c r="H91" s="1"/>
      <c r="I91" s="1"/>
      <c r="J91" s="1"/>
      <c r="K91" s="1"/>
      <c r="L91" s="1"/>
    </row>
    <row r="92" spans="1:13">
      <c r="A92" s="1"/>
      <c r="B92" s="1"/>
      <c r="C92" s="1"/>
      <c r="D92" s="1"/>
      <c r="E92" s="1"/>
      <c r="F92" s="1"/>
      <c r="G92" s="1"/>
      <c r="H92" s="1"/>
      <c r="I92" s="1"/>
      <c r="J92" s="1"/>
      <c r="K92" s="1"/>
      <c r="L92" s="1"/>
    </row>
    <row r="93" spans="1:13" ht="46.8">
      <c r="A93" s="1"/>
      <c r="B93" s="4" t="s">
        <v>49</v>
      </c>
      <c r="C93" s="4" t="s">
        <v>4</v>
      </c>
      <c r="D93" s="4" t="s">
        <v>528</v>
      </c>
      <c r="E93" s="4" t="s">
        <v>2402</v>
      </c>
      <c r="F93" s="4" t="s">
        <v>131</v>
      </c>
      <c r="G93" s="1"/>
      <c r="H93" s="1"/>
      <c r="I93" s="1"/>
      <c r="J93" s="1"/>
      <c r="K93" s="1"/>
      <c r="L93" s="1"/>
    </row>
    <row r="94" spans="1:13">
      <c r="A94" s="1"/>
      <c r="B94" s="32">
        <v>2019</v>
      </c>
      <c r="C94" s="92">
        <v>20675</v>
      </c>
      <c r="D94" s="92">
        <v>1070</v>
      </c>
      <c r="E94" s="92">
        <v>13510549</v>
      </c>
      <c r="F94" s="92">
        <v>8709600</v>
      </c>
      <c r="G94" s="1"/>
      <c r="H94" s="1"/>
      <c r="I94" s="1"/>
      <c r="J94" s="1"/>
      <c r="K94" s="1"/>
      <c r="L94" s="1"/>
    </row>
    <row r="95" spans="1:13">
      <c r="A95" s="1"/>
      <c r="B95" s="32">
        <v>2020</v>
      </c>
      <c r="C95" s="92">
        <v>19937</v>
      </c>
      <c r="D95" s="92">
        <v>1075</v>
      </c>
      <c r="E95" s="92">
        <v>13268660</v>
      </c>
      <c r="F95" s="92">
        <v>8673608</v>
      </c>
      <c r="G95" s="1"/>
      <c r="H95" s="1"/>
      <c r="I95" s="1"/>
      <c r="J95" s="1"/>
      <c r="K95" s="1"/>
      <c r="L95" s="1"/>
    </row>
    <row r="96" spans="1:13">
      <c r="A96" s="1"/>
      <c r="B96" s="32">
        <v>2021</v>
      </c>
      <c r="C96" s="92">
        <v>17061</v>
      </c>
      <c r="D96" s="92">
        <v>1074</v>
      </c>
      <c r="E96" s="92">
        <v>11739370</v>
      </c>
      <c r="F96" s="92">
        <v>7919295</v>
      </c>
      <c r="G96" s="1"/>
      <c r="H96" s="1"/>
      <c r="I96" s="1"/>
      <c r="J96" s="1"/>
      <c r="K96" s="1"/>
      <c r="L96" s="1"/>
    </row>
    <row r="97" spans="1:12">
      <c r="A97" s="1"/>
      <c r="B97" s="32">
        <v>2022</v>
      </c>
      <c r="C97" s="92">
        <v>17992</v>
      </c>
      <c r="D97" s="92">
        <v>1141</v>
      </c>
      <c r="E97" s="92">
        <v>12638750</v>
      </c>
      <c r="F97" s="92">
        <v>8605528</v>
      </c>
      <c r="G97" s="1"/>
      <c r="H97" s="1"/>
      <c r="I97" s="1"/>
      <c r="J97" s="1"/>
      <c r="K97" s="1"/>
      <c r="L97" s="1"/>
    </row>
    <row r="98" spans="1:12">
      <c r="A98" s="14"/>
      <c r="B98" s="32">
        <v>2023</v>
      </c>
      <c r="C98" s="92">
        <v>17931</v>
      </c>
      <c r="D98" s="92">
        <v>1087</v>
      </c>
      <c r="E98" s="92">
        <v>13089711</v>
      </c>
      <c r="F98" s="92">
        <v>9489317</v>
      </c>
      <c r="G98" s="1"/>
      <c r="H98" s="1"/>
      <c r="I98" s="1"/>
      <c r="J98" s="1"/>
      <c r="K98" s="1"/>
      <c r="L98" s="1"/>
    </row>
    <row r="99" spans="1:12">
      <c r="A99" s="14"/>
      <c r="B99" s="1"/>
      <c r="C99" s="1"/>
      <c r="D99" s="1"/>
      <c r="E99" s="1"/>
      <c r="F99" s="1"/>
      <c r="G99" s="1"/>
      <c r="H99" s="1"/>
      <c r="I99" s="1"/>
      <c r="J99" s="1"/>
      <c r="K99" s="1"/>
      <c r="L99" s="1"/>
    </row>
    <row r="100" spans="1:12">
      <c r="A100" s="14"/>
      <c r="B100" s="1" t="s">
        <v>2403</v>
      </c>
      <c r="C100" s="1"/>
      <c r="D100" s="92">
        <v>3654</v>
      </c>
      <c r="E100" s="1" t="s">
        <v>2144</v>
      </c>
      <c r="F100" s="1"/>
      <c r="G100" s="1"/>
      <c r="H100" s="1"/>
      <c r="I100" s="1"/>
      <c r="J100" s="1"/>
      <c r="K100" s="1"/>
      <c r="L100" s="1"/>
    </row>
    <row r="102" spans="1:12">
      <c r="A102" s="17" t="s">
        <v>147</v>
      </c>
      <c r="B102" s="831" t="s">
        <v>2404</v>
      </c>
      <c r="C102" s="831"/>
      <c r="D102" s="831"/>
      <c r="E102" s="831"/>
      <c r="F102" s="831"/>
      <c r="G102" s="831"/>
      <c r="H102" s="831"/>
      <c r="I102" s="831"/>
      <c r="J102" s="831"/>
      <c r="K102" s="831"/>
      <c r="L102" s="831"/>
    </row>
    <row r="103" spans="1:12">
      <c r="A103" s="14"/>
      <c r="B103" s="831"/>
      <c r="C103" s="831"/>
      <c r="D103" s="831"/>
      <c r="E103" s="831"/>
      <c r="F103" s="831"/>
      <c r="G103" s="831"/>
      <c r="H103" s="831"/>
      <c r="I103" s="831"/>
      <c r="J103" s="831"/>
      <c r="K103" s="831"/>
      <c r="L103" s="831"/>
    </row>
    <row r="104" spans="1:12">
      <c r="A104" s="3"/>
      <c r="B104" s="3"/>
      <c r="C104" s="3"/>
      <c r="D104" s="3"/>
      <c r="E104" s="3"/>
      <c r="F104" s="3"/>
      <c r="G104" s="3"/>
      <c r="H104" s="3"/>
      <c r="I104" s="3"/>
      <c r="J104" s="3"/>
      <c r="K104" s="3"/>
      <c r="L104" s="3"/>
    </row>
    <row r="105" spans="1:12">
      <c r="A105" s="3" t="s">
        <v>20</v>
      </c>
      <c r="B105" s="3"/>
      <c r="C105" s="3"/>
      <c r="D105" s="3"/>
      <c r="E105" s="3"/>
      <c r="F105" s="3"/>
      <c r="G105" s="3"/>
      <c r="H105" s="3"/>
      <c r="I105" s="3"/>
      <c r="J105" s="3"/>
      <c r="K105" s="3"/>
      <c r="L105" s="3"/>
    </row>
    <row r="106" spans="1:12">
      <c r="A106" s="3"/>
      <c r="B106" s="3"/>
      <c r="C106" s="3"/>
      <c r="D106" s="3"/>
      <c r="E106" s="3"/>
      <c r="F106" s="3"/>
      <c r="G106" s="3"/>
      <c r="H106" s="3"/>
      <c r="I106" s="3"/>
      <c r="J106" s="3"/>
      <c r="K106" s="3"/>
      <c r="L106" s="3"/>
    </row>
    <row r="107" spans="1:12">
      <c r="B107" s="34"/>
      <c r="C107" s="34" t="s">
        <v>2405</v>
      </c>
      <c r="E107" s="3"/>
      <c r="F107" s="3"/>
      <c r="G107" s="3"/>
      <c r="H107" s="3"/>
      <c r="I107" s="3"/>
      <c r="J107" s="3"/>
      <c r="K107" s="3"/>
      <c r="L107" s="3"/>
    </row>
    <row r="108" spans="1:12">
      <c r="A108" s="35" t="s">
        <v>58</v>
      </c>
      <c r="B108" s="35" t="s">
        <v>528</v>
      </c>
      <c r="C108" s="35" t="s">
        <v>528</v>
      </c>
      <c r="E108" s="3"/>
      <c r="F108" s="3"/>
      <c r="G108" s="3"/>
      <c r="H108" s="3"/>
      <c r="I108" s="3"/>
      <c r="J108" s="3"/>
      <c r="K108" s="3"/>
      <c r="L108" s="3"/>
    </row>
    <row r="109" spans="1:12">
      <c r="A109" s="34">
        <f t="shared" ref="A109:A112" si="9">B94</f>
        <v>2019</v>
      </c>
      <c r="B109" s="83">
        <f t="shared" ref="B109:B112" si="10">D94</f>
        <v>1070</v>
      </c>
      <c r="C109" s="83">
        <f t="shared" ref="C109:C111" si="11">C110+B109</f>
        <v>5447</v>
      </c>
      <c r="E109" s="3"/>
      <c r="F109" s="3"/>
      <c r="G109" s="3"/>
      <c r="H109" s="3"/>
      <c r="I109" s="3"/>
      <c r="J109" s="3"/>
      <c r="K109" s="3"/>
      <c r="L109" s="3"/>
    </row>
    <row r="110" spans="1:12">
      <c r="A110" s="34">
        <f t="shared" si="9"/>
        <v>2020</v>
      </c>
      <c r="B110" s="83">
        <f t="shared" si="10"/>
        <v>1075</v>
      </c>
      <c r="C110" s="83">
        <f t="shared" si="11"/>
        <v>4377</v>
      </c>
      <c r="E110" s="3"/>
      <c r="F110" s="3"/>
      <c r="G110" s="3"/>
      <c r="H110" s="3"/>
      <c r="I110" s="3"/>
      <c r="J110" s="3"/>
      <c r="K110" s="3"/>
      <c r="L110" s="3"/>
    </row>
    <row r="111" spans="1:12">
      <c r="A111" s="34">
        <f t="shared" si="9"/>
        <v>2021</v>
      </c>
      <c r="B111" s="83">
        <f t="shared" si="10"/>
        <v>1074</v>
      </c>
      <c r="C111" s="83">
        <f t="shared" si="11"/>
        <v>3302</v>
      </c>
      <c r="E111" s="3"/>
      <c r="F111" s="3"/>
      <c r="G111" s="3"/>
      <c r="H111" s="3"/>
      <c r="I111" s="3"/>
      <c r="J111" s="3"/>
      <c r="K111" s="3"/>
      <c r="L111" s="3"/>
    </row>
    <row r="112" spans="1:12">
      <c r="A112" s="34">
        <f t="shared" si="9"/>
        <v>2022</v>
      </c>
      <c r="B112" s="83">
        <f t="shared" si="10"/>
        <v>1141</v>
      </c>
      <c r="C112" s="83">
        <f>C113+B112</f>
        <v>2228</v>
      </c>
      <c r="E112" s="3"/>
      <c r="F112" s="3"/>
      <c r="G112" s="3"/>
      <c r="H112" s="3"/>
      <c r="I112" s="3"/>
      <c r="J112" s="3"/>
      <c r="K112" s="3"/>
      <c r="L112" s="3"/>
    </row>
    <row r="113" spans="1:12">
      <c r="A113" s="34">
        <f>B98</f>
        <v>2023</v>
      </c>
      <c r="B113" s="83">
        <f>D98</f>
        <v>1087</v>
      </c>
      <c r="C113" s="83">
        <f>B113</f>
        <v>1087</v>
      </c>
      <c r="E113" s="3"/>
      <c r="F113" s="3"/>
      <c r="G113" s="3"/>
      <c r="H113" s="3"/>
      <c r="I113" s="3"/>
      <c r="J113" s="3"/>
      <c r="K113" s="3"/>
      <c r="L113" s="3"/>
    </row>
    <row r="114" spans="1:12">
      <c r="A114" s="34"/>
      <c r="B114" s="83"/>
      <c r="C114" s="83"/>
      <c r="E114" s="3"/>
      <c r="F114" s="3"/>
      <c r="G114" s="3"/>
      <c r="H114" s="3"/>
      <c r="I114" s="3"/>
      <c r="J114" s="3"/>
      <c r="K114" s="3"/>
      <c r="L114" s="3"/>
    </row>
    <row r="115" spans="1:12">
      <c r="A115" s="2" t="s">
        <v>2406</v>
      </c>
      <c r="E115" s="3"/>
      <c r="F115" s="3"/>
      <c r="G115" s="3"/>
      <c r="H115" s="3"/>
      <c r="I115" s="3"/>
      <c r="J115" s="3"/>
      <c r="K115" s="3"/>
      <c r="L115" s="3"/>
    </row>
    <row r="116" spans="1:12">
      <c r="A116" s="2" t="s">
        <v>2407</v>
      </c>
      <c r="E116" s="3"/>
      <c r="F116" s="3"/>
      <c r="G116" s="3"/>
      <c r="H116" s="3"/>
      <c r="I116" s="3"/>
      <c r="J116" s="3"/>
      <c r="K116" s="3"/>
      <c r="L116" s="3"/>
    </row>
    <row r="118" spans="1:12">
      <c r="A118" s="17" t="s">
        <v>545</v>
      </c>
      <c r="B118" s="831" t="s">
        <v>2408</v>
      </c>
      <c r="C118" s="831"/>
      <c r="D118" s="831"/>
      <c r="E118" s="831"/>
      <c r="F118" s="831"/>
      <c r="G118" s="831"/>
      <c r="H118" s="831"/>
      <c r="I118" s="831"/>
      <c r="J118" s="831"/>
      <c r="K118" s="831"/>
      <c r="L118" s="831"/>
    </row>
    <row r="119" spans="1:12">
      <c r="A119" s="14"/>
      <c r="B119" s="831"/>
      <c r="C119" s="831"/>
      <c r="D119" s="831"/>
      <c r="E119" s="831"/>
      <c r="F119" s="831"/>
      <c r="G119" s="831"/>
      <c r="H119" s="831"/>
      <c r="I119" s="831"/>
      <c r="J119" s="831"/>
      <c r="K119" s="831"/>
      <c r="L119" s="831"/>
    </row>
    <row r="120" spans="1:12">
      <c r="A120" s="3"/>
      <c r="B120" s="3"/>
      <c r="C120" s="3"/>
      <c r="D120" s="3"/>
      <c r="E120" s="3"/>
      <c r="F120" s="3"/>
      <c r="G120" s="3"/>
      <c r="H120" s="3"/>
      <c r="I120" s="3"/>
      <c r="J120" s="3"/>
      <c r="K120" s="3"/>
      <c r="L120" s="3"/>
    </row>
    <row r="121" spans="1:12">
      <c r="A121" s="3" t="s">
        <v>20</v>
      </c>
      <c r="B121" s="3"/>
      <c r="C121" s="3"/>
      <c r="D121" s="3"/>
      <c r="E121" s="3"/>
      <c r="F121" s="3"/>
      <c r="G121" s="3"/>
      <c r="H121" s="3"/>
      <c r="I121" s="3"/>
      <c r="J121" s="3"/>
      <c r="K121" s="3"/>
      <c r="L121" s="3"/>
    </row>
    <row r="122" spans="1:12">
      <c r="A122" s="3"/>
      <c r="B122" s="3"/>
      <c r="C122" s="3"/>
      <c r="D122" s="3"/>
      <c r="E122" s="3"/>
      <c r="F122" s="3"/>
      <c r="G122" s="3"/>
      <c r="H122" s="3"/>
      <c r="I122" s="3"/>
      <c r="J122" s="3"/>
      <c r="K122" s="3"/>
      <c r="L122" s="3"/>
    </row>
    <row r="123" spans="1:12">
      <c r="A123" s="414" t="s">
        <v>978</v>
      </c>
      <c r="B123" s="3"/>
      <c r="C123" s="3"/>
      <c r="D123" s="3"/>
      <c r="E123" s="3"/>
      <c r="F123" s="3"/>
      <c r="G123" s="3"/>
      <c r="H123" s="3"/>
      <c r="I123" s="3"/>
      <c r="J123" s="3"/>
      <c r="K123" s="3"/>
      <c r="L123" s="3"/>
    </row>
    <row r="124" spans="1:12">
      <c r="A124" s="415" t="s">
        <v>2409</v>
      </c>
      <c r="B124" s="3"/>
      <c r="C124" s="3"/>
      <c r="D124" s="3"/>
      <c r="E124" s="3"/>
      <c r="F124" s="3"/>
      <c r="G124" s="3"/>
      <c r="H124" s="3"/>
      <c r="I124" s="3"/>
      <c r="J124" s="3"/>
      <c r="K124" s="3"/>
      <c r="L124" s="3"/>
    </row>
    <row r="125" spans="1:12">
      <c r="A125" s="3"/>
      <c r="B125" s="3"/>
      <c r="C125" s="3"/>
      <c r="D125" s="3"/>
      <c r="E125" s="3"/>
      <c r="F125" s="3"/>
      <c r="G125" s="3"/>
      <c r="H125" s="3"/>
      <c r="I125" s="3"/>
      <c r="J125" s="3"/>
      <c r="K125" s="3"/>
      <c r="L125" s="3"/>
    </row>
    <row r="126" spans="1:12">
      <c r="C126" s="816" t="s">
        <v>2410</v>
      </c>
      <c r="D126" s="816"/>
      <c r="E126" s="816"/>
      <c r="F126" s="3"/>
      <c r="G126" s="3"/>
      <c r="H126" s="3"/>
      <c r="I126" s="3"/>
      <c r="J126" s="3"/>
      <c r="K126" s="3"/>
      <c r="L126" s="3"/>
    </row>
    <row r="127" spans="1:12" ht="31.2">
      <c r="A127" s="35" t="s">
        <v>58</v>
      </c>
      <c r="B127" s="36" t="s">
        <v>4</v>
      </c>
      <c r="C127" s="35" t="s">
        <v>638</v>
      </c>
      <c r="D127" s="35" t="s">
        <v>2411</v>
      </c>
      <c r="E127" s="35" t="s">
        <v>2412</v>
      </c>
      <c r="F127" s="3"/>
      <c r="G127" s="3"/>
      <c r="H127" s="3"/>
      <c r="I127" s="3"/>
      <c r="J127" s="3"/>
      <c r="K127" s="3"/>
      <c r="L127" s="3"/>
    </row>
    <row r="128" spans="1:12">
      <c r="A128" s="34">
        <f>A110</f>
        <v>2020</v>
      </c>
      <c r="B128" s="83">
        <f>C95</f>
        <v>19937</v>
      </c>
      <c r="C128" s="638">
        <f>B128/$B$132</f>
        <v>0.2734054661894379</v>
      </c>
      <c r="D128" s="299">
        <f t="shared" ref="D128:D129" si="12">MIN(D129,C128)</f>
        <v>0.23396552433455384</v>
      </c>
      <c r="E128" s="299">
        <f>D128/$D$132</f>
        <v>0.24378429355281209</v>
      </c>
      <c r="F128" s="3"/>
      <c r="G128" s="3"/>
      <c r="H128" s="3"/>
      <c r="I128" s="3"/>
      <c r="J128" s="3"/>
      <c r="K128" s="3"/>
      <c r="L128" s="3"/>
    </row>
    <row r="129" spans="1:12">
      <c r="A129" s="34">
        <f>A111</f>
        <v>2021</v>
      </c>
      <c r="B129" s="83">
        <f>C96</f>
        <v>17061</v>
      </c>
      <c r="C129" s="638">
        <f t="shared" ref="C129:C131" si="13">B129/$B$132</f>
        <v>0.23396552433455384</v>
      </c>
      <c r="D129" s="299">
        <f t="shared" si="12"/>
        <v>0.23396552433455384</v>
      </c>
      <c r="E129" s="299">
        <f t="shared" ref="E129:E131" si="14">D129/$D$132</f>
        <v>0.24378429355281209</v>
      </c>
      <c r="F129" s="3"/>
      <c r="G129" s="3"/>
      <c r="H129" s="3"/>
      <c r="I129" s="3"/>
      <c r="J129" s="3"/>
      <c r="K129" s="3"/>
      <c r="L129" s="3"/>
    </row>
    <row r="130" spans="1:12">
      <c r="A130" s="34">
        <f>A112</f>
        <v>2022</v>
      </c>
      <c r="B130" s="83">
        <f>C97</f>
        <v>17992</v>
      </c>
      <c r="C130" s="638">
        <f t="shared" si="13"/>
        <v>0.24673276559564461</v>
      </c>
      <c r="D130" s="299">
        <f>MIN(D131,C130)</f>
        <v>0.24589624388036369</v>
      </c>
      <c r="E130" s="299">
        <f t="shared" si="14"/>
        <v>0.25621570644718794</v>
      </c>
      <c r="F130" s="3"/>
      <c r="G130" s="3"/>
      <c r="H130" s="3"/>
      <c r="I130" s="3"/>
      <c r="J130" s="3"/>
      <c r="K130" s="3"/>
      <c r="L130" s="3"/>
    </row>
    <row r="131" spans="1:12">
      <c r="A131" s="35">
        <f>A113</f>
        <v>2023</v>
      </c>
      <c r="B131" s="86">
        <f>C98</f>
        <v>17931</v>
      </c>
      <c r="C131" s="298">
        <f t="shared" si="13"/>
        <v>0.24589624388036369</v>
      </c>
      <c r="D131" s="704">
        <f>C131</f>
        <v>0.24589624388036369</v>
      </c>
      <c r="E131" s="704">
        <f t="shared" si="14"/>
        <v>0.25621570644718794</v>
      </c>
      <c r="F131" s="3"/>
      <c r="G131" s="3"/>
      <c r="H131" s="3"/>
      <c r="I131" s="3"/>
      <c r="J131" s="3"/>
      <c r="K131" s="3"/>
      <c r="L131" s="3"/>
    </row>
    <row r="132" spans="1:12">
      <c r="B132" s="83">
        <f>SUM(B128:B131)</f>
        <v>72921</v>
      </c>
      <c r="D132" s="299">
        <f>SUM(D128:D131)</f>
        <v>0.95972353642983499</v>
      </c>
      <c r="F132" s="3"/>
      <c r="G132" s="3"/>
      <c r="H132" s="3"/>
      <c r="I132" s="3"/>
      <c r="J132" s="3"/>
      <c r="K132" s="3"/>
      <c r="L132" s="3"/>
    </row>
    <row r="134" spans="1:12">
      <c r="A134" s="260" t="s">
        <v>12</v>
      </c>
      <c r="B134" s="1"/>
      <c r="C134" s="1"/>
      <c r="D134" s="1"/>
      <c r="E134" s="1"/>
      <c r="F134" s="1"/>
      <c r="G134" s="1"/>
      <c r="H134" s="1"/>
      <c r="I134" s="1"/>
      <c r="J134" s="1"/>
      <c r="K134" s="1"/>
      <c r="L134" s="1"/>
    </row>
    <row r="135" spans="1:12">
      <c r="A135" s="1"/>
      <c r="B135" s="1"/>
      <c r="C135" s="1"/>
      <c r="D135" s="1"/>
      <c r="E135" s="1"/>
      <c r="F135" s="1"/>
      <c r="G135" s="1"/>
      <c r="H135" s="1"/>
      <c r="I135" s="1"/>
      <c r="J135" s="1"/>
      <c r="K135" s="1"/>
      <c r="L135" s="1"/>
    </row>
    <row r="136" spans="1:12">
      <c r="A136" s="1"/>
      <c r="B136" s="519" t="s">
        <v>2413</v>
      </c>
      <c r="C136" s="1"/>
      <c r="D136" s="1"/>
      <c r="E136" s="1"/>
      <c r="F136" s="1"/>
      <c r="G136" s="1"/>
      <c r="H136" s="1"/>
      <c r="I136" s="1"/>
      <c r="J136" s="1"/>
      <c r="K136" s="1"/>
      <c r="L136" s="1"/>
    </row>
    <row r="137" spans="1:12">
      <c r="A137" s="1"/>
      <c r="B137" s="1"/>
      <c r="C137" s="705" t="s">
        <v>2414</v>
      </c>
      <c r="D137" s="1"/>
      <c r="E137" s="377">
        <v>0.03</v>
      </c>
      <c r="F137" s="1" t="s">
        <v>2415</v>
      </c>
      <c r="G137" s="1"/>
      <c r="H137" s="1"/>
      <c r="I137" s="1"/>
      <c r="J137" s="1"/>
      <c r="K137" s="1"/>
      <c r="L137" s="1"/>
    </row>
    <row r="138" spans="1:12">
      <c r="A138" s="1"/>
      <c r="B138" s="1"/>
      <c r="C138" s="705" t="s">
        <v>2414</v>
      </c>
      <c r="D138" s="1"/>
      <c r="E138" s="377">
        <v>0.04</v>
      </c>
      <c r="F138" s="1" t="s">
        <v>2416</v>
      </c>
      <c r="G138" s="1"/>
      <c r="H138" s="1"/>
      <c r="I138" s="1"/>
      <c r="J138" s="1"/>
      <c r="K138" s="1"/>
      <c r="L138" s="1"/>
    </row>
    <row r="139" spans="1:12">
      <c r="A139" s="1"/>
      <c r="B139" s="519" t="s">
        <v>2417</v>
      </c>
      <c r="C139" s="1"/>
      <c r="D139" s="1"/>
      <c r="E139" s="1"/>
      <c r="F139" s="1"/>
      <c r="G139" s="1"/>
      <c r="H139" s="1"/>
      <c r="I139" s="1"/>
      <c r="J139" s="1"/>
      <c r="K139" s="1"/>
      <c r="L139" s="1"/>
    </row>
    <row r="140" spans="1:12">
      <c r="A140" s="1"/>
      <c r="B140" s="519" t="s">
        <v>1324</v>
      </c>
      <c r="C140" s="1"/>
      <c r="D140" s="1"/>
      <c r="E140" s="377">
        <v>0</v>
      </c>
      <c r="F140" s="1"/>
      <c r="G140" s="1"/>
      <c r="H140" s="1"/>
      <c r="I140" s="1"/>
      <c r="J140" s="1"/>
      <c r="K140" s="1"/>
      <c r="L140" s="1"/>
    </row>
    <row r="141" spans="1:12">
      <c r="A141" s="1"/>
      <c r="B141" s="519" t="s">
        <v>2418</v>
      </c>
      <c r="C141" s="1"/>
      <c r="D141" s="1"/>
      <c r="E141" s="377">
        <v>0.05</v>
      </c>
      <c r="F141" s="1"/>
      <c r="G141" s="1"/>
      <c r="H141" s="1"/>
      <c r="I141" s="1"/>
      <c r="J141" s="1"/>
      <c r="K141" s="1"/>
      <c r="L141" s="1"/>
    </row>
    <row r="142" spans="1:12">
      <c r="A142" s="1"/>
      <c r="B142" s="519" t="s">
        <v>2419</v>
      </c>
      <c r="C142" s="1"/>
      <c r="D142" s="1"/>
      <c r="E142" s="1"/>
      <c r="F142" s="1"/>
      <c r="G142" s="377">
        <v>0.03</v>
      </c>
      <c r="H142" s="1"/>
      <c r="I142" s="1"/>
      <c r="J142" s="1"/>
      <c r="K142" s="1"/>
      <c r="L142" s="1"/>
    </row>
    <row r="143" spans="1:12">
      <c r="A143" s="1"/>
      <c r="B143" s="519" t="s">
        <v>2420</v>
      </c>
      <c r="C143" s="1"/>
      <c r="D143" s="1"/>
      <c r="E143" s="1"/>
      <c r="F143" s="1"/>
      <c r="G143" s="377">
        <v>0.12</v>
      </c>
      <c r="H143" s="1"/>
      <c r="I143" s="1"/>
      <c r="J143" s="1"/>
      <c r="K143" s="1"/>
      <c r="L143" s="1"/>
    </row>
    <row r="144" spans="1:12">
      <c r="A144" s="1"/>
      <c r="B144" s="519" t="s">
        <v>1774</v>
      </c>
      <c r="C144" s="1"/>
      <c r="D144" s="1"/>
      <c r="E144" s="1"/>
      <c r="F144" s="1"/>
      <c r="G144" s="377">
        <v>0.04</v>
      </c>
      <c r="H144" s="1"/>
      <c r="I144" s="1"/>
      <c r="J144" s="1"/>
      <c r="K144" s="1"/>
      <c r="L144" s="1"/>
    </row>
    <row r="146" spans="1:32">
      <c r="A146" s="17" t="s">
        <v>798</v>
      </c>
      <c r="B146" s="1" t="s">
        <v>2421</v>
      </c>
      <c r="C146" s="1"/>
      <c r="D146" s="1"/>
      <c r="E146" s="1"/>
      <c r="F146" s="1"/>
      <c r="G146" s="1"/>
      <c r="H146" s="1"/>
      <c r="I146" s="1"/>
      <c r="J146" s="1"/>
      <c r="K146" s="1"/>
      <c r="L146" s="1"/>
    </row>
    <row r="147" spans="1:32" ht="16.2">
      <c r="A147" s="3"/>
      <c r="B147" s="3"/>
      <c r="C147" s="3"/>
      <c r="D147" s="3"/>
      <c r="E147" s="3"/>
      <c r="F147" s="3"/>
      <c r="G147" s="3"/>
      <c r="H147" s="3"/>
      <c r="I147" s="3"/>
      <c r="J147" s="3"/>
      <c r="K147" s="3"/>
      <c r="L147" s="3"/>
      <c r="M147" s="114" t="s">
        <v>189</v>
      </c>
    </row>
    <row r="148" spans="1:32">
      <c r="A148" s="3" t="s">
        <v>20</v>
      </c>
      <c r="B148" s="3"/>
      <c r="C148" s="3"/>
      <c r="D148" s="3"/>
      <c r="E148" s="3"/>
      <c r="F148" s="3"/>
      <c r="G148" s="3"/>
      <c r="H148" s="3"/>
      <c r="I148" s="3"/>
      <c r="J148" s="3"/>
      <c r="K148" s="3"/>
      <c r="L148" s="3"/>
      <c r="M148" s="923">
        <v>2019</v>
      </c>
      <c r="N148" s="923"/>
      <c r="O148" s="923"/>
      <c r="P148" s="923"/>
      <c r="Q148" s="923">
        <f>M148+1</f>
        <v>2020</v>
      </c>
      <c r="R148" s="923"/>
      <c r="S148" s="923"/>
      <c r="T148" s="923"/>
      <c r="U148" s="923">
        <f>Q148+1</f>
        <v>2021</v>
      </c>
      <c r="V148" s="923"/>
      <c r="W148" s="923"/>
      <c r="X148" s="923"/>
      <c r="Y148" s="923">
        <f>U148+1</f>
        <v>2022</v>
      </c>
      <c r="Z148" s="923"/>
      <c r="AA148" s="923"/>
      <c r="AB148" s="923"/>
      <c r="AC148" s="923">
        <f>Y148+1</f>
        <v>2023</v>
      </c>
      <c r="AD148" s="923"/>
      <c r="AE148" s="923"/>
      <c r="AF148" s="923"/>
    </row>
    <row r="149" spans="1:32" ht="30" customHeight="1">
      <c r="A149" s="3"/>
      <c r="B149" s="3"/>
      <c r="C149" s="3"/>
      <c r="D149" s="3"/>
      <c r="E149" s="3"/>
      <c r="F149" s="3"/>
      <c r="G149" s="3"/>
      <c r="H149" s="3"/>
      <c r="I149" s="3"/>
      <c r="J149" s="3"/>
      <c r="K149" s="3"/>
      <c r="L149" s="3"/>
      <c r="M149" s="535"/>
      <c r="N149" s="536"/>
      <c r="O149" s="536"/>
      <c r="P149" s="537"/>
      <c r="Q149" s="535"/>
      <c r="R149" s="536"/>
      <c r="S149" s="536"/>
      <c r="T149" s="537"/>
      <c r="U149" s="535"/>
      <c r="V149" s="536"/>
      <c r="W149" s="536"/>
      <c r="X149" s="537"/>
      <c r="Y149" s="535"/>
      <c r="Z149" s="536"/>
      <c r="AA149" s="536"/>
      <c r="AB149" s="537"/>
      <c r="AC149" s="535"/>
      <c r="AD149" s="536"/>
      <c r="AE149" s="536"/>
      <c r="AF149" s="537"/>
    </row>
    <row r="150" spans="1:32" ht="30" customHeight="1">
      <c r="A150" s="3"/>
      <c r="B150" s="3"/>
      <c r="C150" s="3"/>
      <c r="D150" s="3"/>
      <c r="E150" s="3"/>
      <c r="F150" s="3"/>
      <c r="G150" s="3"/>
      <c r="H150" s="3"/>
      <c r="I150" s="3"/>
      <c r="J150" s="3"/>
      <c r="K150" s="3"/>
      <c r="L150" s="3"/>
      <c r="M150" s="538"/>
      <c r="N150" s="950">
        <v>1</v>
      </c>
      <c r="O150" s="950"/>
      <c r="P150" s="539"/>
      <c r="Q150" s="538"/>
      <c r="R150" s="9"/>
      <c r="S150" s="9"/>
      <c r="T150" s="539"/>
      <c r="U150" s="538"/>
      <c r="V150" s="950">
        <f>(1+E137)</f>
        <v>1.03</v>
      </c>
      <c r="W150" s="950"/>
      <c r="X150" s="539"/>
      <c r="Y150" s="538"/>
      <c r="Z150" s="9"/>
      <c r="AA150" s="9"/>
      <c r="AB150" s="539"/>
      <c r="AC150" s="538"/>
      <c r="AD150" s="950">
        <f>V150*(1+E138)</f>
        <v>1.0712000000000002</v>
      </c>
      <c r="AE150" s="950"/>
      <c r="AF150" s="539"/>
    </row>
    <row r="151" spans="1:32" ht="30" customHeight="1">
      <c r="M151" s="538"/>
      <c r="N151" s="9"/>
      <c r="O151" s="9"/>
      <c r="P151" s="539"/>
      <c r="Q151" s="538"/>
      <c r="R151" s="9"/>
      <c r="S151" s="9"/>
      <c r="T151" s="539"/>
      <c r="U151" s="538"/>
      <c r="V151" s="9"/>
      <c r="W151" s="9"/>
      <c r="X151" s="539"/>
      <c r="Y151" s="538"/>
      <c r="Z151" s="9"/>
      <c r="AA151" s="9"/>
      <c r="AB151" s="539"/>
      <c r="AC151" s="538"/>
      <c r="AD151" s="9"/>
      <c r="AE151" s="9"/>
      <c r="AF151" s="539"/>
    </row>
    <row r="152" spans="1:32" ht="30" customHeight="1">
      <c r="M152" s="540"/>
      <c r="N152" s="541"/>
      <c r="O152" s="541"/>
      <c r="P152" s="542"/>
      <c r="Q152" s="540"/>
      <c r="R152" s="541"/>
      <c r="S152" s="541"/>
      <c r="T152" s="542"/>
      <c r="U152" s="540"/>
      <c r="V152" s="541"/>
      <c r="W152" s="541"/>
      <c r="X152" s="542"/>
      <c r="Y152" s="540"/>
      <c r="Z152" s="541"/>
      <c r="AA152" s="541"/>
      <c r="AB152" s="542"/>
      <c r="AC152" s="540"/>
      <c r="AD152" s="541"/>
      <c r="AE152" s="541"/>
      <c r="AF152" s="542"/>
    </row>
    <row r="153" spans="1:32">
      <c r="S153" s="669">
        <v>0.03</v>
      </c>
      <c r="AA153" s="669">
        <v>0.04</v>
      </c>
    </row>
    <row r="154" spans="1:32">
      <c r="B154" s="3"/>
      <c r="C154" s="824" t="s">
        <v>2422</v>
      </c>
      <c r="D154" s="824"/>
      <c r="E154" s="824"/>
      <c r="F154" s="824"/>
      <c r="G154" s="824"/>
      <c r="H154" s="3"/>
      <c r="I154" s="3"/>
      <c r="J154" s="3"/>
      <c r="K154" s="3"/>
      <c r="L154" s="3"/>
      <c r="M154" s="3"/>
      <c r="N154" s="3"/>
    </row>
    <row r="155" spans="1:32">
      <c r="A155" s="18"/>
      <c r="B155" s="107" t="s">
        <v>2423</v>
      </c>
      <c r="C155" s="107">
        <f>A165</f>
        <v>2019</v>
      </c>
      <c r="D155" s="107">
        <f>C155+1</f>
        <v>2020</v>
      </c>
      <c r="E155" s="107">
        <f t="shared" ref="E155:G155" si="15">D155+1</f>
        <v>2021</v>
      </c>
      <c r="F155" s="107">
        <f t="shared" si="15"/>
        <v>2022</v>
      </c>
      <c r="G155" s="107">
        <f t="shared" si="15"/>
        <v>2023</v>
      </c>
      <c r="H155" s="3"/>
      <c r="I155" s="3"/>
      <c r="J155" s="3"/>
      <c r="K155" s="3"/>
      <c r="L155" s="3"/>
      <c r="M155" s="3"/>
      <c r="N155" s="3"/>
    </row>
    <row r="156" spans="1:32">
      <c r="A156" s="18"/>
      <c r="B156" s="105">
        <v>1</v>
      </c>
      <c r="C156" s="181">
        <v>1</v>
      </c>
      <c r="D156" s="181">
        <f>1-D157</f>
        <v>0.75</v>
      </c>
      <c r="E156" s="181">
        <v>0</v>
      </c>
      <c r="F156" s="181">
        <v>0</v>
      </c>
      <c r="G156" s="181">
        <v>0</v>
      </c>
      <c r="H156" s="3"/>
      <c r="I156" s="3"/>
      <c r="J156" s="3"/>
      <c r="K156" s="3"/>
      <c r="L156" s="3"/>
      <c r="M156" s="3"/>
      <c r="N156" s="3"/>
    </row>
    <row r="157" spans="1:32">
      <c r="A157" s="18"/>
      <c r="B157" s="105">
        <f>B156*(1+E137)</f>
        <v>1.03</v>
      </c>
      <c r="C157" s="181">
        <v>0</v>
      </c>
      <c r="D157" s="181">
        <f>0.5*0.5</f>
        <v>0.25</v>
      </c>
      <c r="E157" s="181">
        <f>1-E156</f>
        <v>1</v>
      </c>
      <c r="F157" s="181">
        <f>D156</f>
        <v>0.75</v>
      </c>
      <c r="G157" s="181">
        <v>0</v>
      </c>
      <c r="H157" s="3"/>
      <c r="I157" s="3"/>
      <c r="J157" s="3"/>
      <c r="K157" s="3"/>
      <c r="L157" s="3"/>
      <c r="M157" s="3"/>
      <c r="N157" s="3"/>
    </row>
    <row r="158" spans="1:32">
      <c r="A158" s="18"/>
      <c r="B158" s="109">
        <f>B157*(1+E138)</f>
        <v>1.0712000000000002</v>
      </c>
      <c r="C158" s="183">
        <f>1-SUM(C156:C157)</f>
        <v>0</v>
      </c>
      <c r="D158" s="183">
        <f>1-SUM(D156:D157)</f>
        <v>0</v>
      </c>
      <c r="E158" s="183">
        <f>1-SUM(E156:E157)</f>
        <v>0</v>
      </c>
      <c r="F158" s="183">
        <f>1-SUM(F156:F157)</f>
        <v>0.25</v>
      </c>
      <c r="G158" s="183">
        <f>1-SUM(G156:G157)</f>
        <v>1</v>
      </c>
      <c r="H158" s="3"/>
      <c r="I158" s="3"/>
      <c r="J158" s="3"/>
      <c r="K158" s="3"/>
      <c r="L158" s="3"/>
      <c r="M158" s="3"/>
      <c r="N158" s="3"/>
    </row>
    <row r="159" spans="1:32">
      <c r="B159" s="2" t="s">
        <v>1681</v>
      </c>
      <c r="C159" s="105">
        <f>SUMPRODUCT($B$156:$B$158,C156:C158)</f>
        <v>1</v>
      </c>
      <c r="D159" s="105">
        <f>SUMPRODUCT($B$156:$B$158,D156:D158)</f>
        <v>1.0075000000000001</v>
      </c>
      <c r="E159" s="105">
        <f>SUMPRODUCT($B$156:$B$158,E156:E158)</f>
        <v>1.03</v>
      </c>
      <c r="F159" s="105">
        <f>SUMPRODUCT($B$156:$B$158,F156:F158)</f>
        <v>1.0403</v>
      </c>
      <c r="G159" s="105">
        <f>SUMPRODUCT($B$156:$B$158,G156:G158)</f>
        <v>1.0712000000000002</v>
      </c>
      <c r="H159" s="3"/>
      <c r="I159" s="3"/>
      <c r="J159" s="3"/>
      <c r="K159" s="3"/>
      <c r="L159" s="3"/>
      <c r="M159" s="3"/>
      <c r="N159" s="3"/>
    </row>
    <row r="160" spans="1:32">
      <c r="B160" s="2" t="s">
        <v>1302</v>
      </c>
      <c r="C160" s="105">
        <f>$B$158/C159</f>
        <v>1.0712000000000002</v>
      </c>
      <c r="D160" s="105">
        <f>$B$158/D159</f>
        <v>1.0632258064516129</v>
      </c>
      <c r="E160" s="105">
        <f>$B$158/E159</f>
        <v>1.04</v>
      </c>
      <c r="F160" s="105">
        <f>$B$158/F159</f>
        <v>1.02970297029703</v>
      </c>
      <c r="G160" s="105">
        <f>$B$158/G159</f>
        <v>1</v>
      </c>
      <c r="H160" s="3"/>
      <c r="I160" s="3"/>
      <c r="J160" s="3"/>
      <c r="K160" s="3"/>
      <c r="L160" s="3"/>
      <c r="M160" s="3"/>
      <c r="N160" s="3"/>
    </row>
    <row r="161" spans="1:14">
      <c r="B161" s="3"/>
      <c r="C161" s="3"/>
      <c r="D161" s="3"/>
      <c r="E161" s="3"/>
      <c r="F161" s="3"/>
      <c r="G161" s="3"/>
      <c r="H161" s="3"/>
      <c r="I161" s="3"/>
      <c r="J161" s="3"/>
      <c r="K161" s="3"/>
      <c r="L161" s="3"/>
      <c r="M161" s="3"/>
      <c r="N161" s="3"/>
    </row>
    <row r="162" spans="1:14">
      <c r="A162" s="2" t="s">
        <v>2424</v>
      </c>
      <c r="B162" s="143"/>
      <c r="C162" s="477">
        <f>(1+F7)*(1+F8)-1</f>
        <v>3.9500000000000091E-2</v>
      </c>
      <c r="D162" s="143"/>
      <c r="F162" s="3"/>
      <c r="G162" s="3"/>
      <c r="H162" s="3"/>
      <c r="I162" s="3"/>
      <c r="J162" s="3"/>
      <c r="K162" s="3"/>
      <c r="L162" s="3"/>
      <c r="M162" s="3"/>
      <c r="N162" s="3"/>
    </row>
    <row r="163" spans="1:14">
      <c r="B163" s="94" t="s">
        <v>267</v>
      </c>
      <c r="C163" s="94" t="s">
        <v>272</v>
      </c>
      <c r="D163" s="94" t="s">
        <v>272</v>
      </c>
      <c r="E163" s="94" t="s">
        <v>276</v>
      </c>
      <c r="F163" s="94" t="s">
        <v>2425</v>
      </c>
      <c r="G163" s="94" t="s">
        <v>2425</v>
      </c>
      <c r="H163" s="94" t="s">
        <v>262</v>
      </c>
      <c r="I163" s="3"/>
      <c r="J163" s="3"/>
      <c r="K163" s="3"/>
      <c r="L163" s="3"/>
      <c r="M163" s="3"/>
      <c r="N163" s="3"/>
    </row>
    <row r="164" spans="1:14">
      <c r="A164" s="35" t="s">
        <v>58</v>
      </c>
      <c r="B164" s="107" t="s">
        <v>271</v>
      </c>
      <c r="C164" s="107" t="s">
        <v>2426</v>
      </c>
      <c r="D164" s="107" t="s">
        <v>47</v>
      </c>
      <c r="E164" s="107" t="s">
        <v>124</v>
      </c>
      <c r="F164" s="107" t="s">
        <v>2427</v>
      </c>
      <c r="G164" s="107" t="s">
        <v>2428</v>
      </c>
      <c r="H164" s="107" t="s">
        <v>322</v>
      </c>
      <c r="I164" s="107" t="s">
        <v>839</v>
      </c>
      <c r="J164" s="107" t="s">
        <v>283</v>
      </c>
      <c r="K164" s="3"/>
      <c r="L164" s="3"/>
      <c r="M164" s="3"/>
      <c r="N164" s="3"/>
    </row>
    <row r="165" spans="1:14">
      <c r="A165" s="34">
        <f>B94</f>
        <v>2019</v>
      </c>
      <c r="B165" s="106">
        <f>E94</f>
        <v>13510549</v>
      </c>
      <c r="C165" s="126">
        <f>C160</f>
        <v>1.0712000000000002</v>
      </c>
      <c r="D165" s="106">
        <f>B165*C165</f>
        <v>14472500.088800002</v>
      </c>
      <c r="E165" s="106">
        <f>F94</f>
        <v>8709600</v>
      </c>
      <c r="F165" s="105">
        <f>D40/12</f>
        <v>5.916666666666667</v>
      </c>
      <c r="G165" s="126">
        <f>(1+$C$162)^F165</f>
        <v>1.2576069271017829</v>
      </c>
      <c r="H165" s="106">
        <f>G165*E165</f>
        <v>10953253.292285688</v>
      </c>
      <c r="I165" s="95">
        <f>H165/D165</f>
        <v>0.75683214545372202</v>
      </c>
      <c r="J165" s="125">
        <v>0</v>
      </c>
      <c r="K165" s="3"/>
      <c r="L165" s="3"/>
      <c r="M165" s="3"/>
      <c r="N165" s="3"/>
    </row>
    <row r="166" spans="1:14">
      <c r="A166" s="34">
        <f>B95</f>
        <v>2020</v>
      </c>
      <c r="B166" s="106">
        <f>E95</f>
        <v>13268660</v>
      </c>
      <c r="C166" s="126">
        <f>D160</f>
        <v>1.0632258064516129</v>
      </c>
      <c r="D166" s="106">
        <f t="shared" ref="D166:D169" si="16">B166*C166</f>
        <v>14107581.729032258</v>
      </c>
      <c r="E166" s="106">
        <f>F95</f>
        <v>8673608</v>
      </c>
      <c r="F166" s="105">
        <f>D41/12</f>
        <v>4.916666666666667</v>
      </c>
      <c r="G166" s="126">
        <f>(1+$C$162)^F166</f>
        <v>1.2098190736909888</v>
      </c>
      <c r="H166" s="106">
        <f t="shared" ref="H166:H169" si="17">G166*E166</f>
        <v>10493496.396118751</v>
      </c>
      <c r="I166" s="95">
        <f t="shared" ref="I166:I169" si="18">H166/D166</f>
        <v>0.7438196423504666</v>
      </c>
      <c r="J166" s="125">
        <f>E128</f>
        <v>0.24378429355281209</v>
      </c>
      <c r="K166" s="3"/>
      <c r="L166" s="3"/>
      <c r="M166" s="3"/>
      <c r="N166" s="3"/>
    </row>
    <row r="167" spans="1:14">
      <c r="A167" s="34">
        <f>B96</f>
        <v>2021</v>
      </c>
      <c r="B167" s="106">
        <f>E96</f>
        <v>11739370</v>
      </c>
      <c r="C167" s="126">
        <f>E160</f>
        <v>1.04</v>
      </c>
      <c r="D167" s="106">
        <f t="shared" si="16"/>
        <v>12208944.800000001</v>
      </c>
      <c r="E167" s="106">
        <f>F96</f>
        <v>7919295</v>
      </c>
      <c r="F167" s="105">
        <f>D42/12</f>
        <v>3.9166666666666665</v>
      </c>
      <c r="G167" s="126">
        <f>(1+$C$162)^F167</f>
        <v>1.1638471127378438</v>
      </c>
      <c r="H167" s="106">
        <f t="shared" si="17"/>
        <v>9216848.620669242</v>
      </c>
      <c r="I167" s="95">
        <f t="shared" si="18"/>
        <v>0.75492589831917678</v>
      </c>
      <c r="J167" s="125">
        <f t="shared" ref="J167:J169" si="19">E129</f>
        <v>0.24378429355281209</v>
      </c>
      <c r="K167" s="3"/>
      <c r="L167" s="3"/>
      <c r="M167" s="3"/>
      <c r="N167" s="3"/>
    </row>
    <row r="168" spans="1:14">
      <c r="A168" s="34">
        <f>B97</f>
        <v>2022</v>
      </c>
      <c r="B168" s="106">
        <f>E97</f>
        <v>12638750</v>
      </c>
      <c r="C168" s="126">
        <f>F160</f>
        <v>1.02970297029703</v>
      </c>
      <c r="D168" s="106">
        <f t="shared" si="16"/>
        <v>13014158.415841587</v>
      </c>
      <c r="E168" s="106">
        <f>F97</f>
        <v>8605528</v>
      </c>
      <c r="F168" s="105">
        <f>D43/12</f>
        <v>2.9166666666666665</v>
      </c>
      <c r="G168" s="126">
        <f>(1+$C$162)^F168</f>
        <v>1.1196220420758478</v>
      </c>
      <c r="H168" s="106">
        <f t="shared" si="17"/>
        <v>9634938.8325008862</v>
      </c>
      <c r="I168" s="95">
        <f t="shared" si="18"/>
        <v>0.74034282699161558</v>
      </c>
      <c r="J168" s="125">
        <f t="shared" si="19"/>
        <v>0.25621570644718794</v>
      </c>
      <c r="K168" s="3"/>
      <c r="L168" s="3"/>
      <c r="M168" s="3"/>
      <c r="N168" s="3"/>
    </row>
    <row r="169" spans="1:14">
      <c r="A169" s="35">
        <f>B98</f>
        <v>2023</v>
      </c>
      <c r="B169" s="110">
        <f>E98</f>
        <v>13089711</v>
      </c>
      <c r="C169" s="129">
        <f>G160</f>
        <v>1</v>
      </c>
      <c r="D169" s="110">
        <f t="shared" si="16"/>
        <v>13089711</v>
      </c>
      <c r="E169" s="110">
        <f>F98</f>
        <v>9489317</v>
      </c>
      <c r="F169" s="109">
        <f>D44/12</f>
        <v>1.9166666666666667</v>
      </c>
      <c r="G169" s="129">
        <f>(1+$C$162)^F169</f>
        <v>1.077077481554447</v>
      </c>
      <c r="H169" s="110">
        <f t="shared" si="17"/>
        <v>10220729.6560318</v>
      </c>
      <c r="I169" s="111">
        <f t="shared" si="18"/>
        <v>0.78082164350548311</v>
      </c>
      <c r="J169" s="128">
        <f t="shared" si="19"/>
        <v>0.25621570644718794</v>
      </c>
      <c r="K169" s="3"/>
      <c r="L169" s="3"/>
      <c r="M169" s="3"/>
      <c r="N169" s="3"/>
    </row>
    <row r="170" spans="1:14">
      <c r="B170" s="3"/>
      <c r="C170" s="3"/>
      <c r="D170" s="3"/>
      <c r="E170" s="3"/>
      <c r="F170" s="126"/>
      <c r="G170" s="3"/>
      <c r="H170" s="106" t="s">
        <v>2429</v>
      </c>
      <c r="I170" s="95">
        <f>SUMPRODUCT(I165:I169,J165:J169)</f>
        <v>0.75511685227835312</v>
      </c>
      <c r="J170" s="3"/>
      <c r="K170" s="3"/>
      <c r="L170" s="3"/>
      <c r="M170" s="3"/>
      <c r="N170" s="3"/>
    </row>
    <row r="171" spans="1:14">
      <c r="B171" s="3"/>
      <c r="C171" s="3"/>
      <c r="D171" s="3"/>
      <c r="E171" s="3"/>
      <c r="F171" s="3"/>
      <c r="G171" s="3"/>
      <c r="H171" s="18"/>
      <c r="I171" s="3"/>
      <c r="J171" s="3"/>
      <c r="K171" s="3"/>
      <c r="L171" s="3"/>
      <c r="M171" s="3"/>
      <c r="N171" s="3"/>
    </row>
    <row r="172" spans="1:14">
      <c r="A172" s="2" t="s">
        <v>2430</v>
      </c>
      <c r="B172" s="3"/>
      <c r="C172" s="3"/>
      <c r="D172" s="3"/>
      <c r="E172" s="3"/>
      <c r="F172" s="3"/>
      <c r="G172" s="112">
        <f>I170+E74</f>
        <v>0.8245679788959327</v>
      </c>
      <c r="H172" s="18"/>
      <c r="I172" s="3"/>
      <c r="J172" s="3"/>
      <c r="K172" s="3"/>
      <c r="L172" s="3"/>
      <c r="M172" s="3"/>
      <c r="N172" s="3"/>
    </row>
    <row r="173" spans="1:14">
      <c r="A173" s="2" t="s">
        <v>6</v>
      </c>
      <c r="B173" s="3"/>
      <c r="C173" s="3"/>
      <c r="D173" s="3"/>
      <c r="E173" s="3"/>
      <c r="F173" s="3"/>
      <c r="G173" s="112">
        <f>E141</f>
        <v>0.05</v>
      </c>
      <c r="H173" s="18"/>
      <c r="I173" s="3"/>
      <c r="J173" s="3"/>
      <c r="K173" s="3"/>
      <c r="L173" s="3"/>
      <c r="M173" s="3"/>
      <c r="N173" s="3"/>
    </row>
    <row r="174" spans="1:14">
      <c r="A174" s="2" t="s">
        <v>2431</v>
      </c>
      <c r="G174" s="112">
        <f>G172*(1+G173)</f>
        <v>0.86579637784072938</v>
      </c>
      <c r="H174" s="18"/>
    </row>
    <row r="175" spans="1:14">
      <c r="A175" s="2" t="s">
        <v>2432</v>
      </c>
      <c r="G175" s="112">
        <f>G142</f>
        <v>0.03</v>
      </c>
      <c r="H175" s="18"/>
      <c r="I175" s="706"/>
    </row>
    <row r="176" spans="1:14">
      <c r="A176" s="2" t="s">
        <v>2433</v>
      </c>
      <c r="G176" s="112">
        <f>G143</f>
        <v>0.12</v>
      </c>
      <c r="H176" s="18"/>
    </row>
    <row r="177" spans="1:10">
      <c r="A177" s="2" t="s">
        <v>2434</v>
      </c>
      <c r="G177" s="112">
        <f>G144</f>
        <v>0.04</v>
      </c>
      <c r="H177" s="18"/>
    </row>
    <row r="178" spans="1:10">
      <c r="A178" s="2" t="s">
        <v>2435</v>
      </c>
      <c r="G178" s="96">
        <f>(1-G176-G177)/(1+G175/G174)</f>
        <v>0.81186860694754837</v>
      </c>
      <c r="H178" s="18"/>
    </row>
    <row r="179" spans="1:10">
      <c r="A179" s="2" t="s">
        <v>2436</v>
      </c>
      <c r="G179" s="96">
        <f>G174/G178-1</f>
        <v>6.6424259334201707E-2</v>
      </c>
      <c r="H179" s="18"/>
      <c r="J179" s="707"/>
    </row>
  </sheetData>
  <mergeCells count="28">
    <mergeCell ref="C17:D17"/>
    <mergeCell ref="C12:E12"/>
    <mergeCell ref="C13:D13"/>
    <mergeCell ref="C14:D14"/>
    <mergeCell ref="C15:D15"/>
    <mergeCell ref="C16:D16"/>
    <mergeCell ref="B118:L119"/>
    <mergeCell ref="C18:D18"/>
    <mergeCell ref="C19:D19"/>
    <mergeCell ref="C20:D20"/>
    <mergeCell ref="C21:D21"/>
    <mergeCell ref="C22:D22"/>
    <mergeCell ref="C23:D23"/>
    <mergeCell ref="B33:C33"/>
    <mergeCell ref="E33:F33"/>
    <mergeCell ref="G33:I33"/>
    <mergeCell ref="B48:L49"/>
    <mergeCell ref="B102:L103"/>
    <mergeCell ref="N150:O150"/>
    <mergeCell ref="V150:W150"/>
    <mergeCell ref="AD150:AE150"/>
    <mergeCell ref="C154:G154"/>
    <mergeCell ref="C126:E126"/>
    <mergeCell ref="M148:P148"/>
    <mergeCell ref="Q148:T148"/>
    <mergeCell ref="U148:X148"/>
    <mergeCell ref="Y148:AB148"/>
    <mergeCell ref="AC148:AF148"/>
  </mergeCells>
  <hyperlinks>
    <hyperlink ref="O1" location="TOC!A1" display="Table of Contents" xr:uid="{B76966A9-0E5D-435A-9E9C-79F871F846A9}"/>
  </hyperlinks>
  <pageMargins left="0.7" right="0.7" top="0.75" bottom="0.75" header="0.3" footer="0.3"/>
  <pageSetup orientation="portrait" verticalDpi="0"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A1F9-3AFE-4630-80BC-3B497265569B}">
  <dimension ref="A1:R68"/>
  <sheetViews>
    <sheetView zoomScaleNormal="100" workbookViewId="0"/>
  </sheetViews>
  <sheetFormatPr defaultColWidth="8.88671875" defaultRowHeight="15.6"/>
  <cols>
    <col min="1" max="1" width="8.88671875" style="2" customWidth="1"/>
    <col min="2" max="3" width="12.6640625" style="2" customWidth="1"/>
    <col min="4" max="4" width="15.5546875" style="2" customWidth="1"/>
    <col min="5" max="5" width="12.6640625" style="2" customWidth="1"/>
    <col min="6" max="6" width="14.5546875" style="2" customWidth="1"/>
    <col min="7" max="7" width="12.6640625" style="2" customWidth="1"/>
    <col min="8" max="8" width="12.88671875" style="2" customWidth="1"/>
    <col min="9" max="16384" width="8.88671875" style="2"/>
  </cols>
  <sheetData>
    <row r="1" spans="1:15" ht="17.399999999999999">
      <c r="A1" s="13" t="s">
        <v>2597</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2437</v>
      </c>
      <c r="B3" s="1"/>
      <c r="C3" s="1"/>
      <c r="D3" s="1"/>
      <c r="E3" s="1"/>
      <c r="F3" s="1"/>
      <c r="G3" s="1"/>
      <c r="H3" s="1"/>
      <c r="I3" s="1"/>
      <c r="J3" s="1"/>
      <c r="K3" s="1"/>
      <c r="L3" s="14"/>
    </row>
    <row r="4" spans="1:15">
      <c r="A4" s="43"/>
      <c r="B4" s="1"/>
      <c r="C4" s="1"/>
      <c r="D4" s="1"/>
      <c r="E4" s="1"/>
      <c r="F4" s="1"/>
      <c r="G4" s="1"/>
      <c r="H4" s="1"/>
      <c r="I4" s="1"/>
      <c r="J4" s="1"/>
      <c r="K4" s="1"/>
      <c r="L4" s="1"/>
    </row>
    <row r="5" spans="1:15" ht="46.8">
      <c r="A5" s="43"/>
      <c r="B5" s="4" t="s">
        <v>642</v>
      </c>
      <c r="C5" s="4" t="s">
        <v>2402</v>
      </c>
      <c r="D5" s="4" t="s">
        <v>1207</v>
      </c>
      <c r="E5" s="4" t="s">
        <v>1496</v>
      </c>
      <c r="F5" s="4" t="s">
        <v>14</v>
      </c>
      <c r="G5" s="1"/>
      <c r="H5" s="1"/>
      <c r="I5" s="1"/>
      <c r="J5" s="1"/>
      <c r="K5" s="1"/>
      <c r="L5" s="1"/>
    </row>
    <row r="6" spans="1:15">
      <c r="A6" s="43"/>
      <c r="B6" s="32">
        <v>2021</v>
      </c>
      <c r="C6" s="92">
        <v>10119409</v>
      </c>
      <c r="D6" s="184">
        <v>1.034</v>
      </c>
      <c r="E6" s="92">
        <v>5155384</v>
      </c>
      <c r="F6" s="92">
        <v>457851</v>
      </c>
      <c r="G6" s="1"/>
      <c r="H6" s="1"/>
      <c r="I6" s="1"/>
      <c r="J6" s="1"/>
      <c r="K6" s="1"/>
      <c r="L6" s="1"/>
    </row>
    <row r="7" spans="1:15">
      <c r="A7" s="43"/>
      <c r="B7" s="32">
        <v>2022</v>
      </c>
      <c r="C7" s="92">
        <v>10552425</v>
      </c>
      <c r="D7" s="184">
        <v>1.02</v>
      </c>
      <c r="E7" s="92">
        <v>3785833</v>
      </c>
      <c r="F7" s="92">
        <v>896859</v>
      </c>
      <c r="G7" s="1"/>
      <c r="H7" s="1"/>
      <c r="I7" s="1"/>
      <c r="J7" s="1"/>
      <c r="K7" s="1"/>
      <c r="L7" s="1"/>
    </row>
    <row r="8" spans="1:15">
      <c r="A8" s="43"/>
      <c r="B8" s="32">
        <v>2023</v>
      </c>
      <c r="C8" s="92">
        <v>10850455</v>
      </c>
      <c r="D8" s="184">
        <v>1</v>
      </c>
      <c r="E8" s="92">
        <v>2247631</v>
      </c>
      <c r="F8" s="92">
        <v>1306801</v>
      </c>
      <c r="G8" s="1"/>
      <c r="H8" s="1"/>
      <c r="I8" s="1"/>
      <c r="J8" s="1"/>
      <c r="K8" s="1"/>
      <c r="L8" s="1"/>
    </row>
    <row r="9" spans="1:15">
      <c r="A9" s="1"/>
      <c r="B9" s="1"/>
      <c r="C9" s="1"/>
      <c r="D9" s="1"/>
      <c r="E9" s="1"/>
      <c r="F9" s="1"/>
      <c r="G9" s="1"/>
      <c r="H9" s="1"/>
      <c r="I9" s="1"/>
      <c r="J9" s="1"/>
      <c r="K9" s="1"/>
      <c r="L9" s="1"/>
    </row>
    <row r="10" spans="1:15">
      <c r="A10" s="1"/>
      <c r="B10" s="841" t="s">
        <v>2438</v>
      </c>
      <c r="C10" s="841"/>
      <c r="D10" s="841"/>
      <c r="E10" s="841"/>
      <c r="F10" s="841"/>
      <c r="G10" s="841"/>
      <c r="H10" s="1"/>
      <c r="I10" s="1"/>
      <c r="J10" s="1"/>
      <c r="K10" s="1"/>
      <c r="L10" s="1"/>
    </row>
    <row r="11" spans="1:15">
      <c r="A11" s="43"/>
      <c r="B11" s="708" t="s">
        <v>991</v>
      </c>
      <c r="C11" s="32" t="s">
        <v>992</v>
      </c>
      <c r="D11" s="32" t="s">
        <v>993</v>
      </c>
      <c r="E11" s="32" t="s">
        <v>994</v>
      </c>
      <c r="F11" s="32" t="s">
        <v>995</v>
      </c>
      <c r="G11" s="32" t="s">
        <v>2439</v>
      </c>
      <c r="H11" s="1"/>
      <c r="I11" s="1"/>
      <c r="J11" s="1"/>
      <c r="K11" s="1"/>
      <c r="L11" s="1"/>
    </row>
    <row r="12" spans="1:15">
      <c r="A12" s="1"/>
      <c r="B12" s="184">
        <v>1.4450000000000001</v>
      </c>
      <c r="C12" s="184">
        <v>1.2709999999999999</v>
      </c>
      <c r="D12" s="184">
        <v>1.1539999999999999</v>
      </c>
      <c r="E12" s="184">
        <v>1.073</v>
      </c>
      <c r="F12" s="184">
        <v>1.014</v>
      </c>
      <c r="G12" s="184">
        <v>1</v>
      </c>
      <c r="H12" s="1"/>
      <c r="I12" s="1"/>
      <c r="J12" s="1"/>
      <c r="K12" s="1"/>
      <c r="L12" s="1"/>
    </row>
    <row r="13" spans="1:15">
      <c r="A13" s="1"/>
      <c r="B13" s="1"/>
      <c r="C13" s="1"/>
      <c r="D13" s="1"/>
      <c r="E13" s="1"/>
      <c r="F13" s="1"/>
      <c r="G13" s="1"/>
      <c r="H13" s="1"/>
      <c r="I13" s="1"/>
      <c r="J13" s="1"/>
      <c r="K13" s="1"/>
      <c r="L13" s="1"/>
    </row>
    <row r="14" spans="1:15">
      <c r="A14" s="1"/>
      <c r="B14" s="519" t="s">
        <v>2440</v>
      </c>
      <c r="C14" s="1"/>
      <c r="D14" s="1"/>
      <c r="E14" s="1"/>
      <c r="F14" s="377">
        <v>0.76</v>
      </c>
      <c r="G14" s="1"/>
      <c r="H14" s="1"/>
      <c r="I14" s="1"/>
      <c r="J14" s="1"/>
      <c r="K14" s="1"/>
      <c r="L14" s="1"/>
    </row>
    <row r="15" spans="1:15">
      <c r="A15" s="1"/>
      <c r="B15" s="519" t="s">
        <v>2441</v>
      </c>
      <c r="C15" s="1"/>
      <c r="D15" s="1"/>
      <c r="E15" s="1"/>
      <c r="F15" s="485">
        <v>6.0999999999999999E-2</v>
      </c>
      <c r="G15" s="1"/>
      <c r="H15" s="1"/>
      <c r="I15" s="1"/>
      <c r="J15" s="1"/>
      <c r="K15" s="1"/>
      <c r="L15" s="1"/>
    </row>
    <row r="16" spans="1:15">
      <c r="A16" s="1"/>
      <c r="B16" s="519" t="s">
        <v>1324</v>
      </c>
      <c r="C16" s="1"/>
      <c r="D16" s="1"/>
      <c r="E16" s="1"/>
      <c r="F16" s="377">
        <v>0</v>
      </c>
      <c r="G16" s="1"/>
      <c r="H16" s="1"/>
      <c r="I16" s="1"/>
      <c r="J16" s="1"/>
      <c r="K16" s="1"/>
      <c r="L16" s="1"/>
    </row>
    <row r="17" spans="1:18">
      <c r="A17" s="3"/>
      <c r="B17" s="3"/>
      <c r="C17" s="3"/>
      <c r="D17" s="3"/>
      <c r="E17" s="3"/>
      <c r="F17" s="3"/>
      <c r="G17" s="3"/>
      <c r="H17" s="3"/>
      <c r="I17" s="3"/>
      <c r="J17" s="3"/>
      <c r="K17" s="3"/>
      <c r="L17" s="3"/>
    </row>
    <row r="18" spans="1:18">
      <c r="A18" s="17" t="s">
        <v>91</v>
      </c>
      <c r="B18" s="1" t="s">
        <v>2442</v>
      </c>
      <c r="C18" s="1"/>
      <c r="D18" s="1"/>
      <c r="E18" s="1"/>
      <c r="F18" s="1"/>
      <c r="G18" s="1"/>
      <c r="H18" s="1"/>
      <c r="I18" s="1"/>
      <c r="J18" s="1"/>
      <c r="K18" s="1"/>
      <c r="L18" s="1"/>
      <c r="M18" s="9"/>
      <c r="N18" s="9"/>
      <c r="O18" s="9"/>
      <c r="P18" s="9"/>
      <c r="Q18" s="9"/>
      <c r="R18" s="9"/>
    </row>
    <row r="19" spans="1:18">
      <c r="A19" s="17"/>
      <c r="B19" s="1"/>
      <c r="C19" s="1"/>
      <c r="D19" s="1"/>
      <c r="E19" s="1"/>
      <c r="F19" s="1"/>
      <c r="G19" s="1"/>
      <c r="H19" s="1"/>
      <c r="I19" s="1"/>
      <c r="J19" s="1"/>
      <c r="K19" s="1"/>
      <c r="L19" s="1"/>
      <c r="M19" s="9"/>
      <c r="N19" s="9"/>
      <c r="O19" s="9"/>
      <c r="P19" s="9"/>
      <c r="Q19" s="9"/>
      <c r="R19" s="9"/>
    </row>
    <row r="20" spans="1:18">
      <c r="A20" s="17"/>
      <c r="B20" s="709" t="s">
        <v>2443</v>
      </c>
      <c r="C20" s="204" t="s">
        <v>2444</v>
      </c>
      <c r="D20" s="1"/>
      <c r="E20" s="1"/>
      <c r="F20" s="1"/>
      <c r="G20" s="1"/>
      <c r="H20" s="1"/>
      <c r="I20" s="1"/>
      <c r="J20" s="1"/>
      <c r="K20" s="1"/>
      <c r="L20" s="1"/>
      <c r="M20" s="9"/>
      <c r="N20" s="9"/>
      <c r="O20" s="9"/>
      <c r="P20" s="9"/>
      <c r="Q20" s="9"/>
      <c r="R20" s="9"/>
    </row>
    <row r="21" spans="1:18">
      <c r="A21" s="17"/>
      <c r="B21" s="709"/>
      <c r="C21" s="678"/>
      <c r="D21" s="1"/>
      <c r="E21" s="1"/>
      <c r="F21" s="1"/>
      <c r="G21" s="1"/>
      <c r="H21" s="1"/>
      <c r="I21" s="1"/>
      <c r="J21" s="1"/>
      <c r="K21" s="1"/>
      <c r="L21" s="1"/>
      <c r="M21" s="9"/>
      <c r="N21" s="9"/>
      <c r="O21" s="9"/>
      <c r="P21" s="9"/>
      <c r="Q21" s="9"/>
      <c r="R21" s="9"/>
    </row>
    <row r="22" spans="1:18">
      <c r="A22" s="17"/>
      <c r="B22" s="709" t="s">
        <v>2445</v>
      </c>
      <c r="C22" s="204" t="s">
        <v>2446</v>
      </c>
      <c r="D22" s="1"/>
      <c r="E22" s="1"/>
      <c r="F22" s="1"/>
      <c r="G22" s="1"/>
      <c r="H22" s="1"/>
      <c r="I22" s="1"/>
      <c r="J22" s="1"/>
      <c r="K22" s="1"/>
      <c r="L22" s="1"/>
      <c r="M22" s="9"/>
      <c r="N22" s="9"/>
      <c r="O22" s="9"/>
      <c r="P22" s="9"/>
      <c r="Q22" s="9"/>
      <c r="R22" s="9"/>
    </row>
    <row r="23" spans="1:18">
      <c r="A23" s="17"/>
      <c r="B23" s="709"/>
      <c r="C23" s="678"/>
      <c r="D23" s="1"/>
      <c r="E23" s="1"/>
      <c r="F23" s="1"/>
      <c r="G23" s="1"/>
      <c r="H23" s="1"/>
      <c r="I23" s="1"/>
      <c r="J23" s="1"/>
      <c r="K23" s="1"/>
      <c r="L23" s="1"/>
      <c r="M23" s="9"/>
      <c r="N23" s="9"/>
      <c r="O23" s="9"/>
      <c r="P23" s="9"/>
      <c r="Q23" s="9"/>
      <c r="R23" s="9"/>
    </row>
    <row r="24" spans="1:18">
      <c r="A24" s="17"/>
      <c r="B24" s="709" t="s">
        <v>2447</v>
      </c>
      <c r="C24" s="204" t="s">
        <v>2448</v>
      </c>
      <c r="D24" s="1"/>
      <c r="E24" s="1"/>
      <c r="F24" s="1"/>
      <c r="G24" s="1"/>
      <c r="H24" s="1"/>
      <c r="I24" s="1"/>
      <c r="J24" s="1"/>
      <c r="K24" s="1"/>
      <c r="L24" s="1"/>
      <c r="M24" s="9"/>
      <c r="N24" s="9"/>
      <c r="O24" s="9"/>
      <c r="P24" s="9"/>
      <c r="Q24" s="9"/>
      <c r="R24" s="9"/>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100" t="s">
        <v>73</v>
      </c>
      <c r="B27" s="3"/>
      <c r="C27" s="3"/>
      <c r="D27" s="3"/>
      <c r="E27" s="3"/>
      <c r="F27" s="3"/>
      <c r="G27" s="3"/>
      <c r="H27" s="3"/>
      <c r="I27" s="3"/>
      <c r="J27" s="3"/>
      <c r="K27" s="3"/>
      <c r="L27" s="3"/>
      <c r="M27" s="3"/>
      <c r="N27" s="9"/>
    </row>
    <row r="28" spans="1:18" ht="46.8">
      <c r="A28" s="36" t="s">
        <v>58</v>
      </c>
      <c r="B28" s="36" t="s">
        <v>59</v>
      </c>
      <c r="C28" s="36" t="s">
        <v>726</v>
      </c>
      <c r="D28" s="36" t="s">
        <v>2449</v>
      </c>
      <c r="E28" s="36" t="s">
        <v>2450</v>
      </c>
      <c r="G28" s="18"/>
      <c r="H28" s="18"/>
      <c r="I28" s="3"/>
      <c r="J28" s="3"/>
      <c r="K28" s="3"/>
      <c r="L28" s="3"/>
      <c r="M28" s="3"/>
      <c r="N28" s="9"/>
    </row>
    <row r="29" spans="1:18">
      <c r="A29" s="34">
        <f>$B$6</f>
        <v>2021</v>
      </c>
      <c r="B29" s="83">
        <f>E6+F6</f>
        <v>5613235</v>
      </c>
      <c r="C29" s="82">
        <f>PRODUCT(D12:G12)</f>
        <v>1.2555773879999998</v>
      </c>
      <c r="D29" s="83">
        <f>B29*C29</f>
        <v>7047850.9395301789</v>
      </c>
      <c r="E29" s="83">
        <f>D29-B29</f>
        <v>1434615.9395301789</v>
      </c>
      <c r="G29" s="18"/>
      <c r="H29" s="18"/>
      <c r="I29" s="3"/>
      <c r="J29" s="3"/>
      <c r="K29" s="3"/>
      <c r="L29" s="3"/>
      <c r="M29" s="3"/>
      <c r="N29" s="9"/>
    </row>
    <row r="30" spans="1:18">
      <c r="A30" s="34">
        <f>$B$7</f>
        <v>2022</v>
      </c>
      <c r="B30" s="83">
        <f>E7+F7</f>
        <v>4682692</v>
      </c>
      <c r="C30" s="82">
        <f>PRODUCT(C12:G12)</f>
        <v>1.5958388601479996</v>
      </c>
      <c r="D30" s="83">
        <f t="shared" ref="D30:D31" si="0">B30*C30</f>
        <v>7472821.8637041561</v>
      </c>
      <c r="E30" s="83">
        <f t="shared" ref="E30:E31" si="1">D30-B30</f>
        <v>2790129.8637041561</v>
      </c>
      <c r="G30" s="18"/>
      <c r="H30" s="18"/>
      <c r="I30" s="3"/>
      <c r="J30" s="3"/>
      <c r="K30" s="3"/>
      <c r="L30" s="3"/>
      <c r="M30" s="3"/>
      <c r="N30" s="9"/>
    </row>
    <row r="31" spans="1:18">
      <c r="A31" s="34">
        <f>$B$8</f>
        <v>2023</v>
      </c>
      <c r="B31" s="83">
        <f>E8+F8</f>
        <v>3554432</v>
      </c>
      <c r="C31" s="82">
        <f>PRODUCT(B12:G12)</f>
        <v>2.3059871529138598</v>
      </c>
      <c r="D31" s="83">
        <f t="shared" si="0"/>
        <v>8196474.5279059168</v>
      </c>
      <c r="E31" s="83">
        <f t="shared" si="1"/>
        <v>4642042.5279059168</v>
      </c>
      <c r="G31" s="18"/>
      <c r="H31" s="18"/>
      <c r="I31" s="3"/>
      <c r="J31" s="3"/>
      <c r="K31" s="3"/>
      <c r="L31" s="3"/>
      <c r="M31" s="3"/>
      <c r="N31" s="9"/>
    </row>
    <row r="32" spans="1:18">
      <c r="I32" s="3"/>
      <c r="J32" s="3"/>
      <c r="K32" s="3"/>
      <c r="L32" s="3"/>
      <c r="M32" s="3"/>
      <c r="N32" s="9"/>
    </row>
    <row r="33" spans="1:14">
      <c r="A33" s="100" t="s">
        <v>75</v>
      </c>
      <c r="I33" s="3"/>
      <c r="J33" s="3"/>
      <c r="K33" s="3"/>
      <c r="L33" s="3"/>
      <c r="M33" s="3"/>
      <c r="N33" s="9"/>
    </row>
    <row r="34" spans="1:14" ht="46.8">
      <c r="A34" s="36" t="s">
        <v>58</v>
      </c>
      <c r="B34" s="93" t="s">
        <v>2402</v>
      </c>
      <c r="C34" s="93" t="s">
        <v>2451</v>
      </c>
      <c r="D34" s="93" t="s">
        <v>1207</v>
      </c>
      <c r="E34" s="93" t="s">
        <v>2452</v>
      </c>
      <c r="F34" s="93" t="s">
        <v>2453</v>
      </c>
      <c r="G34" s="93" t="s">
        <v>2454</v>
      </c>
      <c r="H34" s="93" t="s">
        <v>2455</v>
      </c>
      <c r="I34" s="3"/>
      <c r="J34" s="3"/>
      <c r="K34" s="3"/>
      <c r="L34" s="3"/>
      <c r="M34" s="3"/>
      <c r="N34" s="9"/>
    </row>
    <row r="35" spans="1:14">
      <c r="A35" s="34">
        <f>$B$6</f>
        <v>2021</v>
      </c>
      <c r="B35" s="83">
        <f>C6</f>
        <v>10119409</v>
      </c>
      <c r="C35" s="82">
        <f>C36*(1+$F$15)</f>
        <v>1.125721</v>
      </c>
      <c r="D35" s="160">
        <f>D6</f>
        <v>1.034</v>
      </c>
      <c r="E35" s="177">
        <f>$F$14*D35/C35</f>
        <v>0.69807705461655245</v>
      </c>
      <c r="F35" s="83">
        <f>E35*B35</f>
        <v>7064127.2291802326</v>
      </c>
      <c r="G35" s="83">
        <f>B29+F35*(1-1/C29)</f>
        <v>7051164.0380574772</v>
      </c>
      <c r="H35" s="83">
        <f>G35-B29</f>
        <v>1437929.0380574772</v>
      </c>
      <c r="I35" s="3"/>
      <c r="J35" s="3"/>
      <c r="K35" s="3"/>
      <c r="L35" s="3"/>
      <c r="M35" s="3"/>
      <c r="N35" s="9"/>
    </row>
    <row r="36" spans="1:14">
      <c r="A36" s="34">
        <f>$B$7</f>
        <v>2022</v>
      </c>
      <c r="B36" s="83">
        <f>C7</f>
        <v>10552425</v>
      </c>
      <c r="C36" s="82">
        <f>C37*(1+$F$15)</f>
        <v>1.0609999999999999</v>
      </c>
      <c r="D36" s="160">
        <f>D7</f>
        <v>1.02</v>
      </c>
      <c r="E36" s="177">
        <f>$F$14*D36/C36</f>
        <v>0.7306314797360981</v>
      </c>
      <c r="F36" s="83">
        <f t="shared" ref="F36:F37" si="2">E36*B36</f>
        <v>7709933.8925541947</v>
      </c>
      <c r="G36" s="83">
        <f>B30+F36*(1-1/C30)</f>
        <v>7561352.4569397941</v>
      </c>
      <c r="H36" s="83">
        <f>G36-B30</f>
        <v>2878660.4569397941</v>
      </c>
      <c r="I36" s="3"/>
      <c r="J36" s="3"/>
      <c r="K36" s="3"/>
      <c r="L36" s="3"/>
      <c r="M36" s="3"/>
      <c r="N36" s="9"/>
    </row>
    <row r="37" spans="1:14">
      <c r="A37" s="34">
        <f>$B$8</f>
        <v>2023</v>
      </c>
      <c r="B37" s="83">
        <f>C8</f>
        <v>10850455</v>
      </c>
      <c r="C37" s="82">
        <v>1</v>
      </c>
      <c r="D37" s="160">
        <f>D8</f>
        <v>1</v>
      </c>
      <c r="E37" s="177">
        <f>$F$14*D37/C37</f>
        <v>0.76</v>
      </c>
      <c r="F37" s="83">
        <f t="shared" si="2"/>
        <v>8246345.7999999998</v>
      </c>
      <c r="G37" s="83">
        <f>B31+F37*(1-1/C31)</f>
        <v>8224718.9353268528</v>
      </c>
      <c r="H37" s="83">
        <f>G37-B31</f>
        <v>4670286.9353268528</v>
      </c>
      <c r="I37" s="3"/>
      <c r="J37" s="3"/>
      <c r="K37" s="3"/>
      <c r="L37" s="3"/>
      <c r="M37" s="3"/>
      <c r="N37" s="9"/>
    </row>
    <row r="38" spans="1:14">
      <c r="B38" s="34"/>
      <c r="I38" s="3"/>
      <c r="J38" s="3"/>
      <c r="K38" s="3"/>
      <c r="L38" s="3"/>
      <c r="M38" s="3"/>
      <c r="N38" s="9"/>
    </row>
    <row r="39" spans="1:14">
      <c r="A39" s="60" t="s">
        <v>77</v>
      </c>
      <c r="F39" s="710"/>
      <c r="G39" s="18"/>
      <c r="H39" s="18"/>
      <c r="I39" s="3"/>
      <c r="J39" s="3"/>
      <c r="K39" s="3"/>
      <c r="L39" s="3"/>
      <c r="M39" s="3"/>
      <c r="N39" s="9"/>
    </row>
    <row r="40" spans="1:14">
      <c r="B40" s="816" t="s">
        <v>2456</v>
      </c>
      <c r="C40" s="816"/>
      <c r="D40" s="816" t="s">
        <v>2457</v>
      </c>
      <c r="E40" s="816"/>
      <c r="G40" s="18"/>
      <c r="H40" s="18"/>
      <c r="I40" s="3"/>
      <c r="J40" s="3"/>
      <c r="K40" s="3"/>
      <c r="L40" s="3"/>
      <c r="M40" s="3"/>
      <c r="N40" s="9"/>
    </row>
    <row r="41" spans="1:14">
      <c r="A41" s="36" t="s">
        <v>58</v>
      </c>
      <c r="B41" s="35" t="s">
        <v>2458</v>
      </c>
      <c r="C41" s="35" t="s">
        <v>2459</v>
      </c>
      <c r="D41" s="35" t="s">
        <v>2458</v>
      </c>
      <c r="E41" s="35" t="s">
        <v>2459</v>
      </c>
      <c r="G41" s="18"/>
      <c r="H41" s="18"/>
      <c r="I41" s="3"/>
      <c r="J41" s="3"/>
      <c r="K41" s="3"/>
      <c r="L41" s="3"/>
      <c r="M41" s="3"/>
      <c r="N41" s="9"/>
    </row>
    <row r="42" spans="1:14">
      <c r="A42" s="34">
        <f>$B$6</f>
        <v>2021</v>
      </c>
      <c r="B42" s="83">
        <f>B29+G35*(1-1/$C29)</f>
        <v>7048525.3329016156</v>
      </c>
      <c r="C42" s="83">
        <f>B29+B42*(1-1/$C29)</f>
        <v>7047988.21477741</v>
      </c>
      <c r="D42" s="83">
        <f t="shared" ref="D42:E44" si="3">B42-$B29</f>
        <v>1435290.3329016156</v>
      </c>
      <c r="E42" s="83">
        <f t="shared" si="3"/>
        <v>1434753.21477741</v>
      </c>
      <c r="G42" s="18"/>
      <c r="H42" s="18"/>
      <c r="I42" s="3"/>
      <c r="J42" s="3"/>
      <c r="K42" s="3"/>
      <c r="L42" s="3"/>
      <c r="M42" s="3"/>
      <c r="N42" s="9"/>
    </row>
    <row r="43" spans="1:14">
      <c r="A43" s="34">
        <f>$B$7</f>
        <v>2022</v>
      </c>
      <c r="B43" s="83">
        <f>B30+G36*(1-1/$C30)</f>
        <v>7505876.559312243</v>
      </c>
      <c r="C43" s="83">
        <f>B30+B43*(1-1/$C30)</f>
        <v>7485163.5058620833</v>
      </c>
      <c r="D43" s="83">
        <f t="shared" si="3"/>
        <v>2823184.559312243</v>
      </c>
      <c r="E43" s="83">
        <f t="shared" si="3"/>
        <v>2802471.5058620833</v>
      </c>
      <c r="G43" s="18"/>
      <c r="H43" s="18"/>
      <c r="I43" s="3"/>
      <c r="J43" s="3"/>
      <c r="K43" s="3"/>
      <c r="L43" s="3"/>
      <c r="M43" s="3"/>
      <c r="N43" s="9"/>
    </row>
    <row r="44" spans="1:14">
      <c r="A44" s="34">
        <f>$B$8</f>
        <v>2023</v>
      </c>
      <c r="B44" s="83">
        <f>B31+G37*(1-1/$C31)</f>
        <v>8212470.6418421092</v>
      </c>
      <c r="C44" s="83">
        <f>B31+B44*(1-1/$C31)</f>
        <v>8205533.8668839401</v>
      </c>
      <c r="D44" s="83">
        <f t="shared" si="3"/>
        <v>4658038.6418421092</v>
      </c>
      <c r="E44" s="83">
        <f t="shared" si="3"/>
        <v>4651101.8668839401</v>
      </c>
      <c r="G44" s="18"/>
      <c r="H44" s="18"/>
      <c r="I44" s="3"/>
      <c r="J44" s="3"/>
      <c r="K44" s="3"/>
      <c r="L44" s="3"/>
      <c r="M44" s="3"/>
      <c r="N44" s="9"/>
    </row>
    <row r="46" spans="1:14">
      <c r="A46" s="17" t="s">
        <v>133</v>
      </c>
      <c r="B46" s="1" t="s">
        <v>2460</v>
      </c>
      <c r="C46" s="1"/>
      <c r="D46" s="1"/>
      <c r="E46" s="1"/>
      <c r="F46" s="1"/>
      <c r="G46" s="1"/>
      <c r="H46" s="1"/>
      <c r="I46" s="1"/>
      <c r="J46" s="1"/>
      <c r="K46" s="1"/>
      <c r="L46" s="1"/>
    </row>
    <row r="47" spans="1:14">
      <c r="A47" s="3"/>
      <c r="B47" s="3"/>
      <c r="C47" s="3"/>
      <c r="D47" s="3"/>
      <c r="E47" s="3"/>
      <c r="F47" s="3"/>
      <c r="G47" s="3"/>
      <c r="H47" s="3"/>
      <c r="I47" s="3"/>
      <c r="J47" s="3"/>
      <c r="K47" s="3"/>
      <c r="L47" s="3"/>
    </row>
    <row r="48" spans="1:14">
      <c r="A48" s="3" t="s">
        <v>20</v>
      </c>
      <c r="B48" s="3"/>
      <c r="C48" s="3"/>
      <c r="D48" s="3"/>
      <c r="E48" s="3"/>
      <c r="F48" s="3"/>
      <c r="G48" s="3"/>
      <c r="H48" s="3"/>
      <c r="I48" s="3"/>
      <c r="J48" s="3"/>
      <c r="K48" s="3"/>
      <c r="L48" s="3"/>
    </row>
    <row r="49" spans="1:13">
      <c r="M49" s="3"/>
    </row>
    <row r="50" spans="1:13">
      <c r="A50" s="2" t="s">
        <v>2461</v>
      </c>
      <c r="M50" s="3"/>
    </row>
    <row r="51" spans="1:13">
      <c r="A51" s="2" t="s">
        <v>2462</v>
      </c>
      <c r="D51" s="296">
        <f>D31/$C$8</f>
        <v>0.7554037621377091</v>
      </c>
      <c r="E51" s="83"/>
      <c r="M51" s="3"/>
    </row>
    <row r="52" spans="1:13">
      <c r="A52" s="2" t="s">
        <v>2463</v>
      </c>
      <c r="D52" s="296">
        <f>G37/$C$8</f>
        <v>0.75800682416791298</v>
      </c>
      <c r="E52" s="83"/>
      <c r="M52" s="3"/>
    </row>
    <row r="53" spans="1:13">
      <c r="A53" s="2" t="s">
        <v>2464</v>
      </c>
      <c r="D53" s="296">
        <f>C44/$C$8</f>
        <v>0.75623868924242721</v>
      </c>
      <c r="E53" s="83"/>
      <c r="M53" s="3"/>
    </row>
    <row r="55" spans="1:13">
      <c r="A55" s="2" t="s">
        <v>2465</v>
      </c>
      <c r="D55" s="299">
        <f>F14</f>
        <v>0.76</v>
      </c>
    </row>
    <row r="57" spans="1:13">
      <c r="A57" s="2" t="s">
        <v>2466</v>
      </c>
    </row>
    <row r="59" spans="1:13">
      <c r="A59" s="1" t="s">
        <v>2467</v>
      </c>
      <c r="B59" s="14"/>
      <c r="C59" s="14"/>
      <c r="D59" s="14"/>
      <c r="E59" s="14"/>
      <c r="F59" s="14"/>
      <c r="G59" s="1"/>
      <c r="H59" s="1"/>
      <c r="I59" s="1"/>
      <c r="J59" s="1"/>
      <c r="K59" s="1"/>
      <c r="L59" s="1"/>
    </row>
    <row r="61" spans="1:13">
      <c r="A61" s="17" t="s">
        <v>18</v>
      </c>
      <c r="B61" s="1" t="s">
        <v>2468</v>
      </c>
      <c r="C61" s="1"/>
      <c r="D61" s="1"/>
      <c r="E61" s="1"/>
      <c r="F61" s="1"/>
      <c r="G61" s="1"/>
      <c r="H61" s="1"/>
      <c r="I61" s="1"/>
      <c r="J61" s="1"/>
      <c r="K61" s="1"/>
      <c r="L61" s="1"/>
    </row>
    <row r="62" spans="1:13">
      <c r="A62" s="3"/>
      <c r="B62" s="3"/>
      <c r="C62" s="3"/>
      <c r="D62" s="3"/>
      <c r="E62" s="3"/>
      <c r="F62" s="3"/>
      <c r="G62" s="3"/>
      <c r="H62" s="3"/>
      <c r="I62" s="3"/>
      <c r="J62" s="3"/>
      <c r="K62" s="3"/>
      <c r="L62" s="3"/>
    </row>
    <row r="63" spans="1:13">
      <c r="A63" s="3" t="s">
        <v>20</v>
      </c>
      <c r="B63" s="3"/>
      <c r="C63" s="3"/>
      <c r="D63" s="3"/>
      <c r="E63" s="3"/>
      <c r="F63" s="3"/>
      <c r="G63" s="3"/>
      <c r="H63" s="3"/>
      <c r="I63" s="3"/>
      <c r="J63" s="3"/>
      <c r="K63" s="3"/>
      <c r="L63" s="3"/>
    </row>
    <row r="64" spans="1:13">
      <c r="A64" s="3"/>
      <c r="B64" s="3"/>
      <c r="C64" s="3"/>
      <c r="D64" s="3"/>
      <c r="E64" s="3"/>
      <c r="F64" s="3"/>
      <c r="G64" s="3"/>
      <c r="H64" s="3"/>
      <c r="I64" s="3"/>
      <c r="J64" s="3"/>
      <c r="K64" s="3"/>
      <c r="L64" s="3"/>
    </row>
    <row r="65" spans="1:14">
      <c r="A65" s="416" t="s">
        <v>2469</v>
      </c>
      <c r="B65" s="3"/>
      <c r="C65" s="3"/>
      <c r="D65" s="3"/>
      <c r="E65" s="3"/>
      <c r="F65" s="3"/>
      <c r="G65" s="3"/>
      <c r="H65" s="3"/>
      <c r="I65" s="3"/>
      <c r="J65" s="3"/>
      <c r="K65" s="3"/>
      <c r="L65" s="3"/>
    </row>
    <row r="68" spans="1:14">
      <c r="M68" s="3"/>
      <c r="N68" s="3"/>
    </row>
  </sheetData>
  <mergeCells count="3">
    <mergeCell ref="B10:G10"/>
    <mergeCell ref="B40:C40"/>
    <mergeCell ref="D40:E40"/>
  </mergeCells>
  <hyperlinks>
    <hyperlink ref="O1" location="TOC!A1" display="Table of Contents" xr:uid="{69BE5D95-4008-4A39-8195-DAADB841F006}"/>
  </hyperlinks>
  <pageMargins left="0.7" right="0.7" top="0.75" bottom="0.75" header="0.3" footer="0.3"/>
  <pageSetup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40AF-EB05-40D2-B779-110F59302EA6}">
  <dimension ref="A1:R105"/>
  <sheetViews>
    <sheetView zoomScaleNormal="100" workbookViewId="0"/>
  </sheetViews>
  <sheetFormatPr defaultColWidth="8.88671875" defaultRowHeight="15.6"/>
  <cols>
    <col min="1" max="1" width="8.88671875" style="2" customWidth="1"/>
    <col min="2" max="2" width="12.6640625" style="2" customWidth="1"/>
    <col min="3" max="7" width="15.6640625" style="2" customWidth="1"/>
    <col min="8" max="8" width="8.88671875" style="2" customWidth="1"/>
    <col min="9" max="16384" width="8.88671875" style="2"/>
  </cols>
  <sheetData>
    <row r="1" spans="1:18" ht="17.399999999999999">
      <c r="A1" s="13" t="s">
        <v>2596</v>
      </c>
      <c r="B1" s="1"/>
      <c r="C1" s="1"/>
      <c r="D1" s="1" t="s">
        <v>548</v>
      </c>
      <c r="E1" s="1"/>
      <c r="F1" s="1"/>
      <c r="G1" s="1"/>
      <c r="H1" s="1"/>
      <c r="I1" s="1"/>
      <c r="J1" s="1"/>
      <c r="K1" s="1"/>
      <c r="L1" s="14"/>
      <c r="O1" s="21" t="s">
        <v>2927</v>
      </c>
    </row>
    <row r="2" spans="1:18">
      <c r="A2" s="1"/>
      <c r="B2" s="1"/>
      <c r="C2" s="1"/>
      <c r="D2" s="1"/>
      <c r="E2" s="1"/>
      <c r="F2" s="1"/>
      <c r="G2" s="1"/>
      <c r="H2" s="1"/>
      <c r="I2" s="1"/>
      <c r="J2" s="1"/>
      <c r="K2" s="1"/>
      <c r="L2" s="14"/>
    </row>
    <row r="3" spans="1:18">
      <c r="A3" s="831" t="s">
        <v>2470</v>
      </c>
      <c r="B3" s="831"/>
      <c r="C3" s="831"/>
      <c r="D3" s="831"/>
      <c r="E3" s="831"/>
      <c r="F3" s="831"/>
      <c r="G3" s="831"/>
      <c r="H3" s="831"/>
      <c r="I3" s="831"/>
      <c r="J3" s="831"/>
      <c r="K3" s="831"/>
      <c r="L3" s="831"/>
    </row>
    <row r="4" spans="1:18">
      <c r="A4" s="831"/>
      <c r="B4" s="831"/>
      <c r="C4" s="831"/>
      <c r="D4" s="831"/>
      <c r="E4" s="831"/>
      <c r="F4" s="831"/>
      <c r="G4" s="831"/>
      <c r="H4" s="831"/>
      <c r="I4" s="831"/>
      <c r="J4" s="831"/>
      <c r="K4" s="831"/>
      <c r="L4" s="831"/>
    </row>
    <row r="5" spans="1:18">
      <c r="A5" s="3"/>
      <c r="B5" s="3"/>
      <c r="C5" s="3"/>
      <c r="D5" s="3"/>
      <c r="E5" s="3"/>
      <c r="F5" s="3"/>
      <c r="G5" s="3"/>
      <c r="H5" s="3"/>
      <c r="I5" s="3"/>
      <c r="J5" s="3"/>
      <c r="K5" s="3"/>
      <c r="L5" s="3"/>
    </row>
    <row r="6" spans="1:18">
      <c r="A6" s="17" t="s">
        <v>91</v>
      </c>
      <c r="B6" s="1" t="s">
        <v>2471</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t="s">
        <v>2472</v>
      </c>
      <c r="B10" s="3"/>
      <c r="C10" s="3"/>
      <c r="D10" s="3"/>
      <c r="E10" s="3"/>
      <c r="F10" s="3"/>
      <c r="G10" s="3"/>
      <c r="H10" s="3"/>
      <c r="I10" s="3"/>
      <c r="J10" s="3"/>
      <c r="K10" s="3"/>
      <c r="L10" s="3"/>
      <c r="M10" s="3"/>
      <c r="N10" s="9"/>
    </row>
    <row r="11" spans="1:18">
      <c r="A11" s="3" t="s">
        <v>2473</v>
      </c>
      <c r="M11" s="9"/>
      <c r="N11" s="9"/>
    </row>
    <row r="12" spans="1:18">
      <c r="M12" s="9"/>
      <c r="N12" s="9"/>
    </row>
    <row r="14" spans="1:18">
      <c r="A14" s="17" t="s">
        <v>133</v>
      </c>
      <c r="B14" s="831" t="s">
        <v>2474</v>
      </c>
      <c r="C14" s="831"/>
      <c r="D14" s="831"/>
      <c r="E14" s="831"/>
      <c r="F14" s="831"/>
      <c r="G14" s="831"/>
      <c r="H14" s="831"/>
      <c r="I14" s="831"/>
      <c r="J14" s="831"/>
      <c r="K14" s="831"/>
      <c r="L14" s="831"/>
    </row>
    <row r="15" spans="1:18">
      <c r="A15" s="14"/>
      <c r="B15" s="831"/>
      <c r="C15" s="831"/>
      <c r="D15" s="831"/>
      <c r="E15" s="831"/>
      <c r="F15" s="831"/>
      <c r="G15" s="831"/>
      <c r="H15" s="831"/>
      <c r="I15" s="831"/>
      <c r="J15" s="831"/>
      <c r="K15" s="831"/>
      <c r="L15" s="831"/>
    </row>
    <row r="16" spans="1:18">
      <c r="A16" s="3"/>
      <c r="B16" s="3"/>
      <c r="C16" s="3"/>
      <c r="D16" s="3"/>
      <c r="E16" s="3"/>
      <c r="F16" s="3"/>
      <c r="G16" s="3"/>
      <c r="H16" s="3"/>
      <c r="I16" s="3"/>
      <c r="J16" s="3"/>
      <c r="K16" s="3"/>
      <c r="L16" s="3"/>
    </row>
    <row r="17" spans="1:13">
      <c r="A17" s="3" t="s">
        <v>20</v>
      </c>
      <c r="B17" s="3"/>
      <c r="C17" s="3"/>
      <c r="D17" s="3"/>
      <c r="E17" s="3"/>
      <c r="F17" s="3"/>
      <c r="G17" s="3"/>
      <c r="H17" s="3"/>
      <c r="I17" s="3"/>
      <c r="J17" s="3"/>
      <c r="K17" s="3"/>
      <c r="L17" s="3"/>
    </row>
    <row r="18" spans="1:13">
      <c r="A18" s="3"/>
      <c r="B18" s="3"/>
      <c r="C18" s="3"/>
      <c r="D18" s="3"/>
      <c r="E18" s="3"/>
      <c r="F18" s="3"/>
      <c r="G18" s="3"/>
      <c r="H18" s="3"/>
      <c r="I18" s="3"/>
      <c r="J18" s="3"/>
      <c r="K18" s="3"/>
      <c r="L18" s="3"/>
    </row>
    <row r="19" spans="1:13">
      <c r="A19" s="465" t="s">
        <v>775</v>
      </c>
      <c r="B19" s="3"/>
      <c r="C19" s="3"/>
      <c r="D19" s="3"/>
      <c r="E19" s="3"/>
      <c r="F19" s="3"/>
      <c r="G19" s="3"/>
      <c r="H19" s="3"/>
      <c r="I19" s="3"/>
      <c r="J19" s="3"/>
      <c r="K19" s="3"/>
      <c r="L19" s="3"/>
    </row>
    <row r="20" spans="1:13">
      <c r="A20" s="685" t="s">
        <v>2475</v>
      </c>
      <c r="M20" s="3"/>
    </row>
    <row r="21" spans="1:13">
      <c r="A21" s="685" t="s">
        <v>2476</v>
      </c>
      <c r="M21" s="3"/>
    </row>
    <row r="22" spans="1:13">
      <c r="A22" s="685" t="s">
        <v>2477</v>
      </c>
    </row>
    <row r="23" spans="1:13">
      <c r="A23" s="685" t="s">
        <v>2478</v>
      </c>
    </row>
    <row r="24" spans="1:13">
      <c r="A24" s="685" t="s">
        <v>2479</v>
      </c>
    </row>
    <row r="25" spans="1:13">
      <c r="A25" s="685" t="s">
        <v>2480</v>
      </c>
    </row>
    <row r="27" spans="1:13">
      <c r="A27" s="260" t="s">
        <v>2481</v>
      </c>
      <c r="B27" s="1"/>
      <c r="C27" s="1"/>
      <c r="D27" s="1"/>
      <c r="E27" s="1"/>
      <c r="F27" s="1"/>
      <c r="G27" s="1"/>
      <c r="H27" s="1"/>
      <c r="I27" s="1"/>
      <c r="J27" s="1"/>
      <c r="K27" s="1"/>
      <c r="L27" s="1"/>
    </row>
    <row r="28" spans="1:13">
      <c r="A28" s="1" t="s">
        <v>1719</v>
      </c>
      <c r="B28" s="1"/>
      <c r="C28" s="1"/>
      <c r="D28" s="1"/>
      <c r="E28" s="1"/>
      <c r="F28" s="1"/>
      <c r="G28" s="1"/>
      <c r="H28" s="1"/>
      <c r="I28" s="1"/>
      <c r="J28" s="1"/>
      <c r="K28" s="1"/>
      <c r="L28" s="1"/>
    </row>
    <row r="29" spans="1:13">
      <c r="A29" s="1"/>
      <c r="B29" s="1"/>
      <c r="C29" s="1"/>
      <c r="D29" s="1"/>
      <c r="E29" s="1"/>
      <c r="F29" s="1"/>
      <c r="G29" s="1"/>
      <c r="H29" s="1"/>
      <c r="I29" s="1"/>
      <c r="J29" s="1"/>
      <c r="K29" s="1"/>
      <c r="L29" s="1"/>
    </row>
    <row r="30" spans="1:13">
      <c r="A30" s="1"/>
      <c r="B30" s="373" t="s">
        <v>2482</v>
      </c>
      <c r="C30" s="894" t="s">
        <v>1841</v>
      </c>
      <c r="D30" s="1"/>
      <c r="E30" s="1"/>
      <c r="F30" s="1"/>
      <c r="G30" s="1"/>
      <c r="H30" s="1"/>
      <c r="I30" s="1"/>
      <c r="J30" s="1"/>
      <c r="K30" s="1"/>
      <c r="L30" s="1"/>
    </row>
    <row r="31" spans="1:13">
      <c r="A31" s="1"/>
      <c r="B31" s="187" t="s">
        <v>55</v>
      </c>
      <c r="C31" s="894"/>
      <c r="D31" s="1"/>
      <c r="E31" s="1"/>
      <c r="F31" s="1"/>
      <c r="G31" s="1"/>
      <c r="H31" s="1"/>
      <c r="I31" s="1"/>
      <c r="J31" s="1"/>
      <c r="K31" s="1"/>
      <c r="L31" s="1"/>
    </row>
    <row r="32" spans="1:13">
      <c r="A32" s="1"/>
      <c r="B32" s="25">
        <v>2019</v>
      </c>
      <c r="C32" s="7">
        <v>5331195</v>
      </c>
      <c r="D32" s="1"/>
      <c r="E32" s="1"/>
      <c r="F32" s="1"/>
      <c r="G32" s="1"/>
      <c r="H32" s="1"/>
      <c r="I32" s="1"/>
      <c r="J32" s="1"/>
      <c r="K32" s="1"/>
      <c r="L32" s="1"/>
    </row>
    <row r="33" spans="1:12">
      <c r="A33" s="1"/>
      <c r="B33" s="6">
        <v>2020</v>
      </c>
      <c r="C33" s="7">
        <v>4622596</v>
      </c>
      <c r="D33" s="1"/>
      <c r="E33" s="1"/>
      <c r="F33" s="1"/>
      <c r="G33" s="1"/>
      <c r="H33" s="1"/>
      <c r="I33" s="1"/>
      <c r="J33" s="1"/>
      <c r="K33" s="1"/>
      <c r="L33" s="1"/>
    </row>
    <row r="34" spans="1:12">
      <c r="A34" s="1"/>
      <c r="B34" s="6">
        <v>2021</v>
      </c>
      <c r="C34" s="7">
        <v>5116924</v>
      </c>
      <c r="D34" s="1"/>
      <c r="E34" s="1"/>
      <c r="F34" s="1"/>
      <c r="G34" s="1"/>
      <c r="H34" s="1"/>
      <c r="I34" s="1"/>
      <c r="J34" s="1"/>
      <c r="K34" s="1"/>
      <c r="L34" s="1"/>
    </row>
    <row r="35" spans="1:12">
      <c r="A35" s="1"/>
      <c r="B35" s="6">
        <v>2022</v>
      </c>
      <c r="C35" s="7">
        <v>5524846</v>
      </c>
      <c r="D35" s="1"/>
      <c r="E35" s="1"/>
      <c r="F35" s="1"/>
      <c r="G35" s="1"/>
      <c r="H35" s="1"/>
      <c r="I35" s="1"/>
      <c r="J35" s="1"/>
      <c r="K35" s="1"/>
      <c r="L35" s="1"/>
    </row>
    <row r="36" spans="1:12">
      <c r="A36" s="1"/>
      <c r="B36" s="6">
        <v>2023</v>
      </c>
      <c r="C36" s="7">
        <v>6060412</v>
      </c>
      <c r="D36" s="1"/>
      <c r="E36" s="1"/>
      <c r="F36" s="1"/>
      <c r="G36" s="1"/>
      <c r="H36" s="1"/>
      <c r="I36" s="1"/>
      <c r="J36" s="1"/>
      <c r="K36" s="1"/>
      <c r="L36" s="1"/>
    </row>
    <row r="37" spans="1:12">
      <c r="A37" s="1"/>
      <c r="B37" s="1"/>
      <c r="C37" s="1"/>
      <c r="D37" s="1"/>
      <c r="E37" s="1"/>
      <c r="F37" s="1"/>
      <c r="G37" s="1"/>
      <c r="H37" s="1"/>
      <c r="I37" s="1"/>
      <c r="J37" s="1"/>
      <c r="K37" s="1"/>
      <c r="L37" s="1"/>
    </row>
    <row r="38" spans="1:12" ht="46.8">
      <c r="A38" s="1"/>
      <c r="B38" s="5" t="s">
        <v>2483</v>
      </c>
      <c r="C38" s="5" t="s">
        <v>2484</v>
      </c>
      <c r="D38" s="1"/>
      <c r="E38" s="1"/>
      <c r="F38" s="1"/>
      <c r="G38" s="1"/>
      <c r="H38" s="1"/>
      <c r="I38" s="1"/>
      <c r="J38" s="1"/>
      <c r="K38" s="1"/>
      <c r="L38" s="1"/>
    </row>
    <row r="39" spans="1:12">
      <c r="A39" s="1"/>
      <c r="B39" s="6">
        <v>12</v>
      </c>
      <c r="C39" s="113">
        <v>3.5049999999999999</v>
      </c>
      <c r="D39" s="1"/>
      <c r="E39" s="1"/>
      <c r="F39" s="1"/>
      <c r="G39" s="1"/>
      <c r="H39" s="1"/>
      <c r="I39" s="1"/>
      <c r="J39" s="1"/>
      <c r="K39" s="1"/>
      <c r="L39" s="1"/>
    </row>
    <row r="40" spans="1:12">
      <c r="A40" s="1"/>
      <c r="B40" s="6">
        <v>24</v>
      </c>
      <c r="C40" s="113">
        <v>2.02</v>
      </c>
      <c r="D40" s="1"/>
      <c r="E40" s="1"/>
      <c r="F40" s="1"/>
      <c r="G40" s="1"/>
      <c r="H40" s="1"/>
      <c r="I40" s="1"/>
      <c r="J40" s="1"/>
      <c r="K40" s="1"/>
      <c r="L40" s="1"/>
    </row>
    <row r="41" spans="1:12">
      <c r="A41" s="1"/>
      <c r="B41" s="6">
        <v>36</v>
      </c>
      <c r="C41" s="113">
        <v>1.7649999999999999</v>
      </c>
      <c r="D41" s="1"/>
      <c r="E41" s="1"/>
      <c r="F41" s="1"/>
      <c r="G41" s="1"/>
      <c r="H41" s="1"/>
      <c r="I41" s="1"/>
      <c r="J41" s="1"/>
      <c r="K41" s="1"/>
      <c r="L41" s="1"/>
    </row>
    <row r="42" spans="1:12">
      <c r="A42" s="1"/>
      <c r="B42" s="6">
        <v>48</v>
      </c>
      <c r="C42" s="113">
        <v>1.42</v>
      </c>
      <c r="D42" s="1"/>
      <c r="E42" s="1"/>
      <c r="F42" s="1"/>
      <c r="G42" s="1"/>
      <c r="H42" s="1"/>
      <c r="I42" s="1"/>
      <c r="J42" s="1"/>
      <c r="K42" s="1"/>
      <c r="L42" s="1"/>
    </row>
    <row r="43" spans="1:12">
      <c r="A43" s="1"/>
      <c r="B43" s="6">
        <v>60</v>
      </c>
      <c r="C43" s="113">
        <v>1.165</v>
      </c>
      <c r="D43" s="1"/>
      <c r="E43" s="1"/>
      <c r="F43" s="1"/>
      <c r="G43" s="1"/>
      <c r="H43" s="1"/>
      <c r="I43" s="1"/>
      <c r="J43" s="1"/>
      <c r="K43" s="1"/>
      <c r="L43" s="1"/>
    </row>
    <row r="44" spans="1:12">
      <c r="A44" s="1"/>
      <c r="B44" s="1"/>
      <c r="C44" s="1"/>
      <c r="D44" s="1"/>
      <c r="E44" s="1"/>
      <c r="F44" s="1"/>
      <c r="G44" s="1"/>
      <c r="H44" s="1"/>
      <c r="I44" s="1"/>
      <c r="J44" s="1"/>
      <c r="K44" s="1"/>
      <c r="L44" s="1"/>
    </row>
    <row r="45" spans="1:12">
      <c r="A45" s="1"/>
      <c r="B45" s="23" t="s">
        <v>1170</v>
      </c>
      <c r="C45" s="894" t="s">
        <v>5</v>
      </c>
      <c r="D45" s="828" t="s">
        <v>1187</v>
      </c>
      <c r="E45" s="1"/>
      <c r="F45" s="1"/>
      <c r="G45" s="1"/>
      <c r="H45" s="1"/>
      <c r="I45" s="1"/>
      <c r="J45" s="1"/>
      <c r="K45" s="1"/>
      <c r="L45" s="1"/>
    </row>
    <row r="46" spans="1:12">
      <c r="A46" s="1"/>
      <c r="B46" s="24" t="s">
        <v>55</v>
      </c>
      <c r="C46" s="894"/>
      <c r="D46" s="828"/>
      <c r="E46" s="1"/>
      <c r="F46" s="1"/>
      <c r="G46" s="1"/>
      <c r="H46" s="1"/>
      <c r="I46" s="1"/>
      <c r="J46" s="1"/>
      <c r="K46" s="1"/>
      <c r="L46" s="1"/>
    </row>
    <row r="47" spans="1:12">
      <c r="A47" s="1"/>
      <c r="B47" s="25">
        <v>2019</v>
      </c>
      <c r="C47" s="7">
        <v>278480</v>
      </c>
      <c r="D47" s="7">
        <v>991462</v>
      </c>
      <c r="E47" s="1"/>
      <c r="F47" s="1"/>
      <c r="G47" s="1"/>
      <c r="H47" s="1"/>
      <c r="I47" s="1"/>
      <c r="J47" s="1"/>
      <c r="K47" s="1"/>
      <c r="L47" s="1"/>
    </row>
    <row r="48" spans="1:12">
      <c r="A48" s="1"/>
      <c r="B48" s="6">
        <v>2020</v>
      </c>
      <c r="C48" s="7">
        <v>323800</v>
      </c>
      <c r="D48" s="7">
        <v>1170742</v>
      </c>
      <c r="E48" s="1"/>
      <c r="F48" s="1"/>
      <c r="G48" s="1"/>
      <c r="H48" s="1"/>
      <c r="I48" s="1"/>
      <c r="J48" s="1"/>
      <c r="K48" s="1"/>
      <c r="L48" s="1"/>
    </row>
    <row r="49" spans="1:12">
      <c r="A49" s="1"/>
      <c r="B49" s="6">
        <v>2021</v>
      </c>
      <c r="C49" s="7">
        <v>369200</v>
      </c>
      <c r="D49" s="7">
        <v>1573118</v>
      </c>
      <c r="E49" s="1"/>
      <c r="F49" s="1"/>
      <c r="G49" s="1"/>
      <c r="H49" s="1"/>
      <c r="I49" s="1"/>
      <c r="J49" s="1"/>
      <c r="K49" s="1"/>
      <c r="L49" s="1"/>
    </row>
    <row r="50" spans="1:12">
      <c r="A50" s="1"/>
      <c r="B50" s="6">
        <v>2022</v>
      </c>
      <c r="C50" s="7">
        <v>448080</v>
      </c>
      <c r="D50" s="7">
        <v>2346706</v>
      </c>
      <c r="E50" s="1"/>
      <c r="F50" s="1"/>
      <c r="G50" s="1"/>
      <c r="H50" s="1"/>
      <c r="I50" s="1"/>
      <c r="J50" s="1"/>
      <c r="K50" s="1"/>
      <c r="L50" s="1"/>
    </row>
    <row r="51" spans="1:12">
      <c r="A51" s="1"/>
      <c r="B51" s="6">
        <v>2023</v>
      </c>
      <c r="C51" s="7">
        <v>675994</v>
      </c>
      <c r="D51" s="7">
        <v>3297712</v>
      </c>
      <c r="E51" s="1"/>
      <c r="F51" s="1"/>
      <c r="G51" s="1"/>
      <c r="H51" s="1"/>
      <c r="I51" s="1"/>
      <c r="J51" s="1"/>
      <c r="K51" s="1"/>
      <c r="L51" s="1"/>
    </row>
    <row r="53" spans="1:12">
      <c r="A53" s="17" t="s">
        <v>18</v>
      </c>
      <c r="B53" s="1" t="s">
        <v>2485</v>
      </c>
      <c r="C53" s="1"/>
      <c r="D53" s="1"/>
      <c r="E53" s="1"/>
      <c r="F53" s="1"/>
      <c r="G53" s="1"/>
      <c r="H53" s="1"/>
      <c r="I53" s="1"/>
      <c r="J53" s="1"/>
      <c r="K53" s="1"/>
      <c r="L53" s="1"/>
    </row>
    <row r="54" spans="1:12">
      <c r="A54" s="3"/>
      <c r="B54" s="3"/>
      <c r="C54" s="3"/>
      <c r="D54" s="3"/>
      <c r="E54" s="3"/>
      <c r="F54" s="3"/>
      <c r="G54" s="3"/>
      <c r="H54" s="3"/>
      <c r="I54" s="3"/>
      <c r="J54" s="3"/>
      <c r="K54" s="3"/>
      <c r="L54" s="3"/>
    </row>
    <row r="55" spans="1:12">
      <c r="A55" s="3" t="s">
        <v>20</v>
      </c>
      <c r="B55" s="3"/>
      <c r="C55" s="3"/>
      <c r="D55" s="3"/>
      <c r="E55" s="3"/>
      <c r="F55" s="3"/>
      <c r="G55" s="3"/>
      <c r="H55" s="3"/>
      <c r="I55" s="3"/>
      <c r="J55" s="3"/>
      <c r="K55" s="3"/>
      <c r="L55" s="3"/>
    </row>
    <row r="56" spans="1:12">
      <c r="A56" s="3"/>
      <c r="B56" s="3"/>
      <c r="C56" s="3"/>
      <c r="D56" s="3"/>
      <c r="E56" s="3"/>
      <c r="F56" s="3"/>
      <c r="G56" s="3"/>
      <c r="H56" s="3"/>
      <c r="I56" s="3"/>
      <c r="J56" s="3"/>
      <c r="K56" s="3"/>
      <c r="L56" s="3"/>
    </row>
    <row r="57" spans="1:12">
      <c r="A57" s="3"/>
      <c r="B57" s="3"/>
      <c r="C57" s="553" t="s">
        <v>2483</v>
      </c>
      <c r="D57" s="553"/>
      <c r="E57" s="553"/>
      <c r="F57" s="553"/>
      <c r="G57" s="553"/>
      <c r="H57" s="3"/>
      <c r="I57" s="3"/>
      <c r="J57" s="3"/>
      <c r="K57" s="3"/>
      <c r="L57" s="3"/>
    </row>
    <row r="58" spans="1:12">
      <c r="A58" s="3"/>
      <c r="B58" s="3"/>
      <c r="C58" s="365">
        <v>12</v>
      </c>
      <c r="D58" s="365">
        <f>C58+12</f>
        <v>24</v>
      </c>
      <c r="E58" s="365">
        <f t="shared" ref="E58:G58" si="0">D58+12</f>
        <v>36</v>
      </c>
      <c r="F58" s="365">
        <f t="shared" si="0"/>
        <v>48</v>
      </c>
      <c r="G58" s="365">
        <f t="shared" si="0"/>
        <v>60</v>
      </c>
      <c r="H58" s="3"/>
      <c r="I58" s="3"/>
      <c r="J58" s="3"/>
      <c r="K58" s="3"/>
      <c r="L58" s="3"/>
    </row>
    <row r="59" spans="1:12">
      <c r="A59" s="3" t="s">
        <v>2486</v>
      </c>
      <c r="B59" s="3"/>
      <c r="C59" s="332">
        <f>C39</f>
        <v>3.5049999999999999</v>
      </c>
      <c r="D59" s="332">
        <f>C40</f>
        <v>2.02</v>
      </c>
      <c r="E59" s="332">
        <f>C41</f>
        <v>1.7649999999999999</v>
      </c>
      <c r="F59" s="332">
        <f>C42</f>
        <v>1.42</v>
      </c>
      <c r="G59" s="332">
        <f>C43</f>
        <v>1.165</v>
      </c>
      <c r="H59" s="3"/>
      <c r="I59" s="3"/>
      <c r="J59" s="3"/>
      <c r="K59" s="3"/>
      <c r="L59" s="3"/>
    </row>
    <row r="60" spans="1:12">
      <c r="A60" s="3" t="s">
        <v>2487</v>
      </c>
      <c r="B60" s="3"/>
      <c r="C60" s="136">
        <f>1/C59</f>
        <v>0.28530670470756064</v>
      </c>
      <c r="D60" s="136">
        <f t="shared" ref="D60:G60" si="1">1/D59</f>
        <v>0.49504950495049505</v>
      </c>
      <c r="E60" s="136">
        <f t="shared" si="1"/>
        <v>0.56657223796033995</v>
      </c>
      <c r="F60" s="136">
        <f t="shared" si="1"/>
        <v>0.70422535211267612</v>
      </c>
      <c r="G60" s="136">
        <f t="shared" si="1"/>
        <v>0.85836909871244638</v>
      </c>
      <c r="H60" s="3"/>
      <c r="I60" s="3"/>
      <c r="J60" s="3"/>
      <c r="K60" s="3"/>
      <c r="L60" s="3"/>
    </row>
    <row r="61" spans="1:12">
      <c r="A61" s="3" t="s">
        <v>2488</v>
      </c>
      <c r="B61" s="3"/>
      <c r="C61" s="125">
        <f>C60</f>
        <v>0.28530670470756064</v>
      </c>
      <c r="D61" s="125">
        <f>D60-C60</f>
        <v>0.2097428002429344</v>
      </c>
      <c r="E61" s="125">
        <f t="shared" ref="E61:G61" si="2">E60-D60</f>
        <v>7.1522733009844908E-2</v>
      </c>
      <c r="F61" s="125">
        <f t="shared" si="2"/>
        <v>0.13765311415233616</v>
      </c>
      <c r="G61" s="125">
        <f t="shared" si="2"/>
        <v>0.15414374659977026</v>
      </c>
      <c r="H61" s="3"/>
      <c r="I61" s="3"/>
      <c r="J61" s="3"/>
      <c r="K61" s="3"/>
      <c r="L61" s="3"/>
    </row>
    <row r="62" spans="1:12">
      <c r="A62" s="3"/>
      <c r="B62" s="3"/>
      <c r="C62" s="332"/>
      <c r="D62" s="332"/>
      <c r="E62" s="332"/>
      <c r="F62" s="332"/>
      <c r="G62" s="332"/>
      <c r="H62" s="3"/>
      <c r="I62" s="3"/>
      <c r="J62" s="3"/>
      <c r="K62" s="3"/>
      <c r="L62" s="3"/>
    </row>
    <row r="63" spans="1:12">
      <c r="A63" s="3"/>
      <c r="B63" s="94" t="s">
        <v>797</v>
      </c>
      <c r="C63" s="136"/>
      <c r="D63" s="136"/>
      <c r="E63" s="136"/>
      <c r="F63" s="136"/>
      <c r="G63" s="136"/>
      <c r="H63" s="3"/>
      <c r="I63" s="3"/>
      <c r="J63" s="3"/>
      <c r="K63" s="3"/>
      <c r="L63" s="3"/>
    </row>
    <row r="64" spans="1:12">
      <c r="A64" s="94" t="s">
        <v>53</v>
      </c>
      <c r="B64" s="94" t="s">
        <v>276</v>
      </c>
      <c r="C64" s="553" t="s">
        <v>540</v>
      </c>
      <c r="D64" s="553"/>
      <c r="E64" s="553"/>
      <c r="F64" s="553"/>
      <c r="G64" s="553"/>
      <c r="H64" s="3"/>
      <c r="I64" s="3"/>
      <c r="J64" s="3"/>
      <c r="K64" s="3"/>
      <c r="L64" s="3"/>
    </row>
    <row r="65" spans="1:12">
      <c r="A65" s="711" t="s">
        <v>55</v>
      </c>
      <c r="B65" s="107" t="s">
        <v>124</v>
      </c>
      <c r="C65" s="107">
        <f>A67</f>
        <v>2019</v>
      </c>
      <c r="D65" s="107">
        <f t="shared" ref="D65:G65" si="3">C65+1</f>
        <v>2020</v>
      </c>
      <c r="E65" s="107">
        <f t="shared" si="3"/>
        <v>2021</v>
      </c>
      <c r="F65" s="107">
        <f t="shared" si="3"/>
        <v>2022</v>
      </c>
      <c r="G65" s="107">
        <f t="shared" si="3"/>
        <v>2023</v>
      </c>
      <c r="H65" s="3"/>
      <c r="I65" s="3"/>
      <c r="J65" s="3"/>
      <c r="K65" s="3"/>
      <c r="L65" s="3"/>
    </row>
    <row r="66" spans="1:12">
      <c r="A66" s="712" t="s">
        <v>1188</v>
      </c>
      <c r="B66" s="94"/>
      <c r="C66" s="94"/>
      <c r="D66" s="94"/>
      <c r="E66" s="94"/>
      <c r="F66" s="94"/>
      <c r="G66" s="94"/>
      <c r="H66" s="3"/>
      <c r="I66" s="3"/>
      <c r="J66" s="3"/>
      <c r="K66" s="3"/>
      <c r="L66" s="3"/>
    </row>
    <row r="67" spans="1:12">
      <c r="A67" s="713">
        <f t="shared" ref="A67:A69" si="4">A68-1</f>
        <v>2019</v>
      </c>
      <c r="B67" s="106">
        <f>C32</f>
        <v>5331195</v>
      </c>
      <c r="C67" s="106">
        <f>$B67*C61</f>
        <v>1521025.6776034238</v>
      </c>
      <c r="D67" s="106">
        <f>$B67*D61</f>
        <v>1118179.7679411306</v>
      </c>
      <c r="E67" s="106">
        <f>$B67*E61</f>
        <v>381301.63660842011</v>
      </c>
      <c r="F67" s="106">
        <f>$B67*F61</f>
        <v>733855.5939033638</v>
      </c>
      <c r="G67" s="106">
        <f>$B67*G61</f>
        <v>821770.37115396222</v>
      </c>
      <c r="H67" s="3"/>
      <c r="I67" s="3"/>
      <c r="J67" s="3"/>
      <c r="K67" s="3"/>
      <c r="L67" s="3"/>
    </row>
    <row r="68" spans="1:12">
      <c r="A68" s="713">
        <f t="shared" si="4"/>
        <v>2020</v>
      </c>
      <c r="B68" s="106">
        <f t="shared" ref="B68:B71" si="5">C33</f>
        <v>4622596</v>
      </c>
      <c r="C68" s="106"/>
      <c r="D68" s="106">
        <f>$B68*C61</f>
        <v>1318857.631954351</v>
      </c>
      <c r="E68" s="106">
        <f>$B68*D61</f>
        <v>969556.22943178762</v>
      </c>
      <c r="F68" s="106">
        <f>$B68*E61</f>
        <v>330620.69952037703</v>
      </c>
      <c r="G68" s="106">
        <f>$B68*F61</f>
        <v>636314.73486813251</v>
      </c>
      <c r="H68" s="3"/>
      <c r="I68" s="3"/>
      <c r="J68" s="3"/>
      <c r="K68" s="3"/>
      <c r="L68" s="3"/>
    </row>
    <row r="69" spans="1:12">
      <c r="A69" s="713">
        <f t="shared" si="4"/>
        <v>2021</v>
      </c>
      <c r="B69" s="106">
        <f t="shared" si="5"/>
        <v>5116924</v>
      </c>
      <c r="C69" s="106"/>
      <c r="D69" s="106"/>
      <c r="E69" s="106">
        <f>$B69*C61</f>
        <v>1459892.72467903</v>
      </c>
      <c r="F69" s="106">
        <f>$B69*D61</f>
        <v>1073237.9683902769</v>
      </c>
      <c r="G69" s="106">
        <f>$B69*E61</f>
        <v>365976.38908366766</v>
      </c>
      <c r="H69" s="3"/>
      <c r="I69" s="3"/>
      <c r="J69" s="3"/>
      <c r="K69" s="3"/>
      <c r="L69" s="3"/>
    </row>
    <row r="70" spans="1:12">
      <c r="A70" s="713">
        <f>A71-1</f>
        <v>2022</v>
      </c>
      <c r="B70" s="106">
        <f t="shared" si="5"/>
        <v>5524846</v>
      </c>
      <c r="C70" s="106"/>
      <c r="D70" s="106"/>
      <c r="E70" s="106"/>
      <c r="F70" s="106">
        <f>$B70*C61</f>
        <v>1576275.6062767475</v>
      </c>
      <c r="G70" s="106">
        <f>$B70*D61</f>
        <v>1158796.6709509753</v>
      </c>
      <c r="H70" s="3"/>
      <c r="I70" s="3"/>
      <c r="J70" s="3"/>
      <c r="K70" s="3"/>
      <c r="L70" s="3"/>
    </row>
    <row r="71" spans="1:12">
      <c r="A71" s="711">
        <v>2023</v>
      </c>
      <c r="B71" s="110">
        <f t="shared" si="5"/>
        <v>6060412</v>
      </c>
      <c r="C71" s="110"/>
      <c r="D71" s="110"/>
      <c r="E71" s="110"/>
      <c r="F71" s="110"/>
      <c r="G71" s="110">
        <f>B71*C61</f>
        <v>1729076.1768901569</v>
      </c>
      <c r="H71" s="3"/>
      <c r="I71" s="3"/>
      <c r="J71" s="3"/>
      <c r="K71" s="3"/>
      <c r="L71" s="3"/>
    </row>
    <row r="72" spans="1:12">
      <c r="A72" s="94" t="s">
        <v>132</v>
      </c>
      <c r="B72" s="106">
        <f t="shared" ref="B72:G72" si="6">SUM(B67:B71)</f>
        <v>26655973</v>
      </c>
      <c r="C72" s="106">
        <f t="shared" si="6"/>
        <v>1521025.6776034238</v>
      </c>
      <c r="D72" s="106">
        <f t="shared" si="6"/>
        <v>2437037.3998954818</v>
      </c>
      <c r="E72" s="106">
        <f t="shared" si="6"/>
        <v>2810750.5907192379</v>
      </c>
      <c r="F72" s="106">
        <f t="shared" si="6"/>
        <v>3713989.8680907656</v>
      </c>
      <c r="G72" s="106">
        <f t="shared" si="6"/>
        <v>4711934.3429468945</v>
      </c>
      <c r="H72" s="3"/>
      <c r="I72" s="3"/>
      <c r="J72" s="3"/>
      <c r="K72" s="3"/>
      <c r="L72" s="3"/>
    </row>
    <row r="73" spans="1:12">
      <c r="A73" s="3"/>
      <c r="B73" s="3"/>
      <c r="C73" s="3"/>
      <c r="D73" s="3"/>
      <c r="E73" s="3"/>
      <c r="F73" s="3"/>
      <c r="G73" s="3"/>
      <c r="H73" s="3"/>
      <c r="I73" s="3"/>
      <c r="J73" s="3"/>
      <c r="K73" s="3"/>
      <c r="L73" s="3"/>
    </row>
    <row r="74" spans="1:12">
      <c r="A74" s="465" t="s">
        <v>2489</v>
      </c>
      <c r="B74" s="3"/>
      <c r="C74" s="3"/>
      <c r="D74" s="3"/>
      <c r="E74" s="3"/>
      <c r="F74" s="3"/>
      <c r="G74" s="3"/>
      <c r="H74" s="3"/>
      <c r="I74" s="3"/>
      <c r="J74" s="3"/>
      <c r="K74" s="3"/>
      <c r="L74" s="3"/>
    </row>
    <row r="75" spans="1:12" ht="31.2">
      <c r="A75" s="3"/>
      <c r="B75" s="3"/>
      <c r="C75" s="3"/>
      <c r="D75" s="3"/>
      <c r="E75" s="691" t="s">
        <v>542</v>
      </c>
      <c r="G75" s="3"/>
      <c r="H75" s="3"/>
      <c r="I75" s="3"/>
      <c r="J75" s="3"/>
      <c r="K75" s="3"/>
      <c r="L75" s="3"/>
    </row>
    <row r="76" spans="1:12">
      <c r="A76" s="94" t="s">
        <v>1170</v>
      </c>
      <c r="B76" s="94" t="s">
        <v>66</v>
      </c>
      <c r="C76" s="521" t="s">
        <v>138</v>
      </c>
      <c r="D76" s="102"/>
      <c r="E76" s="94" t="s">
        <v>1859</v>
      </c>
      <c r="G76" s="3"/>
      <c r="H76" s="3"/>
      <c r="I76" s="3"/>
      <c r="J76" s="3"/>
      <c r="K76" s="3"/>
      <c r="L76" s="3"/>
    </row>
    <row r="77" spans="1:12">
      <c r="A77" s="107" t="s">
        <v>55</v>
      </c>
      <c r="B77" s="107" t="s">
        <v>1172</v>
      </c>
      <c r="C77" s="107" t="s">
        <v>66</v>
      </c>
      <c r="D77" s="107" t="s">
        <v>65</v>
      </c>
      <c r="E77" s="107" t="s">
        <v>2490</v>
      </c>
      <c r="G77" s="3"/>
      <c r="H77" s="3"/>
      <c r="I77" s="3"/>
      <c r="J77" s="3"/>
      <c r="K77" s="3"/>
      <c r="L77" s="3"/>
    </row>
    <row r="78" spans="1:12">
      <c r="A78" s="713">
        <f t="shared" ref="A78:A80" si="7">A79-1</f>
        <v>2019</v>
      </c>
      <c r="B78" s="599">
        <v>278480</v>
      </c>
      <c r="C78" s="106">
        <f>D47</f>
        <v>991462</v>
      </c>
      <c r="D78" s="106">
        <f>C72</f>
        <v>1521025.6776034238</v>
      </c>
      <c r="E78" s="136">
        <f t="shared" ref="E78:E83" si="8">B78/AVERAGE(C78:D78)</f>
        <v>0.22167670908987908</v>
      </c>
      <c r="G78" s="3"/>
      <c r="H78" s="3"/>
      <c r="I78" s="3"/>
      <c r="J78" s="3"/>
      <c r="K78" s="3"/>
      <c r="L78" s="3"/>
    </row>
    <row r="79" spans="1:12">
      <c r="A79" s="713">
        <f t="shared" si="7"/>
        <v>2020</v>
      </c>
      <c r="B79" s="599">
        <v>323800</v>
      </c>
      <c r="C79" s="106">
        <f t="shared" ref="C79:C82" si="9">D48</f>
        <v>1170742</v>
      </c>
      <c r="D79" s="106">
        <f>D72</f>
        <v>2437037.3998954818</v>
      </c>
      <c r="E79" s="136">
        <f t="shared" si="8"/>
        <v>0.17950099721140408</v>
      </c>
      <c r="G79" s="3"/>
      <c r="H79" s="3"/>
      <c r="I79" s="3"/>
      <c r="J79" s="3"/>
      <c r="K79" s="3"/>
      <c r="L79" s="3"/>
    </row>
    <row r="80" spans="1:12">
      <c r="A80" s="713">
        <f t="shared" si="7"/>
        <v>2021</v>
      </c>
      <c r="B80" s="599">
        <v>369200</v>
      </c>
      <c r="C80" s="106">
        <f t="shared" si="9"/>
        <v>1573118</v>
      </c>
      <c r="D80" s="106">
        <f>E72</f>
        <v>2810750.5907192379</v>
      </c>
      <c r="E80" s="136">
        <f t="shared" si="8"/>
        <v>0.16843570575158473</v>
      </c>
      <c r="G80" s="3"/>
      <c r="H80" s="3"/>
      <c r="I80" s="3"/>
      <c r="J80" s="3"/>
      <c r="K80" s="3"/>
      <c r="L80" s="3"/>
    </row>
    <row r="81" spans="1:12">
      <c r="A81" s="713">
        <f>A82-1</f>
        <v>2022</v>
      </c>
      <c r="B81" s="599">
        <v>448080</v>
      </c>
      <c r="C81" s="106">
        <f t="shared" si="9"/>
        <v>2346706</v>
      </c>
      <c r="D81" s="106">
        <f>F72</f>
        <v>3713989.8680907656</v>
      </c>
      <c r="E81" s="136">
        <f t="shared" si="8"/>
        <v>0.14786420891340774</v>
      </c>
      <c r="G81" s="3"/>
      <c r="H81" s="3"/>
      <c r="I81" s="3"/>
      <c r="J81" s="3"/>
      <c r="K81" s="3"/>
      <c r="L81" s="3"/>
    </row>
    <row r="82" spans="1:12">
      <c r="A82" s="711">
        <f>A71</f>
        <v>2023</v>
      </c>
      <c r="B82" s="600">
        <v>675994</v>
      </c>
      <c r="C82" s="110">
        <f t="shared" si="9"/>
        <v>3297712</v>
      </c>
      <c r="D82" s="110">
        <f>G72</f>
        <v>4711934.3429468945</v>
      </c>
      <c r="E82" s="140">
        <f t="shared" si="8"/>
        <v>0.16879496823109158</v>
      </c>
      <c r="G82" s="3"/>
      <c r="H82" s="3"/>
      <c r="I82" s="3"/>
      <c r="J82" s="3"/>
      <c r="K82" s="3"/>
      <c r="L82" s="3"/>
    </row>
    <row r="83" spans="1:12">
      <c r="A83" s="94" t="s">
        <v>132</v>
      </c>
      <c r="B83" s="106">
        <f>SUM(B79:B82)</f>
        <v>1817074</v>
      </c>
      <c r="C83" s="106">
        <f>SUM(C79:C82)</f>
        <v>8388278</v>
      </c>
      <c r="D83" s="106">
        <f>SUM(D79:D82)</f>
        <v>13673712.20165238</v>
      </c>
      <c r="E83" s="136">
        <f t="shared" si="8"/>
        <v>0.16472439552293033</v>
      </c>
      <c r="G83" s="3"/>
      <c r="H83" s="3"/>
      <c r="I83" s="3"/>
      <c r="J83" s="3"/>
      <c r="K83" s="3"/>
      <c r="L83" s="3"/>
    </row>
    <row r="85" spans="1:12">
      <c r="A85" s="17" t="s">
        <v>25</v>
      </c>
      <c r="B85" s="1" t="s">
        <v>1861</v>
      </c>
      <c r="C85" s="1"/>
      <c r="D85" s="1"/>
      <c r="E85" s="1"/>
      <c r="F85" s="1"/>
      <c r="G85" s="1"/>
      <c r="H85" s="1"/>
      <c r="I85" s="1"/>
      <c r="J85" s="1"/>
      <c r="K85" s="1"/>
      <c r="L85" s="1"/>
    </row>
    <row r="86" spans="1:12">
      <c r="A86" s="3"/>
      <c r="B86" s="3"/>
      <c r="C86" s="3"/>
      <c r="D86" s="3"/>
      <c r="E86" s="3"/>
      <c r="F86" s="3"/>
      <c r="G86" s="3"/>
      <c r="H86" s="3"/>
      <c r="I86" s="3"/>
      <c r="J86" s="3"/>
      <c r="K86" s="3"/>
      <c r="L86" s="3"/>
    </row>
    <row r="87" spans="1:12">
      <c r="A87" s="3" t="s">
        <v>20</v>
      </c>
      <c r="B87" s="3"/>
      <c r="C87" s="3"/>
      <c r="D87" s="3"/>
      <c r="E87" s="3"/>
      <c r="F87" s="3"/>
      <c r="G87" s="3"/>
      <c r="H87" s="3"/>
      <c r="I87" s="3"/>
      <c r="J87" s="3"/>
      <c r="K87" s="3"/>
      <c r="L87" s="3"/>
    </row>
    <row r="88" spans="1:12">
      <c r="A88" s="3"/>
      <c r="B88" s="3"/>
      <c r="C88" s="3"/>
      <c r="D88" s="3"/>
      <c r="E88" s="3"/>
      <c r="F88" s="3"/>
      <c r="G88" s="3"/>
      <c r="H88" s="3"/>
      <c r="I88" s="3"/>
      <c r="J88" s="3"/>
      <c r="K88" s="3"/>
      <c r="L88" s="3"/>
    </row>
    <row r="89" spans="1:12">
      <c r="A89" s="3" t="s">
        <v>2491</v>
      </c>
      <c r="B89" s="3"/>
      <c r="C89" s="3"/>
      <c r="D89" s="3"/>
      <c r="E89" s="3"/>
      <c r="F89" s="3"/>
      <c r="G89" s="3"/>
      <c r="H89" s="3"/>
      <c r="I89" s="3"/>
      <c r="J89" s="3"/>
      <c r="K89" s="3"/>
      <c r="L89" s="3"/>
    </row>
    <row r="91" spans="1:12">
      <c r="A91" s="260" t="s">
        <v>1863</v>
      </c>
      <c r="B91" s="1"/>
      <c r="C91" s="1"/>
      <c r="D91" s="1"/>
      <c r="E91" s="1"/>
      <c r="F91" s="1"/>
      <c r="G91" s="1"/>
      <c r="H91" s="1"/>
      <c r="I91" s="1"/>
      <c r="J91" s="1"/>
      <c r="K91" s="1"/>
      <c r="L91" s="1"/>
    </row>
    <row r="92" spans="1:12">
      <c r="A92" s="1"/>
      <c r="B92" s="1"/>
      <c r="C92" s="1"/>
      <c r="D92" s="1"/>
      <c r="E92" s="1"/>
      <c r="F92" s="1"/>
      <c r="G92" s="1"/>
      <c r="H92" s="1"/>
      <c r="I92" s="1"/>
      <c r="J92" s="1"/>
      <c r="K92" s="1"/>
      <c r="L92" s="1"/>
    </row>
    <row r="93" spans="1:12">
      <c r="A93" s="1"/>
      <c r="B93" s="519" t="s">
        <v>2492</v>
      </c>
      <c r="C93" s="1"/>
      <c r="D93" s="1"/>
      <c r="E93" s="1"/>
      <c r="F93" s="1"/>
      <c r="G93" s="1"/>
      <c r="H93" s="1"/>
      <c r="I93" s="1"/>
      <c r="J93" s="1"/>
      <c r="K93" s="1"/>
      <c r="L93" s="1"/>
    </row>
    <row r="94" spans="1:12">
      <c r="A94" s="1"/>
      <c r="B94" s="519" t="s">
        <v>2493</v>
      </c>
      <c r="C94" s="1"/>
      <c r="D94" s="1"/>
      <c r="E94" s="231">
        <v>5750000</v>
      </c>
      <c r="F94" s="1"/>
      <c r="G94" s="1"/>
      <c r="H94" s="1"/>
      <c r="I94" s="1"/>
      <c r="J94" s="1"/>
      <c r="K94" s="1"/>
      <c r="L94" s="1"/>
    </row>
    <row r="95" spans="1:12">
      <c r="A95" s="1"/>
      <c r="B95" s="519" t="s">
        <v>2494</v>
      </c>
      <c r="C95" s="1"/>
      <c r="D95" s="1"/>
      <c r="E95" s="231">
        <v>3250000</v>
      </c>
      <c r="F95" s="1"/>
      <c r="G95" s="1"/>
      <c r="H95" s="1"/>
      <c r="I95" s="1"/>
      <c r="J95" s="1"/>
      <c r="K95" s="1"/>
      <c r="L95" s="1"/>
    </row>
    <row r="97" spans="1:12">
      <c r="A97" s="17" t="s">
        <v>147</v>
      </c>
      <c r="B97" s="1" t="s">
        <v>2495</v>
      </c>
      <c r="C97" s="1"/>
      <c r="D97" s="1"/>
      <c r="E97" s="1"/>
      <c r="F97" s="1"/>
      <c r="G97" s="1"/>
      <c r="H97" s="1"/>
      <c r="I97" s="1"/>
      <c r="J97" s="1"/>
      <c r="K97" s="1"/>
      <c r="L97" s="1"/>
    </row>
    <row r="98" spans="1:12">
      <c r="A98" s="3"/>
      <c r="B98" s="3"/>
      <c r="C98" s="3"/>
      <c r="D98" s="3"/>
      <c r="E98" s="3"/>
      <c r="F98" s="3"/>
      <c r="G98" s="3"/>
      <c r="H98" s="3"/>
      <c r="I98" s="3"/>
      <c r="J98" s="3"/>
      <c r="K98" s="3"/>
      <c r="L98" s="3"/>
    </row>
    <row r="99" spans="1:12">
      <c r="A99" s="3" t="s">
        <v>20</v>
      </c>
      <c r="B99" s="3"/>
      <c r="C99" s="3"/>
      <c r="D99" s="3"/>
      <c r="E99" s="3"/>
      <c r="F99" s="3"/>
      <c r="G99" s="3"/>
      <c r="H99" s="3"/>
      <c r="I99" s="3"/>
      <c r="J99" s="3"/>
      <c r="K99" s="3"/>
      <c r="L99" s="3"/>
    </row>
    <row r="100" spans="1:12">
      <c r="A100" s="3"/>
      <c r="B100" s="3"/>
      <c r="C100" s="3"/>
      <c r="D100" s="3"/>
      <c r="E100" s="3"/>
      <c r="F100" s="3"/>
      <c r="G100" s="3"/>
      <c r="H100" s="3"/>
      <c r="I100" s="3"/>
      <c r="J100" s="3"/>
      <c r="K100" s="3"/>
      <c r="L100" s="3"/>
    </row>
    <row r="101" spans="1:12">
      <c r="A101" s="714" t="s">
        <v>2496</v>
      </c>
      <c r="B101" s="3"/>
      <c r="C101" s="3"/>
      <c r="D101" s="715">
        <v>0.3</v>
      </c>
      <c r="E101" s="3"/>
      <c r="F101" s="3"/>
      <c r="G101" s="3"/>
      <c r="H101" s="3"/>
      <c r="I101" s="3"/>
      <c r="J101" s="3"/>
      <c r="K101" s="3"/>
      <c r="L101" s="3"/>
    </row>
    <row r="102" spans="1:12">
      <c r="A102" s="3"/>
      <c r="B102" s="3"/>
      <c r="C102" s="3"/>
      <c r="D102" s="3"/>
      <c r="E102" s="3"/>
      <c r="F102" s="3"/>
      <c r="G102" s="3"/>
      <c r="H102" s="3"/>
      <c r="I102" s="3"/>
      <c r="J102" s="3"/>
      <c r="K102" s="3"/>
      <c r="L102" s="3"/>
    </row>
    <row r="103" spans="1:12">
      <c r="A103" s="3" t="str">
        <f>"IBNR = "&amp;TEXT(E94,"0,000")&amp;" - "&amp;TEXT(E95,"0,000")&amp;" ="</f>
        <v>IBNR = 5,750,000 - 3,250,000 =</v>
      </c>
      <c r="B103" s="3"/>
      <c r="C103" s="3"/>
      <c r="D103" s="12">
        <f>E94-E95</f>
        <v>2500000</v>
      </c>
      <c r="E103" s="3"/>
      <c r="F103" s="3"/>
      <c r="G103" s="3"/>
      <c r="H103" s="3"/>
      <c r="I103" s="3"/>
      <c r="J103" s="3"/>
      <c r="K103" s="3"/>
      <c r="L103" s="3"/>
    </row>
    <row r="104" spans="1:12">
      <c r="A104" s="3"/>
      <c r="B104" s="3"/>
      <c r="C104" s="3"/>
      <c r="D104" s="3"/>
      <c r="E104" s="3"/>
      <c r="F104" s="3"/>
      <c r="G104" s="3"/>
      <c r="H104" s="3"/>
      <c r="I104" s="3"/>
      <c r="J104" s="3"/>
      <c r="K104" s="3"/>
      <c r="L104" s="3"/>
    </row>
    <row r="105" spans="1:12">
      <c r="A105" s="2" t="str">
        <f>"Unpaid ULAE = "&amp;TEXT(100*E83,"0.0")&amp;"%×"&amp;TEXT(E95,"#,###")&amp;"×(1 – "&amp;TEXT(D101,"0.00")&amp;") + "&amp;TEXT(100*E83,"0.0")&amp;"%×"&amp;TEXT(D103,"#,###")&amp;" ="</f>
        <v>Unpaid ULAE = 16.5%×3,250,000×(1 – 0.30) + 16.5%×2,500,000 =</v>
      </c>
      <c r="F105" s="11">
        <f>E83*(E95*(1-D101)+D103)</f>
        <v>786558.98862199229</v>
      </c>
    </row>
  </sheetData>
  <mergeCells count="5">
    <mergeCell ref="A3:L4"/>
    <mergeCell ref="B14:L15"/>
    <mergeCell ref="C30:C31"/>
    <mergeCell ref="C45:C46"/>
    <mergeCell ref="D45:D46"/>
  </mergeCells>
  <hyperlinks>
    <hyperlink ref="O1" location="TOC!A1" display="Table of Contents" xr:uid="{2D5E4D44-DADC-4DF4-BBCE-8D3E3A7F7CA4}"/>
  </hyperlinks>
  <pageMargins left="0.7" right="0.7" top="0.75" bottom="0.75" header="0.3" footer="0.3"/>
  <pageSetup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172-CA24-474E-9655-57227B4611B8}">
  <dimension ref="A1:R164"/>
  <sheetViews>
    <sheetView zoomScaleNormal="100" workbookViewId="0"/>
  </sheetViews>
  <sheetFormatPr defaultColWidth="8.88671875" defaultRowHeight="15.6"/>
  <cols>
    <col min="1" max="1" width="14.33203125" style="2" customWidth="1"/>
    <col min="2" max="7" width="11.6640625" style="2" customWidth="1"/>
    <col min="8" max="8" width="18.33203125" style="2" customWidth="1"/>
    <col min="9" max="9" width="11.6640625" style="2" customWidth="1"/>
    <col min="10" max="16384" width="8.88671875" style="2"/>
  </cols>
  <sheetData>
    <row r="1" spans="1:15" ht="17.399999999999999">
      <c r="A1" s="13" t="s">
        <v>2595</v>
      </c>
      <c r="B1" s="1"/>
      <c r="C1" s="1"/>
      <c r="D1" s="1" t="s">
        <v>240</v>
      </c>
      <c r="E1" s="1"/>
      <c r="F1" s="1"/>
      <c r="G1" s="1"/>
      <c r="H1" s="1"/>
      <c r="I1" s="1"/>
      <c r="J1" s="1"/>
      <c r="K1" s="1"/>
      <c r="L1" s="14"/>
      <c r="O1" s="21" t="s">
        <v>2927</v>
      </c>
    </row>
    <row r="2" spans="1:15">
      <c r="A2" s="1"/>
      <c r="B2" s="1"/>
      <c r="C2" s="1"/>
      <c r="D2" s="1"/>
      <c r="E2" s="1"/>
      <c r="F2" s="1"/>
      <c r="G2" s="1"/>
      <c r="H2" s="1"/>
      <c r="I2" s="1"/>
      <c r="J2" s="1"/>
      <c r="K2" s="1"/>
      <c r="L2" s="14"/>
    </row>
    <row r="3" spans="1:15">
      <c r="A3" s="831" t="s">
        <v>2497</v>
      </c>
      <c r="B3" s="831"/>
      <c r="C3" s="831"/>
      <c r="D3" s="831"/>
      <c r="E3" s="831"/>
      <c r="F3" s="831"/>
      <c r="G3" s="831"/>
      <c r="H3" s="831"/>
      <c r="I3" s="831"/>
      <c r="J3" s="831"/>
      <c r="K3" s="831"/>
      <c r="L3" s="831"/>
    </row>
    <row r="4" spans="1:15">
      <c r="A4" s="831"/>
      <c r="B4" s="831"/>
      <c r="C4" s="831"/>
      <c r="D4" s="831"/>
      <c r="E4" s="831"/>
      <c r="F4" s="831"/>
      <c r="G4" s="831"/>
      <c r="H4" s="831"/>
      <c r="I4" s="831"/>
      <c r="J4" s="831"/>
      <c r="K4" s="831"/>
      <c r="L4" s="831"/>
    </row>
    <row r="5" spans="1:15">
      <c r="A5" s="43"/>
      <c r="B5" s="1"/>
      <c r="C5" s="1"/>
      <c r="D5" s="1"/>
      <c r="E5" s="1"/>
      <c r="F5" s="1"/>
      <c r="G5" s="1"/>
      <c r="H5" s="1"/>
      <c r="I5" s="1"/>
      <c r="J5" s="1"/>
      <c r="K5" s="1"/>
      <c r="L5" s="1"/>
    </row>
    <row r="6" spans="1:15">
      <c r="A6" s="43"/>
      <c r="B6" s="829" t="s">
        <v>49</v>
      </c>
      <c r="C6" s="841" t="s">
        <v>59</v>
      </c>
      <c r="D6" s="841"/>
      <c r="E6" s="841"/>
      <c r="F6" s="841"/>
      <c r="G6" s="841"/>
      <c r="H6" s="841"/>
      <c r="I6" s="829" t="s">
        <v>131</v>
      </c>
      <c r="J6" s="1"/>
      <c r="K6" s="1"/>
      <c r="L6" s="1"/>
    </row>
    <row r="7" spans="1:15">
      <c r="A7" s="43"/>
      <c r="B7" s="829"/>
      <c r="C7" s="27">
        <v>12</v>
      </c>
      <c r="D7" s="27">
        <v>24</v>
      </c>
      <c r="E7" s="27">
        <v>36</v>
      </c>
      <c r="F7" s="27">
        <v>48</v>
      </c>
      <c r="G7" s="27">
        <v>60</v>
      </c>
      <c r="H7" s="27">
        <v>72</v>
      </c>
      <c r="I7" s="829"/>
      <c r="J7" s="1"/>
      <c r="K7" s="1"/>
      <c r="L7" s="1"/>
    </row>
    <row r="8" spans="1:15">
      <c r="A8" s="43"/>
      <c r="B8" s="32">
        <v>2018</v>
      </c>
      <c r="C8" s="92">
        <v>2547815</v>
      </c>
      <c r="D8" s="92">
        <v>3882690</v>
      </c>
      <c r="E8" s="92">
        <v>4892823</v>
      </c>
      <c r="F8" s="92">
        <v>5569866</v>
      </c>
      <c r="G8" s="92">
        <v>5949436</v>
      </c>
      <c r="H8" s="92">
        <v>6457536</v>
      </c>
      <c r="I8" s="92">
        <v>7009030</v>
      </c>
      <c r="J8" s="1"/>
      <c r="K8" s="1"/>
      <c r="L8" s="1"/>
    </row>
    <row r="9" spans="1:15">
      <c r="A9" s="43"/>
      <c r="B9" s="32">
        <v>2019</v>
      </c>
      <c r="C9" s="92">
        <v>2838865</v>
      </c>
      <c r="D9" s="92">
        <v>4127622</v>
      </c>
      <c r="E9" s="92">
        <v>5006184</v>
      </c>
      <c r="F9" s="92">
        <v>5807333</v>
      </c>
      <c r="G9" s="92">
        <v>6766801</v>
      </c>
      <c r="H9" s="32"/>
      <c r="I9" s="92">
        <v>7971966</v>
      </c>
      <c r="J9" s="1"/>
      <c r="K9" s="1"/>
      <c r="L9" s="1"/>
    </row>
    <row r="10" spans="1:15">
      <c r="A10" s="1"/>
      <c r="B10" s="32">
        <v>2020</v>
      </c>
      <c r="C10" s="92">
        <v>2937668</v>
      </c>
      <c r="D10" s="92">
        <v>4227315</v>
      </c>
      <c r="E10" s="92">
        <v>5435742</v>
      </c>
      <c r="F10" s="92">
        <v>6403965</v>
      </c>
      <c r="G10" s="32"/>
      <c r="H10" s="32"/>
      <c r="I10" s="92">
        <v>8424818</v>
      </c>
      <c r="J10" s="1"/>
      <c r="K10" s="1"/>
      <c r="L10" s="1"/>
    </row>
    <row r="11" spans="1:15">
      <c r="A11" s="1"/>
      <c r="B11" s="32">
        <v>2021</v>
      </c>
      <c r="C11" s="92">
        <v>3135121</v>
      </c>
      <c r="D11" s="92">
        <v>4466810</v>
      </c>
      <c r="E11" s="92">
        <v>5821531</v>
      </c>
      <c r="F11" s="32"/>
      <c r="G11" s="32"/>
      <c r="H11" s="32"/>
      <c r="I11" s="92">
        <v>8875100</v>
      </c>
      <c r="J11" s="1"/>
      <c r="K11" s="1"/>
      <c r="L11" s="1"/>
    </row>
    <row r="12" spans="1:15">
      <c r="A12" s="1"/>
      <c r="B12" s="32">
        <v>2022</v>
      </c>
      <c r="C12" s="92">
        <v>3231963</v>
      </c>
      <c r="D12" s="92">
        <v>4537564</v>
      </c>
      <c r="E12" s="32"/>
      <c r="F12" s="32"/>
      <c r="G12" s="32"/>
      <c r="H12" s="32"/>
      <c r="I12" s="92">
        <v>8754568</v>
      </c>
      <c r="J12" s="1"/>
      <c r="K12" s="1"/>
      <c r="L12" s="1"/>
    </row>
    <row r="13" spans="1:15">
      <c r="A13" s="1"/>
      <c r="B13" s="32">
        <v>2023</v>
      </c>
      <c r="C13" s="92">
        <v>3311902</v>
      </c>
      <c r="D13" s="32"/>
      <c r="E13" s="32"/>
      <c r="F13" s="32"/>
      <c r="G13" s="32"/>
      <c r="H13" s="32"/>
      <c r="I13" s="92">
        <v>9259675</v>
      </c>
      <c r="J13" s="1"/>
      <c r="K13" s="1"/>
      <c r="L13" s="1"/>
    </row>
    <row r="14" spans="1:15">
      <c r="A14" s="1"/>
      <c r="B14" s="1"/>
      <c r="C14" s="1"/>
      <c r="D14" s="1"/>
      <c r="E14" s="1"/>
      <c r="F14" s="1"/>
      <c r="G14" s="1"/>
      <c r="H14" s="1"/>
      <c r="I14" s="1"/>
      <c r="J14" s="1"/>
      <c r="K14" s="1"/>
      <c r="L14" s="1"/>
    </row>
    <row r="15" spans="1:15" ht="15.6" customHeight="1">
      <c r="A15" s="1"/>
      <c r="B15" s="829" t="s">
        <v>49</v>
      </c>
      <c r="C15" s="841" t="s">
        <v>1496</v>
      </c>
      <c r="D15" s="841"/>
      <c r="E15" s="841"/>
      <c r="F15" s="841"/>
      <c r="G15" s="841"/>
      <c r="H15" s="841"/>
      <c r="I15" s="829" t="s">
        <v>131</v>
      </c>
      <c r="J15" s="1"/>
      <c r="K15" s="1"/>
      <c r="L15" s="1"/>
    </row>
    <row r="16" spans="1:15">
      <c r="A16" s="1"/>
      <c r="B16" s="829"/>
      <c r="C16" s="27">
        <v>12</v>
      </c>
      <c r="D16" s="27">
        <v>24</v>
      </c>
      <c r="E16" s="27">
        <v>36</v>
      </c>
      <c r="F16" s="27">
        <v>48</v>
      </c>
      <c r="G16" s="27">
        <v>60</v>
      </c>
      <c r="H16" s="27">
        <v>72</v>
      </c>
      <c r="I16" s="829"/>
      <c r="J16" s="1"/>
      <c r="K16" s="1"/>
      <c r="L16" s="1"/>
    </row>
    <row r="17" spans="1:12">
      <c r="A17" s="1"/>
      <c r="B17" s="32">
        <v>2018</v>
      </c>
      <c r="C17" s="92">
        <v>1473977</v>
      </c>
      <c r="D17" s="92">
        <v>2934650</v>
      </c>
      <c r="E17" s="92">
        <v>4236143</v>
      </c>
      <c r="F17" s="92">
        <v>5227761</v>
      </c>
      <c r="G17" s="92">
        <v>5923948</v>
      </c>
      <c r="H17" s="92">
        <v>6457536</v>
      </c>
      <c r="I17" s="92">
        <v>7039187</v>
      </c>
      <c r="J17" s="1"/>
      <c r="K17" s="1"/>
      <c r="L17" s="1"/>
    </row>
    <row r="18" spans="1:12">
      <c r="A18" s="1"/>
      <c r="B18" s="32">
        <v>2019</v>
      </c>
      <c r="C18" s="92">
        <v>1706744</v>
      </c>
      <c r="D18" s="92">
        <v>3161169</v>
      </c>
      <c r="E18" s="92">
        <v>4325672</v>
      </c>
      <c r="F18" s="92">
        <v>5447559</v>
      </c>
      <c r="G18" s="92">
        <v>6761362</v>
      </c>
      <c r="H18" s="32"/>
      <c r="I18" s="92">
        <v>8034251</v>
      </c>
      <c r="J18" s="1"/>
      <c r="K18" s="1"/>
      <c r="L18" s="1"/>
    </row>
    <row r="19" spans="1:12">
      <c r="A19" s="1"/>
      <c r="B19" s="32">
        <v>2020</v>
      </c>
      <c r="C19" s="92">
        <v>1733016</v>
      </c>
      <c r="D19" s="92">
        <v>3228227</v>
      </c>
      <c r="E19" s="92">
        <v>4689331</v>
      </c>
      <c r="F19" s="92">
        <v>6256636</v>
      </c>
      <c r="G19" s="32"/>
      <c r="H19" s="32"/>
      <c r="I19" s="92">
        <v>8826037</v>
      </c>
      <c r="J19" s="1"/>
      <c r="K19" s="1"/>
      <c r="L19" s="1"/>
    </row>
    <row r="20" spans="1:12">
      <c r="A20" s="1"/>
      <c r="B20" s="32">
        <v>2021</v>
      </c>
      <c r="C20" s="92">
        <v>1851625</v>
      </c>
      <c r="D20" s="92">
        <v>3385403</v>
      </c>
      <c r="E20" s="92">
        <v>5483690</v>
      </c>
      <c r="F20" s="32"/>
      <c r="G20" s="32"/>
      <c r="H20" s="32"/>
      <c r="I20" s="92">
        <v>9869855</v>
      </c>
      <c r="J20" s="1"/>
      <c r="K20" s="1"/>
      <c r="L20" s="1"/>
    </row>
    <row r="21" spans="1:12">
      <c r="A21" s="1"/>
      <c r="B21" s="32">
        <v>2022</v>
      </c>
      <c r="C21" s="92">
        <v>1838698</v>
      </c>
      <c r="D21" s="92">
        <v>3759628</v>
      </c>
      <c r="E21" s="32"/>
      <c r="F21" s="32"/>
      <c r="G21" s="32"/>
      <c r="H21" s="32"/>
      <c r="I21" s="92">
        <v>9954417</v>
      </c>
      <c r="J21" s="1"/>
      <c r="K21" s="1"/>
      <c r="L21" s="1"/>
    </row>
    <row r="22" spans="1:12">
      <c r="A22" s="1"/>
      <c r="B22" s="32">
        <v>2023</v>
      </c>
      <c r="C22" s="92">
        <v>2081240</v>
      </c>
      <c r="D22" s="32"/>
      <c r="E22" s="32"/>
      <c r="F22" s="32"/>
      <c r="G22" s="32"/>
      <c r="H22" s="32"/>
      <c r="I22" s="92">
        <v>10557046</v>
      </c>
      <c r="J22" s="1"/>
      <c r="K22" s="1"/>
      <c r="L22" s="1"/>
    </row>
    <row r="23" spans="1:12">
      <c r="A23" s="1"/>
      <c r="B23" s="1"/>
      <c r="C23" s="1"/>
      <c r="D23" s="1"/>
      <c r="E23" s="1"/>
      <c r="F23" s="1"/>
      <c r="G23" s="1"/>
      <c r="H23" s="1"/>
      <c r="I23" s="1"/>
      <c r="J23" s="1"/>
      <c r="K23" s="1"/>
      <c r="L23" s="1"/>
    </row>
    <row r="24" spans="1:12">
      <c r="A24" s="1"/>
      <c r="B24" s="829" t="s">
        <v>49</v>
      </c>
      <c r="C24" s="841" t="s">
        <v>550</v>
      </c>
      <c r="D24" s="841"/>
      <c r="E24" s="841"/>
      <c r="F24" s="841"/>
      <c r="G24" s="841"/>
      <c r="H24" s="841"/>
      <c r="I24" s="829" t="s">
        <v>528</v>
      </c>
      <c r="J24" s="1"/>
      <c r="K24" s="1"/>
      <c r="L24" s="1"/>
    </row>
    <row r="25" spans="1:12">
      <c r="A25" s="1"/>
      <c r="B25" s="829"/>
      <c r="C25" s="27">
        <v>12</v>
      </c>
      <c r="D25" s="27">
        <v>24</v>
      </c>
      <c r="E25" s="27">
        <v>36</v>
      </c>
      <c r="F25" s="27">
        <v>48</v>
      </c>
      <c r="G25" s="27">
        <v>60</v>
      </c>
      <c r="H25" s="27">
        <v>72</v>
      </c>
      <c r="I25" s="829"/>
      <c r="J25" s="1"/>
      <c r="K25" s="1"/>
      <c r="L25" s="1"/>
    </row>
    <row r="26" spans="1:12">
      <c r="A26" s="1"/>
      <c r="B26" s="32">
        <v>2018</v>
      </c>
      <c r="C26" s="32">
        <v>886</v>
      </c>
      <c r="D26" s="92">
        <v>1138</v>
      </c>
      <c r="E26" s="92">
        <v>1298</v>
      </c>
      <c r="F26" s="92">
        <v>1392</v>
      </c>
      <c r="G26" s="92">
        <v>1457</v>
      </c>
      <c r="H26" s="92">
        <v>1471</v>
      </c>
      <c r="I26" s="92">
        <v>1485</v>
      </c>
      <c r="J26" s="1"/>
      <c r="K26" s="1"/>
      <c r="L26" s="1"/>
    </row>
    <row r="27" spans="1:12">
      <c r="A27" s="1"/>
      <c r="B27" s="32">
        <v>2019</v>
      </c>
      <c r="C27" s="32">
        <v>899</v>
      </c>
      <c r="D27" s="92">
        <v>1134</v>
      </c>
      <c r="E27" s="92">
        <v>1275</v>
      </c>
      <c r="F27" s="92">
        <v>1392</v>
      </c>
      <c r="G27" s="92">
        <v>1464</v>
      </c>
      <c r="H27" s="32"/>
      <c r="I27" s="92">
        <v>1492</v>
      </c>
      <c r="J27" s="1"/>
      <c r="K27" s="1"/>
      <c r="L27" s="1"/>
    </row>
    <row r="28" spans="1:12">
      <c r="A28" s="1"/>
      <c r="B28" s="32">
        <v>2020</v>
      </c>
      <c r="C28" s="32">
        <v>893</v>
      </c>
      <c r="D28" s="92">
        <v>1128</v>
      </c>
      <c r="E28" s="92">
        <v>1297</v>
      </c>
      <c r="F28" s="92">
        <v>1402</v>
      </c>
      <c r="G28" s="32"/>
      <c r="H28" s="32"/>
      <c r="I28" s="92">
        <v>1499</v>
      </c>
      <c r="J28" s="1"/>
      <c r="K28" s="1"/>
      <c r="L28" s="1"/>
    </row>
    <row r="29" spans="1:12">
      <c r="A29" s="1"/>
      <c r="B29" s="32">
        <v>2021</v>
      </c>
      <c r="C29" s="32">
        <v>909</v>
      </c>
      <c r="D29" s="92">
        <v>1117</v>
      </c>
      <c r="E29" s="92">
        <v>1299</v>
      </c>
      <c r="F29" s="32"/>
      <c r="G29" s="32"/>
      <c r="H29" s="32"/>
      <c r="I29" s="92">
        <v>1503</v>
      </c>
      <c r="J29" s="1"/>
      <c r="K29" s="1"/>
      <c r="L29" s="1"/>
    </row>
    <row r="30" spans="1:12">
      <c r="A30" s="1"/>
      <c r="B30" s="32">
        <v>2022</v>
      </c>
      <c r="C30" s="32">
        <v>908</v>
      </c>
      <c r="D30" s="92">
        <v>1113</v>
      </c>
      <c r="E30" s="32"/>
      <c r="F30" s="32"/>
      <c r="G30" s="32"/>
      <c r="H30" s="32"/>
      <c r="I30" s="92">
        <v>1474</v>
      </c>
      <c r="J30" s="1"/>
      <c r="K30" s="1"/>
      <c r="L30" s="1"/>
    </row>
    <row r="31" spans="1:12">
      <c r="A31" s="1"/>
      <c r="B31" s="32">
        <v>2023</v>
      </c>
      <c r="C31" s="32">
        <v>899</v>
      </c>
      <c r="D31" s="32"/>
      <c r="E31" s="32"/>
      <c r="F31" s="32"/>
      <c r="G31" s="32"/>
      <c r="H31" s="32"/>
      <c r="I31" s="92">
        <v>1491</v>
      </c>
      <c r="J31" s="1"/>
      <c r="K31" s="1"/>
      <c r="L31" s="1"/>
    </row>
    <row r="32" spans="1:12">
      <c r="A32" s="1"/>
      <c r="B32" s="1"/>
      <c r="C32" s="1"/>
      <c r="D32" s="1"/>
      <c r="E32" s="1"/>
      <c r="F32" s="1"/>
      <c r="G32" s="1"/>
      <c r="H32" s="1"/>
      <c r="I32" s="1"/>
      <c r="J32" s="1"/>
      <c r="K32" s="1"/>
      <c r="L32" s="1"/>
    </row>
    <row r="33" spans="1:18">
      <c r="A33" s="1"/>
      <c r="B33" s="829" t="s">
        <v>49</v>
      </c>
      <c r="C33" s="841" t="s">
        <v>551</v>
      </c>
      <c r="D33" s="841"/>
      <c r="E33" s="841"/>
      <c r="F33" s="841"/>
      <c r="G33" s="841"/>
      <c r="H33" s="841"/>
      <c r="I33" s="829" t="s">
        <v>528</v>
      </c>
      <c r="J33" s="1"/>
      <c r="K33" s="1"/>
      <c r="L33" s="1"/>
    </row>
    <row r="34" spans="1:18">
      <c r="A34" s="43"/>
      <c r="B34" s="829"/>
      <c r="C34" s="27">
        <v>12</v>
      </c>
      <c r="D34" s="27">
        <v>24</v>
      </c>
      <c r="E34" s="27">
        <v>36</v>
      </c>
      <c r="F34" s="27">
        <v>48</v>
      </c>
      <c r="G34" s="27">
        <v>60</v>
      </c>
      <c r="H34" s="27">
        <v>72</v>
      </c>
      <c r="I34" s="829"/>
      <c r="J34" s="1"/>
      <c r="K34" s="1"/>
      <c r="L34" s="1"/>
    </row>
    <row r="35" spans="1:18">
      <c r="A35" s="1"/>
      <c r="B35" s="32">
        <v>2018</v>
      </c>
      <c r="C35" s="32">
        <v>574</v>
      </c>
      <c r="D35" s="32">
        <v>862</v>
      </c>
      <c r="E35" s="92">
        <v>1070</v>
      </c>
      <c r="F35" s="92">
        <v>1210</v>
      </c>
      <c r="G35" s="92">
        <v>1319</v>
      </c>
      <c r="H35" s="92">
        <v>1471</v>
      </c>
      <c r="I35" s="92">
        <v>1641</v>
      </c>
      <c r="J35" s="1"/>
      <c r="K35" s="1"/>
      <c r="L35" s="1"/>
    </row>
    <row r="36" spans="1:18">
      <c r="A36" s="1"/>
      <c r="B36" s="32">
        <v>2019</v>
      </c>
      <c r="C36" s="32">
        <v>589</v>
      </c>
      <c r="D36" s="32">
        <v>862</v>
      </c>
      <c r="E36" s="92">
        <v>1048</v>
      </c>
      <c r="F36" s="92">
        <v>1209</v>
      </c>
      <c r="G36" s="92">
        <v>1436</v>
      </c>
      <c r="H36" s="32"/>
      <c r="I36" s="92">
        <v>1786</v>
      </c>
      <c r="J36" s="1"/>
      <c r="K36" s="1"/>
      <c r="L36" s="1"/>
    </row>
    <row r="37" spans="1:18">
      <c r="A37" s="1"/>
      <c r="B37" s="32">
        <v>2020</v>
      </c>
      <c r="C37" s="32">
        <v>581</v>
      </c>
      <c r="D37" s="32">
        <v>862</v>
      </c>
      <c r="E37" s="92">
        <v>1066</v>
      </c>
      <c r="F37" s="92">
        <v>1331</v>
      </c>
      <c r="G37" s="32"/>
      <c r="H37" s="32"/>
      <c r="I37" s="92">
        <v>1885</v>
      </c>
      <c r="J37" s="1"/>
      <c r="K37" s="1"/>
      <c r="L37" s="1"/>
    </row>
    <row r="38" spans="1:18">
      <c r="A38" s="1"/>
      <c r="B38" s="32">
        <v>2021</v>
      </c>
      <c r="C38" s="32">
        <v>593</v>
      </c>
      <c r="D38" s="32">
        <v>847</v>
      </c>
      <c r="E38" s="92">
        <v>1199</v>
      </c>
      <c r="F38" s="32"/>
      <c r="G38" s="32"/>
      <c r="H38" s="32"/>
      <c r="I38" s="92">
        <v>2000</v>
      </c>
      <c r="J38" s="1"/>
      <c r="K38" s="1"/>
      <c r="L38" s="1"/>
    </row>
    <row r="39" spans="1:18">
      <c r="A39" s="1"/>
      <c r="B39" s="32">
        <v>2022</v>
      </c>
      <c r="C39" s="32">
        <v>587</v>
      </c>
      <c r="D39" s="32">
        <v>928</v>
      </c>
      <c r="E39" s="32"/>
      <c r="F39" s="32"/>
      <c r="G39" s="32"/>
      <c r="H39" s="32"/>
      <c r="I39" s="92">
        <v>1977</v>
      </c>
      <c r="J39" s="1"/>
      <c r="K39" s="1"/>
      <c r="L39" s="1"/>
    </row>
    <row r="40" spans="1:18">
      <c r="A40" s="1"/>
      <c r="B40" s="32">
        <v>2023</v>
      </c>
      <c r="C40" s="32">
        <v>626</v>
      </c>
      <c r="D40" s="32"/>
      <c r="E40" s="32"/>
      <c r="F40" s="32"/>
      <c r="G40" s="32"/>
      <c r="H40" s="32"/>
      <c r="I40" s="92">
        <v>1990</v>
      </c>
      <c r="J40" s="1"/>
      <c r="K40" s="1"/>
      <c r="L40" s="1"/>
    </row>
    <row r="41" spans="1:18">
      <c r="A41" s="1"/>
      <c r="B41" s="1"/>
      <c r="C41" s="1"/>
      <c r="D41" s="1"/>
      <c r="E41" s="1"/>
      <c r="F41" s="1"/>
      <c r="G41" s="1"/>
      <c r="H41" s="1"/>
      <c r="I41" s="1"/>
      <c r="J41" s="1"/>
      <c r="K41" s="1"/>
      <c r="L41" s="1"/>
    </row>
    <row r="42" spans="1:18">
      <c r="A42" s="1"/>
      <c r="B42" s="519" t="s">
        <v>2498</v>
      </c>
      <c r="C42" s="1"/>
      <c r="D42" s="1"/>
      <c r="E42" s="1"/>
      <c r="F42" s="1"/>
      <c r="G42" s="1"/>
      <c r="H42" s="1"/>
      <c r="I42" s="1"/>
      <c r="J42" s="1"/>
      <c r="K42" s="1"/>
      <c r="L42" s="1"/>
    </row>
    <row r="43" spans="1:18">
      <c r="A43" s="1"/>
      <c r="B43" s="519" t="s">
        <v>2499</v>
      </c>
      <c r="C43" s="1"/>
      <c r="D43" s="1"/>
      <c r="E43" s="1"/>
      <c r="F43" s="1"/>
      <c r="G43" s="1"/>
      <c r="H43" s="1"/>
      <c r="I43" s="1"/>
      <c r="J43" s="1"/>
      <c r="K43" s="1"/>
      <c r="L43" s="1"/>
    </row>
    <row r="44" spans="1:18">
      <c r="A44" s="1"/>
      <c r="B44" s="519" t="s">
        <v>2500</v>
      </c>
      <c r="C44" s="1"/>
      <c r="D44" s="1"/>
      <c r="E44" s="1"/>
      <c r="F44" s="1"/>
      <c r="G44" s="1"/>
      <c r="H44" s="1"/>
      <c r="I44" s="1"/>
      <c r="J44" s="1"/>
      <c r="K44" s="1"/>
      <c r="L44" s="1"/>
    </row>
    <row r="45" spans="1:18">
      <c r="A45" s="3"/>
      <c r="B45" s="3"/>
      <c r="C45" s="3"/>
      <c r="D45" s="3"/>
      <c r="E45" s="3"/>
      <c r="F45" s="3"/>
      <c r="G45" s="3"/>
      <c r="H45" s="3"/>
      <c r="I45" s="3"/>
      <c r="J45" s="3"/>
      <c r="K45" s="3"/>
      <c r="L45" s="3"/>
    </row>
    <row r="46" spans="1:18">
      <c r="A46" s="17" t="s">
        <v>91</v>
      </c>
      <c r="B46" s="1" t="s">
        <v>2501</v>
      </c>
      <c r="C46" s="1"/>
      <c r="D46" s="1"/>
      <c r="E46" s="1"/>
      <c r="F46" s="1"/>
      <c r="G46" s="1"/>
      <c r="H46" s="1"/>
      <c r="I46" s="1"/>
      <c r="J46" s="1"/>
      <c r="K46" s="1"/>
      <c r="L46" s="1"/>
      <c r="M46" s="9"/>
      <c r="N46" s="9"/>
      <c r="O46" s="9"/>
      <c r="P46" s="9"/>
      <c r="Q46" s="9"/>
      <c r="R46" s="9"/>
    </row>
    <row r="47" spans="1:18">
      <c r="A47" s="3"/>
      <c r="B47" s="3"/>
      <c r="C47" s="3"/>
      <c r="D47" s="3"/>
      <c r="E47" s="3"/>
      <c r="F47" s="3"/>
      <c r="G47" s="3"/>
      <c r="H47" s="3"/>
      <c r="I47" s="3"/>
      <c r="J47" s="3"/>
      <c r="K47" s="3"/>
      <c r="L47" s="3"/>
      <c r="M47" s="3"/>
    </row>
    <row r="48" spans="1:18">
      <c r="A48" s="3" t="s">
        <v>20</v>
      </c>
      <c r="B48" s="3"/>
      <c r="C48" s="3"/>
      <c r="D48" s="3"/>
      <c r="E48" s="3"/>
      <c r="F48" s="3"/>
      <c r="G48" s="3"/>
      <c r="H48" s="3"/>
      <c r="I48" s="3"/>
      <c r="J48" s="3"/>
      <c r="K48" s="3"/>
      <c r="L48" s="3"/>
      <c r="M48" s="3"/>
      <c r="N48" s="9"/>
    </row>
    <row r="49" spans="1:14">
      <c r="A49" s="3"/>
      <c r="B49" s="3"/>
      <c r="C49" s="3"/>
      <c r="D49" s="3"/>
      <c r="E49" s="3"/>
      <c r="F49" s="3"/>
      <c r="G49" s="3"/>
      <c r="H49" s="3"/>
      <c r="I49" s="3"/>
      <c r="J49" s="3"/>
      <c r="K49" s="3"/>
      <c r="L49" s="3"/>
      <c r="M49" s="3"/>
      <c r="N49" s="9"/>
    </row>
    <row r="50" spans="1:14">
      <c r="A50" s="2" t="s">
        <v>2502</v>
      </c>
      <c r="H50" s="3"/>
      <c r="I50" s="3"/>
      <c r="J50" s="3"/>
      <c r="K50" s="3"/>
      <c r="L50" s="3"/>
      <c r="M50" s="3"/>
      <c r="N50" s="9"/>
    </row>
    <row r="51" spans="1:14">
      <c r="A51" s="35" t="s">
        <v>58</v>
      </c>
      <c r="B51" s="716">
        <v>12</v>
      </c>
      <c r="C51" s="716">
        <f>B51+12</f>
        <v>24</v>
      </c>
      <c r="D51" s="716">
        <f t="shared" ref="D51:G51" si="0">C51+12</f>
        <v>36</v>
      </c>
      <c r="E51" s="716">
        <f t="shared" si="0"/>
        <v>48</v>
      </c>
      <c r="F51" s="716">
        <f t="shared" si="0"/>
        <v>60</v>
      </c>
      <c r="G51" s="716">
        <f t="shared" si="0"/>
        <v>72</v>
      </c>
      <c r="H51" s="3"/>
      <c r="I51" s="3"/>
      <c r="J51" s="3"/>
      <c r="K51" s="3"/>
      <c r="L51" s="3"/>
      <c r="M51" s="3"/>
      <c r="N51" s="9"/>
    </row>
    <row r="52" spans="1:14" ht="16.2">
      <c r="A52" s="94">
        <v>2018</v>
      </c>
      <c r="B52" s="160">
        <f t="shared" ref="B52:G52" si="1">C17/C8</f>
        <v>0.57852591338068104</v>
      </c>
      <c r="C52" s="160">
        <f t="shared" si="1"/>
        <v>0.75582907726344362</v>
      </c>
      <c r="D52" s="160">
        <f t="shared" si="1"/>
        <v>0.86578709264569753</v>
      </c>
      <c r="E52" s="160">
        <f t="shared" si="1"/>
        <v>0.93857931232097869</v>
      </c>
      <c r="F52" s="160">
        <f t="shared" si="1"/>
        <v>0.99571589643119107</v>
      </c>
      <c r="G52" s="717">
        <f t="shared" si="1"/>
        <v>1</v>
      </c>
      <c r="H52" s="3"/>
      <c r="I52" s="3"/>
      <c r="J52" s="3"/>
      <c r="K52" s="3"/>
      <c r="L52" s="3"/>
      <c r="M52" s="3"/>
      <c r="N52" s="9"/>
    </row>
    <row r="53" spans="1:14" ht="16.2">
      <c r="A53" s="94">
        <f>A52+1</f>
        <v>2019</v>
      </c>
      <c r="B53" s="160">
        <f>C18/C9</f>
        <v>0.60120646807791145</v>
      </c>
      <c r="C53" s="160">
        <f>D18/D9</f>
        <v>0.76585719331857427</v>
      </c>
      <c r="D53" s="160">
        <f>E18/E9</f>
        <v>0.86406572351315891</v>
      </c>
      <c r="E53" s="160">
        <f>F18/F9</f>
        <v>0.93804832614213784</v>
      </c>
      <c r="F53" s="717">
        <f>G18/G9</f>
        <v>0.99919622285330989</v>
      </c>
      <c r="H53" s="3"/>
      <c r="I53" s="3"/>
      <c r="J53" s="3"/>
      <c r="K53" s="3"/>
      <c r="L53" s="3"/>
      <c r="M53" s="3"/>
      <c r="N53" s="9"/>
    </row>
    <row r="54" spans="1:14" ht="16.2">
      <c r="A54" s="94">
        <f t="shared" ref="A54:A57" si="2">A53+1</f>
        <v>2020</v>
      </c>
      <c r="B54" s="160">
        <f>C19/C10</f>
        <v>0.5899291546900467</v>
      </c>
      <c r="C54" s="160">
        <f>D19/D10</f>
        <v>0.76365896556088197</v>
      </c>
      <c r="D54" s="160">
        <f>E19/E10</f>
        <v>0.86268461601010493</v>
      </c>
      <c r="E54" s="717">
        <f>F19/F10</f>
        <v>0.97699409662607462</v>
      </c>
      <c r="H54" s="3"/>
      <c r="I54" s="3"/>
      <c r="J54" s="3"/>
      <c r="K54" s="3"/>
      <c r="L54" s="3"/>
      <c r="M54" s="3"/>
      <c r="N54" s="9"/>
    </row>
    <row r="55" spans="1:14" ht="16.2">
      <c r="A55" s="94">
        <f t="shared" si="2"/>
        <v>2021</v>
      </c>
      <c r="B55" s="160">
        <f>C20/C11</f>
        <v>0.59060718868585937</v>
      </c>
      <c r="C55" s="160">
        <f>D20/D11</f>
        <v>0.75790172404915368</v>
      </c>
      <c r="D55" s="717">
        <f>E20/E11</f>
        <v>0.94196698428643599</v>
      </c>
      <c r="H55" s="3"/>
      <c r="I55" s="3"/>
      <c r="J55" s="3"/>
      <c r="K55" s="3"/>
      <c r="L55" s="3"/>
      <c r="M55" s="3"/>
      <c r="N55" s="9"/>
    </row>
    <row r="56" spans="1:14" ht="16.2">
      <c r="A56" s="94">
        <f t="shared" si="2"/>
        <v>2022</v>
      </c>
      <c r="B56" s="160">
        <f>C21/C12</f>
        <v>0.56891059705819647</v>
      </c>
      <c r="C56" s="717">
        <f>D21/D12</f>
        <v>0.82855646774348524</v>
      </c>
      <c r="H56" s="3"/>
      <c r="I56" s="3"/>
      <c r="J56" s="3"/>
      <c r="K56" s="3"/>
      <c r="L56" s="3"/>
      <c r="M56" s="3"/>
      <c r="N56" s="9"/>
    </row>
    <row r="57" spans="1:14" ht="16.2">
      <c r="A57" s="94">
        <f t="shared" si="2"/>
        <v>2023</v>
      </c>
      <c r="B57" s="717">
        <f>C22/C13</f>
        <v>0.62841231413248344</v>
      </c>
      <c r="H57" s="3"/>
      <c r="I57" s="3"/>
      <c r="J57" s="3"/>
      <c r="K57" s="3"/>
      <c r="L57" s="3"/>
      <c r="M57" s="3"/>
      <c r="N57" s="9"/>
    </row>
    <row r="58" spans="1:14">
      <c r="A58" s="718" t="s">
        <v>2503</v>
      </c>
      <c r="B58" s="160"/>
      <c r="H58" s="3"/>
      <c r="I58" s="3"/>
      <c r="J58" s="3"/>
      <c r="K58" s="3"/>
      <c r="L58" s="3"/>
      <c r="M58" s="3"/>
      <c r="N58" s="9"/>
    </row>
    <row r="59" spans="1:14">
      <c r="A59" s="718" t="s">
        <v>2504</v>
      </c>
      <c r="B59" s="160"/>
      <c r="H59" s="3"/>
      <c r="I59" s="3"/>
      <c r="J59" s="3"/>
      <c r="K59" s="3"/>
      <c r="L59" s="3"/>
      <c r="M59" s="3"/>
      <c r="N59" s="9"/>
    </row>
    <row r="60" spans="1:14">
      <c r="A60" s="94"/>
      <c r="B60" s="160"/>
      <c r="H60" s="3"/>
      <c r="I60" s="3"/>
      <c r="J60" s="3"/>
      <c r="K60" s="3"/>
      <c r="L60" s="3"/>
      <c r="M60" s="3"/>
      <c r="N60" s="9"/>
    </row>
    <row r="61" spans="1:14">
      <c r="A61" s="2" t="s">
        <v>2505</v>
      </c>
      <c r="H61" s="3"/>
      <c r="I61" s="3"/>
      <c r="J61" s="3"/>
      <c r="K61" s="3"/>
      <c r="L61" s="3"/>
      <c r="M61" s="3"/>
      <c r="N61" s="9"/>
    </row>
    <row r="62" spans="1:14">
      <c r="A62" s="35" t="s">
        <v>58</v>
      </c>
      <c r="B62" s="716">
        <v>12</v>
      </c>
      <c r="C62" s="716">
        <f>B62+12</f>
        <v>24</v>
      </c>
      <c r="D62" s="716">
        <f t="shared" ref="D62:G62" si="3">C62+12</f>
        <v>36</v>
      </c>
      <c r="E62" s="716">
        <f t="shared" si="3"/>
        <v>48</v>
      </c>
      <c r="F62" s="716">
        <f t="shared" si="3"/>
        <v>60</v>
      </c>
      <c r="G62" s="716">
        <f t="shared" si="3"/>
        <v>72</v>
      </c>
      <c r="H62" s="3"/>
      <c r="I62" s="3"/>
      <c r="J62" s="3"/>
      <c r="K62" s="3"/>
      <c r="L62" s="3"/>
      <c r="M62" s="3"/>
      <c r="N62" s="9"/>
    </row>
    <row r="63" spans="1:14" ht="16.2">
      <c r="A63" s="94">
        <v>2018</v>
      </c>
      <c r="B63" s="160">
        <f t="shared" ref="B63:G63" si="4">C35/C26</f>
        <v>0.64785553047404065</v>
      </c>
      <c r="C63" s="160">
        <f t="shared" si="4"/>
        <v>0.75746924428822493</v>
      </c>
      <c r="D63" s="160">
        <f t="shared" si="4"/>
        <v>0.82434514637904466</v>
      </c>
      <c r="E63" s="160">
        <f t="shared" si="4"/>
        <v>0.86925287356321834</v>
      </c>
      <c r="F63" s="160">
        <f t="shared" si="4"/>
        <v>0.90528483184625941</v>
      </c>
      <c r="G63" s="717">
        <f t="shared" si="4"/>
        <v>1</v>
      </c>
      <c r="H63" s="3"/>
      <c r="I63" s="3"/>
      <c r="J63" s="3"/>
      <c r="K63" s="3"/>
      <c r="L63" s="3"/>
      <c r="M63" s="3"/>
      <c r="N63" s="9"/>
    </row>
    <row r="64" spans="1:14" ht="16.2">
      <c r="A64" s="94">
        <f>A63+1</f>
        <v>2019</v>
      </c>
      <c r="B64" s="160">
        <f>C36/C27</f>
        <v>0.65517241379310343</v>
      </c>
      <c r="C64" s="160">
        <f>D36/D27</f>
        <v>0.76014109347442682</v>
      </c>
      <c r="D64" s="160">
        <f>E36/E27</f>
        <v>0.82196078431372555</v>
      </c>
      <c r="E64" s="160">
        <f>F36/F27</f>
        <v>0.86853448275862066</v>
      </c>
      <c r="F64" s="717">
        <f>G36/G27</f>
        <v>0.98087431693989069</v>
      </c>
      <c r="H64" s="3"/>
      <c r="I64" s="3"/>
      <c r="J64" s="3"/>
      <c r="K64" s="3"/>
      <c r="L64" s="3"/>
      <c r="M64" s="3"/>
      <c r="N64" s="9"/>
    </row>
    <row r="65" spans="1:14" ht="16.2">
      <c r="A65" s="94">
        <f t="shared" ref="A65:A68" si="5">A64+1</f>
        <v>2020</v>
      </c>
      <c r="B65" s="160">
        <f>C37/C28</f>
        <v>0.65061590145576709</v>
      </c>
      <c r="C65" s="160">
        <f>D37/D28</f>
        <v>0.76418439716312059</v>
      </c>
      <c r="D65" s="160">
        <f>E37/E28</f>
        <v>0.82189668465690058</v>
      </c>
      <c r="E65" s="717">
        <f>F37/F28</f>
        <v>0.94935805991440803</v>
      </c>
      <c r="H65" s="3"/>
      <c r="I65" s="3"/>
      <c r="J65" s="3"/>
      <c r="K65" s="3"/>
      <c r="L65" s="3"/>
      <c r="M65" s="3"/>
      <c r="N65" s="9"/>
    </row>
    <row r="66" spans="1:14" ht="16.2">
      <c r="A66" s="94">
        <f t="shared" si="5"/>
        <v>2021</v>
      </c>
      <c r="B66" s="160">
        <f>C38/C29</f>
        <v>0.65236523652365241</v>
      </c>
      <c r="C66" s="160">
        <f>D38/D29</f>
        <v>0.75828111011638322</v>
      </c>
      <c r="D66" s="717">
        <f>E38/E29</f>
        <v>0.92301770592763666</v>
      </c>
      <c r="H66" s="3"/>
      <c r="I66" s="3"/>
      <c r="J66" s="3"/>
      <c r="K66" s="3"/>
      <c r="L66" s="3"/>
      <c r="M66" s="3"/>
      <c r="N66" s="9"/>
    </row>
    <row r="67" spans="1:14" ht="16.2">
      <c r="A67" s="94">
        <f t="shared" si="5"/>
        <v>2022</v>
      </c>
      <c r="B67" s="160">
        <f>C39/C30</f>
        <v>0.6464757709251101</v>
      </c>
      <c r="C67" s="717">
        <f>D39/D30</f>
        <v>0.83378256963162622</v>
      </c>
      <c r="H67" s="3"/>
      <c r="I67" s="3"/>
      <c r="J67" s="3"/>
      <c r="K67" s="3"/>
      <c r="L67" s="3"/>
      <c r="M67" s="3"/>
      <c r="N67" s="9"/>
    </row>
    <row r="68" spans="1:14" ht="16.2">
      <c r="A68" s="94">
        <f t="shared" si="5"/>
        <v>2023</v>
      </c>
      <c r="B68" s="717">
        <f>C40/C31</f>
        <v>0.69632925472747498</v>
      </c>
      <c r="H68" s="3"/>
      <c r="I68" s="3"/>
      <c r="J68" s="3"/>
      <c r="K68" s="3"/>
      <c r="L68" s="3"/>
      <c r="M68" s="3"/>
      <c r="N68" s="9"/>
    </row>
    <row r="69" spans="1:14">
      <c r="A69" s="718" t="s">
        <v>2503</v>
      </c>
      <c r="B69" s="160"/>
      <c r="H69" s="3"/>
      <c r="I69" s="3"/>
      <c r="J69" s="3"/>
      <c r="K69" s="3"/>
      <c r="L69" s="3"/>
      <c r="M69" s="3"/>
      <c r="N69" s="9"/>
    </row>
    <row r="70" spans="1:14">
      <c r="A70" s="718" t="s">
        <v>2504</v>
      </c>
      <c r="B70" s="160"/>
      <c r="H70" s="3"/>
      <c r="I70" s="3"/>
      <c r="J70" s="3"/>
      <c r="K70" s="3"/>
      <c r="L70" s="3"/>
      <c r="M70" s="3"/>
      <c r="N70" s="9"/>
    </row>
    <row r="71" spans="1:14">
      <c r="M71" s="9"/>
      <c r="N71" s="9"/>
    </row>
    <row r="72" spans="1:14">
      <c r="A72" s="260" t="s">
        <v>2506</v>
      </c>
      <c r="B72" s="14"/>
      <c r="C72" s="14"/>
      <c r="D72" s="14"/>
      <c r="E72" s="14"/>
      <c r="F72" s="14"/>
      <c r="G72" s="1"/>
      <c r="H72" s="1"/>
      <c r="I72" s="1"/>
      <c r="J72" s="1"/>
      <c r="K72" s="1"/>
      <c r="L72" s="1"/>
    </row>
    <row r="74" spans="1:14">
      <c r="A74" s="17" t="s">
        <v>133</v>
      </c>
      <c r="B74" s="1" t="s">
        <v>2507</v>
      </c>
      <c r="C74" s="1"/>
      <c r="D74" s="1"/>
      <c r="E74" s="1"/>
      <c r="F74" s="1"/>
      <c r="G74" s="1"/>
      <c r="H74" s="1"/>
      <c r="I74" s="1"/>
      <c r="J74" s="1"/>
      <c r="K74" s="1"/>
      <c r="L74" s="1"/>
    </row>
    <row r="75" spans="1:14">
      <c r="A75" s="3"/>
      <c r="B75" s="3"/>
      <c r="C75" s="3"/>
      <c r="D75" s="3"/>
      <c r="E75" s="3"/>
      <c r="F75" s="3"/>
      <c r="G75" s="3"/>
      <c r="H75" s="3"/>
      <c r="I75" s="3"/>
      <c r="J75" s="3"/>
      <c r="K75" s="3"/>
      <c r="L75" s="3"/>
    </row>
    <row r="76" spans="1:14">
      <c r="A76" s="3" t="s">
        <v>20</v>
      </c>
      <c r="B76" s="3"/>
      <c r="C76" s="18"/>
      <c r="D76" s="3"/>
      <c r="E76" s="3"/>
      <c r="F76" s="3"/>
      <c r="G76" s="3"/>
      <c r="H76" s="3"/>
      <c r="I76" s="3"/>
      <c r="J76" s="3"/>
      <c r="K76" s="3"/>
      <c r="L76" s="3"/>
    </row>
    <row r="77" spans="1:14">
      <c r="A77" s="3"/>
      <c r="B77" s="3"/>
      <c r="C77" s="3"/>
      <c r="D77" s="3"/>
      <c r="E77" s="3"/>
      <c r="F77" s="3"/>
      <c r="G77" s="3"/>
      <c r="H77" s="3"/>
      <c r="I77" s="3"/>
      <c r="J77" s="3"/>
      <c r="K77" s="3"/>
      <c r="L77" s="3"/>
    </row>
    <row r="78" spans="1:14">
      <c r="A78" s="2" t="s">
        <v>2508</v>
      </c>
      <c r="H78" s="3"/>
      <c r="I78" s="3"/>
      <c r="J78" s="3"/>
      <c r="K78" s="3"/>
      <c r="L78" s="3"/>
    </row>
    <row r="79" spans="1:14">
      <c r="H79" s="3"/>
      <c r="I79" s="3"/>
      <c r="J79" s="3"/>
      <c r="K79" s="3"/>
      <c r="L79" s="3"/>
    </row>
    <row r="80" spans="1:14">
      <c r="A80" s="842" t="s">
        <v>49</v>
      </c>
      <c r="B80" s="844" t="s">
        <v>2509</v>
      </c>
      <c r="C80" s="844"/>
      <c r="D80" s="844"/>
      <c r="E80" s="844"/>
      <c r="F80" s="844"/>
      <c r="G80" s="844"/>
      <c r="H80" s="3"/>
      <c r="I80" s="3"/>
      <c r="J80" s="3"/>
      <c r="K80" s="3"/>
      <c r="L80" s="3"/>
    </row>
    <row r="81" spans="1:12">
      <c r="A81" s="843"/>
      <c r="B81" s="107">
        <v>12</v>
      </c>
      <c r="C81" s="107">
        <f>B81+12</f>
        <v>24</v>
      </c>
      <c r="D81" s="107">
        <f t="shared" ref="D81:G81" si="6">C81+12</f>
        <v>36</v>
      </c>
      <c r="E81" s="107">
        <f t="shared" si="6"/>
        <v>48</v>
      </c>
      <c r="F81" s="107">
        <f t="shared" si="6"/>
        <v>60</v>
      </c>
      <c r="G81" s="107">
        <f t="shared" si="6"/>
        <v>72</v>
      </c>
      <c r="H81" s="3"/>
      <c r="I81" s="3"/>
      <c r="J81" s="3"/>
      <c r="K81" s="3"/>
      <c r="L81" s="3"/>
    </row>
    <row r="82" spans="1:12">
      <c r="A82" s="94">
        <v>2018</v>
      </c>
      <c r="B82" s="106">
        <f t="shared" ref="B82:G82" si="7">(C8-C17)/(C26-C35)</f>
        <v>3441.7884615384614</v>
      </c>
      <c r="C82" s="106">
        <f t="shared" si="7"/>
        <v>3434.927536231884</v>
      </c>
      <c r="D82" s="106">
        <f t="shared" si="7"/>
        <v>2880.1754385964914</v>
      </c>
      <c r="E82" s="106">
        <f t="shared" si="7"/>
        <v>1879.6978021978023</v>
      </c>
      <c r="F82" s="106">
        <f t="shared" si="7"/>
        <v>184.69565217391303</v>
      </c>
      <c r="G82" s="106" t="e">
        <f t="shared" si="7"/>
        <v>#DIV/0!</v>
      </c>
      <c r="H82" s="3"/>
      <c r="I82" s="3"/>
      <c r="J82" s="3"/>
      <c r="K82" s="3"/>
      <c r="L82" s="3"/>
    </row>
    <row r="83" spans="1:12">
      <c r="A83" s="94">
        <f>A82+1</f>
        <v>2019</v>
      </c>
      <c r="B83" s="106">
        <f>(C9-C18)/(C27-C36)</f>
        <v>3652.0032258064516</v>
      </c>
      <c r="C83" s="106">
        <f>(D9-D18)/(D27-D36)</f>
        <v>3553.1360294117649</v>
      </c>
      <c r="D83" s="106">
        <f>(E9-E18)/(E27-E36)</f>
        <v>2997.8502202643172</v>
      </c>
      <c r="E83" s="106">
        <f>(F9-F18)/(F27-F36)</f>
        <v>1965.9781420765028</v>
      </c>
      <c r="F83" s="106">
        <f>(G9-G18)/(G27-G36)</f>
        <v>194.25</v>
      </c>
      <c r="G83" s="106"/>
      <c r="H83" s="3"/>
      <c r="I83" s="3"/>
      <c r="J83" s="3"/>
      <c r="K83" s="3"/>
      <c r="L83" s="3"/>
    </row>
    <row r="84" spans="1:12">
      <c r="A84" s="94">
        <f t="shared" ref="A84:A87" si="8">A83+1</f>
        <v>2020</v>
      </c>
      <c r="B84" s="106">
        <f>(C10-C19)/(C28-C37)</f>
        <v>3861.0641025641025</v>
      </c>
      <c r="C84" s="106">
        <f>(D10-D19)/(D28-D37)</f>
        <v>3755.9699248120301</v>
      </c>
      <c r="D84" s="106">
        <f>(E10-E19)/(E28-E37)</f>
        <v>3231.2164502164501</v>
      </c>
      <c r="E84" s="106">
        <f>(F10-F19)/(F28-F37)</f>
        <v>2075.0563380281692</v>
      </c>
      <c r="F84" s="106"/>
      <c r="G84" s="106"/>
      <c r="H84" s="3"/>
      <c r="I84" s="3"/>
      <c r="J84" s="3"/>
      <c r="K84" s="3"/>
      <c r="L84" s="3"/>
    </row>
    <row r="85" spans="1:12">
      <c r="A85" s="94">
        <f t="shared" si="8"/>
        <v>2021</v>
      </c>
      <c r="B85" s="106">
        <f>(C11-C20)/(C29-C38)</f>
        <v>4061.6962025316457</v>
      </c>
      <c r="C85" s="106">
        <f>(D11-D20)/(D29-D38)</f>
        <v>4005.2111111111112</v>
      </c>
      <c r="D85" s="106">
        <f>(E11-E20)/(E29-E38)</f>
        <v>3378.41</v>
      </c>
      <c r="E85" s="106"/>
      <c r="F85" s="106"/>
      <c r="G85" s="106"/>
      <c r="H85" s="3"/>
      <c r="I85" s="3"/>
      <c r="J85" s="3"/>
      <c r="K85" s="3"/>
      <c r="L85" s="3"/>
    </row>
    <row r="86" spans="1:12">
      <c r="A86" s="94">
        <f t="shared" si="8"/>
        <v>2022</v>
      </c>
      <c r="B86" s="106">
        <f>(C12-C21)/(C30-C39)</f>
        <v>4340.3894080996888</v>
      </c>
      <c r="C86" s="106">
        <f>(D12-D21)/(D30-D39)</f>
        <v>4205.0594594594595</v>
      </c>
      <c r="D86" s="106"/>
      <c r="E86" s="106"/>
      <c r="F86" s="106"/>
      <c r="G86" s="106"/>
      <c r="H86" s="3"/>
      <c r="I86" s="3"/>
      <c r="J86" s="3"/>
      <c r="K86" s="3"/>
      <c r="L86" s="3"/>
    </row>
    <row r="87" spans="1:12">
      <c r="A87" s="94">
        <f t="shared" si="8"/>
        <v>2023</v>
      </c>
      <c r="B87" s="106">
        <f>(C13-C22)/(C31-C40)</f>
        <v>4507.9194139194142</v>
      </c>
      <c r="C87" s="106"/>
      <c r="D87" s="106"/>
      <c r="E87" s="106"/>
      <c r="F87" s="106"/>
      <c r="G87" s="106"/>
      <c r="H87" s="3"/>
      <c r="I87" s="3"/>
      <c r="J87" s="3"/>
      <c r="K87" s="3"/>
      <c r="L87" s="3"/>
    </row>
    <row r="88" spans="1:12">
      <c r="H88" s="3"/>
      <c r="I88" s="3"/>
      <c r="J88" s="3"/>
      <c r="K88" s="3"/>
      <c r="L88" s="3"/>
    </row>
    <row r="89" spans="1:12">
      <c r="A89" s="842" t="s">
        <v>49</v>
      </c>
      <c r="B89" s="844" t="s">
        <v>2510</v>
      </c>
      <c r="C89" s="844"/>
      <c r="D89" s="844"/>
      <c r="E89" s="844"/>
      <c r="F89" s="844"/>
      <c r="G89" s="844"/>
      <c r="H89" s="3"/>
      <c r="I89" s="3"/>
      <c r="J89" s="3"/>
      <c r="K89" s="3"/>
      <c r="L89" s="3"/>
    </row>
    <row r="90" spans="1:12">
      <c r="A90" s="843"/>
      <c r="B90" s="107">
        <v>12</v>
      </c>
      <c r="C90" s="107">
        <f>B90+12</f>
        <v>24</v>
      </c>
      <c r="D90" s="107">
        <f t="shared" ref="D90:G90" si="9">C90+12</f>
        <v>36</v>
      </c>
      <c r="E90" s="107">
        <f t="shared" si="9"/>
        <v>48</v>
      </c>
      <c r="F90" s="107">
        <f t="shared" si="9"/>
        <v>60</v>
      </c>
      <c r="G90" s="107">
        <f t="shared" si="9"/>
        <v>72</v>
      </c>
      <c r="H90" s="3"/>
      <c r="I90" s="3"/>
      <c r="J90" s="3"/>
      <c r="K90" s="3"/>
      <c r="L90" s="3"/>
    </row>
    <row r="91" spans="1:12">
      <c r="A91" s="94" t="str">
        <f>A82&amp;"-"&amp;A83</f>
        <v>2018-2019</v>
      </c>
      <c r="B91" s="385">
        <f>B83/B82-1</f>
        <v>6.1077188972277874E-2</v>
      </c>
      <c r="C91" s="385">
        <f t="shared" ref="C91:F91" si="10">C83/C82-1</f>
        <v>3.4413678871827225E-2</v>
      </c>
      <c r="D91" s="385">
        <f t="shared" si="10"/>
        <v>4.0856810349430894E-2</v>
      </c>
      <c r="E91" s="385">
        <f t="shared" si="10"/>
        <v>4.5901176124065746E-2</v>
      </c>
      <c r="F91" s="385">
        <f t="shared" si="10"/>
        <v>5.1730225988700695E-2</v>
      </c>
      <c r="G91" s="385"/>
      <c r="H91" s="3"/>
      <c r="I91" s="3"/>
      <c r="J91" s="3"/>
      <c r="K91" s="3"/>
      <c r="L91" s="3"/>
    </row>
    <row r="92" spans="1:12">
      <c r="A92" s="94" t="str">
        <f t="shared" ref="A92:A95" si="11">A83&amp;"-"&amp;A84</f>
        <v>2019-2020</v>
      </c>
      <c r="B92" s="385">
        <f t="shared" ref="B92:E95" si="12">B84/B83-1</f>
        <v>5.724553452755643E-2</v>
      </c>
      <c r="C92" s="385">
        <f t="shared" si="12"/>
        <v>5.7085879550140772E-2</v>
      </c>
      <c r="D92" s="385">
        <f t="shared" si="12"/>
        <v>7.7844526179015494E-2</v>
      </c>
      <c r="E92" s="385">
        <f t="shared" si="12"/>
        <v>5.5482913882478835E-2</v>
      </c>
      <c r="F92" s="385"/>
      <c r="G92" s="385"/>
      <c r="H92" s="3"/>
      <c r="I92" s="3"/>
      <c r="J92" s="3"/>
      <c r="K92" s="3"/>
      <c r="L92" s="3"/>
    </row>
    <row r="93" spans="1:12">
      <c r="A93" s="94" t="str">
        <f t="shared" si="11"/>
        <v>2020-2021</v>
      </c>
      <c r="B93" s="385">
        <f t="shared" si="12"/>
        <v>5.196290313706653E-2</v>
      </c>
      <c r="C93" s="385">
        <f t="shared" si="12"/>
        <v>6.6358674666851858E-2</v>
      </c>
      <c r="D93" s="385">
        <f t="shared" si="12"/>
        <v>4.5553602505858048E-2</v>
      </c>
      <c r="E93" s="385"/>
      <c r="F93" s="385"/>
      <c r="G93" s="385"/>
      <c r="H93" s="3"/>
      <c r="I93" s="3"/>
      <c r="J93" s="3"/>
      <c r="K93" s="3"/>
      <c r="L93" s="3"/>
    </row>
    <row r="94" spans="1:12">
      <c r="A94" s="94" t="str">
        <f t="shared" si="11"/>
        <v>2021-2022</v>
      </c>
      <c r="B94" s="385">
        <f t="shared" si="12"/>
        <v>6.8614980459231312E-2</v>
      </c>
      <c r="C94" s="385">
        <f t="shared" si="12"/>
        <v>4.989708227712053E-2</v>
      </c>
      <c r="D94" s="385"/>
      <c r="E94" s="385"/>
      <c r="F94" s="385"/>
      <c r="G94" s="385"/>
      <c r="H94" s="3"/>
      <c r="I94" s="3"/>
      <c r="J94" s="3"/>
      <c r="K94" s="3"/>
      <c r="L94" s="3"/>
    </row>
    <row r="95" spans="1:12">
      <c r="A95" s="107" t="str">
        <f t="shared" si="11"/>
        <v>2022-2023</v>
      </c>
      <c r="B95" s="140">
        <f t="shared" si="12"/>
        <v>3.8597920616775694E-2</v>
      </c>
      <c r="C95" s="140"/>
      <c r="D95" s="140"/>
      <c r="E95" s="140"/>
      <c r="F95" s="140"/>
      <c r="G95" s="140"/>
      <c r="H95" s="3"/>
      <c r="I95" s="3"/>
      <c r="J95" s="3"/>
      <c r="K95" s="3"/>
      <c r="L95" s="3"/>
    </row>
    <row r="96" spans="1:12">
      <c r="A96" s="94" t="s">
        <v>336</v>
      </c>
      <c r="B96" s="385">
        <f>AVERAGE(B91:B95)</f>
        <v>5.5499705542581566E-2</v>
      </c>
      <c r="C96" s="385">
        <f t="shared" ref="C96:F96" si="13">AVERAGE(C91:C95)</f>
        <v>5.1938828841485096E-2</v>
      </c>
      <c r="D96" s="385">
        <f t="shared" si="13"/>
        <v>5.4751646344768146E-2</v>
      </c>
      <c r="E96" s="385">
        <f t="shared" si="13"/>
        <v>5.069204500327229E-2</v>
      </c>
      <c r="F96" s="385">
        <f t="shared" si="13"/>
        <v>5.1730225988700695E-2</v>
      </c>
      <c r="G96" s="385"/>
      <c r="H96" s="3"/>
      <c r="I96" s="3"/>
      <c r="J96" s="3"/>
      <c r="K96" s="3"/>
      <c r="L96" s="3"/>
    </row>
    <row r="97" spans="1:12">
      <c r="H97" s="3"/>
      <c r="I97" s="3"/>
      <c r="J97" s="3"/>
      <c r="K97" s="3"/>
      <c r="L97" s="3"/>
    </row>
    <row r="98" spans="1:12">
      <c r="A98" s="60" t="s">
        <v>2511</v>
      </c>
      <c r="H98" s="3"/>
      <c r="I98" s="3"/>
      <c r="J98" s="3"/>
      <c r="K98" s="3"/>
      <c r="L98" s="3"/>
    </row>
    <row r="99" spans="1:12">
      <c r="A99" s="60" t="s">
        <v>2512</v>
      </c>
      <c r="H99" s="3"/>
      <c r="I99" s="3"/>
      <c r="J99" s="3"/>
      <c r="K99" s="3"/>
      <c r="L99" s="3"/>
    </row>
    <row r="101" spans="1:12">
      <c r="A101" s="851" t="s">
        <v>2513</v>
      </c>
      <c r="B101" s="851"/>
      <c r="C101" s="851"/>
      <c r="D101" s="851"/>
      <c r="E101" s="851"/>
      <c r="F101" s="851"/>
      <c r="G101" s="851"/>
      <c r="H101" s="851"/>
      <c r="I101" s="851"/>
      <c r="J101" s="851"/>
      <c r="K101" s="851"/>
      <c r="L101" s="851"/>
    </row>
    <row r="102" spans="1:12">
      <c r="A102" s="851"/>
      <c r="B102" s="851"/>
      <c r="C102" s="851"/>
      <c r="D102" s="851"/>
      <c r="E102" s="851"/>
      <c r="F102" s="851"/>
      <c r="G102" s="851"/>
      <c r="H102" s="851"/>
      <c r="I102" s="851"/>
      <c r="J102" s="851"/>
      <c r="K102" s="851"/>
      <c r="L102" s="851"/>
    </row>
    <row r="103" spans="1:12">
      <c r="A103" s="851"/>
      <c r="B103" s="851"/>
      <c r="C103" s="851"/>
      <c r="D103" s="851"/>
      <c r="E103" s="851"/>
      <c r="F103" s="851"/>
      <c r="G103" s="851"/>
      <c r="H103" s="851"/>
      <c r="I103" s="851"/>
      <c r="J103" s="851"/>
      <c r="K103" s="851"/>
      <c r="L103" s="851"/>
    </row>
    <row r="105" spans="1:12">
      <c r="A105" s="17" t="s">
        <v>18</v>
      </c>
      <c r="B105" s="1" t="s">
        <v>1885</v>
      </c>
      <c r="C105" s="1"/>
      <c r="D105" s="1"/>
      <c r="E105" s="1"/>
      <c r="F105" s="1"/>
      <c r="G105" s="1"/>
      <c r="H105" s="1"/>
      <c r="I105" s="1"/>
      <c r="J105" s="1"/>
      <c r="K105" s="1"/>
      <c r="L105" s="1"/>
    </row>
    <row r="106" spans="1:12">
      <c r="A106" s="3"/>
      <c r="B106" s="3"/>
      <c r="C106" s="3"/>
      <c r="D106" s="3"/>
      <c r="E106" s="3"/>
      <c r="F106" s="3"/>
      <c r="G106" s="3"/>
      <c r="H106" s="3"/>
      <c r="I106" s="3"/>
      <c r="J106" s="3"/>
      <c r="K106" s="3"/>
      <c r="L106" s="3"/>
    </row>
    <row r="107" spans="1:12">
      <c r="A107" s="3" t="s">
        <v>20</v>
      </c>
      <c r="B107" s="3"/>
      <c r="C107" s="3"/>
      <c r="D107" s="3"/>
      <c r="E107" s="3"/>
      <c r="F107" s="3"/>
      <c r="G107" s="3"/>
      <c r="H107" s="3"/>
      <c r="I107" s="3"/>
      <c r="J107" s="3"/>
      <c r="K107" s="3"/>
      <c r="L107" s="3"/>
    </row>
    <row r="108" spans="1:12">
      <c r="A108" s="3"/>
      <c r="B108" s="3"/>
      <c r="C108" s="3"/>
      <c r="D108" s="3"/>
      <c r="E108" s="3"/>
      <c r="F108" s="3"/>
      <c r="G108" s="3"/>
      <c r="H108" s="3"/>
      <c r="I108" s="3"/>
      <c r="J108" s="3"/>
      <c r="K108" s="3"/>
      <c r="L108" s="3"/>
    </row>
    <row r="109" spans="1:12">
      <c r="A109" s="414" t="s">
        <v>978</v>
      </c>
      <c r="B109" s="3"/>
      <c r="C109" s="3"/>
      <c r="D109" s="3"/>
      <c r="E109" s="3"/>
      <c r="F109" s="3"/>
      <c r="G109" s="3"/>
      <c r="H109" s="3"/>
      <c r="I109" s="3"/>
      <c r="J109" s="3"/>
      <c r="K109" s="3"/>
      <c r="L109" s="3"/>
    </row>
    <row r="110" spans="1:12">
      <c r="A110" s="465" t="s">
        <v>2514</v>
      </c>
      <c r="B110" s="3"/>
      <c r="C110" s="3"/>
      <c r="D110" s="3"/>
      <c r="E110" s="3"/>
      <c r="F110" s="3"/>
      <c r="G110" s="3"/>
      <c r="H110" s="3"/>
      <c r="I110" s="3"/>
      <c r="J110" s="3"/>
      <c r="K110" s="3"/>
      <c r="L110" s="3"/>
    </row>
    <row r="111" spans="1:12">
      <c r="A111" s="3"/>
      <c r="B111" s="3"/>
      <c r="C111" s="3"/>
      <c r="D111" s="3"/>
      <c r="E111" s="3"/>
      <c r="F111" s="3"/>
      <c r="G111" s="3"/>
      <c r="H111" s="3"/>
      <c r="I111" s="3"/>
      <c r="J111" s="3"/>
      <c r="K111" s="3"/>
      <c r="L111" s="3"/>
    </row>
    <row r="112" spans="1:12">
      <c r="A112" s="2" t="s">
        <v>2515</v>
      </c>
      <c r="G112" s="83">
        <v>4400</v>
      </c>
      <c r="I112" s="3"/>
      <c r="J112" s="3"/>
      <c r="K112" s="3"/>
      <c r="L112" s="3"/>
    </row>
    <row r="113" spans="1:12">
      <c r="I113" s="3"/>
      <c r="J113" s="3"/>
      <c r="K113" s="3"/>
      <c r="L113" s="3"/>
    </row>
    <row r="114" spans="1:12">
      <c r="A114" s="2" t="s">
        <v>2516</v>
      </c>
      <c r="I114" s="3"/>
      <c r="J114" s="3"/>
      <c r="K114" s="3"/>
      <c r="L114" s="3"/>
    </row>
    <row r="115" spans="1:12" ht="31.2">
      <c r="A115" s="35" t="s">
        <v>58</v>
      </c>
      <c r="B115" s="716">
        <v>12</v>
      </c>
      <c r="C115" s="716">
        <f>B115+12</f>
        <v>24</v>
      </c>
      <c r="D115" s="716">
        <f t="shared" ref="D115:G115" si="14">C115+12</f>
        <v>36</v>
      </c>
      <c r="E115" s="716">
        <f t="shared" si="14"/>
        <v>48</v>
      </c>
      <c r="F115" s="716">
        <f t="shared" si="14"/>
        <v>60</v>
      </c>
      <c r="G115" s="716">
        <f t="shared" si="14"/>
        <v>72</v>
      </c>
      <c r="H115" s="36" t="s">
        <v>2517</v>
      </c>
      <c r="I115" s="3"/>
      <c r="J115" s="3"/>
      <c r="K115" s="3"/>
      <c r="L115" s="3"/>
    </row>
    <row r="116" spans="1:12">
      <c r="A116" s="94">
        <v>2018</v>
      </c>
      <c r="B116" s="160">
        <f t="shared" ref="B116:G116" si="15">C35/$H116</f>
        <v>0.3865319865319865</v>
      </c>
      <c r="C116" s="160">
        <f t="shared" si="15"/>
        <v>0.58047138047138047</v>
      </c>
      <c r="D116" s="160">
        <f t="shared" si="15"/>
        <v>0.72053872053872059</v>
      </c>
      <c r="E116" s="160">
        <f t="shared" si="15"/>
        <v>0.81481481481481477</v>
      </c>
      <c r="F116" s="160">
        <f t="shared" si="15"/>
        <v>0.88821548821548824</v>
      </c>
      <c r="G116" s="160">
        <f t="shared" si="15"/>
        <v>0.99057239057239055</v>
      </c>
      <c r="H116" s="83">
        <f t="shared" ref="H116:H121" si="16">I26</f>
        <v>1485</v>
      </c>
      <c r="I116" s="3"/>
      <c r="J116" s="3"/>
      <c r="K116" s="3"/>
      <c r="L116" s="3"/>
    </row>
    <row r="117" spans="1:12">
      <c r="A117" s="94">
        <f>A116+1</f>
        <v>2019</v>
      </c>
      <c r="B117" s="160">
        <f>C36/$H117</f>
        <v>0.39477211796246647</v>
      </c>
      <c r="C117" s="160">
        <f>D36/$H117</f>
        <v>0.57774798927613946</v>
      </c>
      <c r="D117" s="160">
        <f>E36/$H117</f>
        <v>0.7024128686327078</v>
      </c>
      <c r="E117" s="160">
        <f>F36/$H117</f>
        <v>0.81032171581769441</v>
      </c>
      <c r="F117" s="160">
        <f>G36/$H117</f>
        <v>0.96246648793565681</v>
      </c>
      <c r="H117" s="83">
        <f t="shared" si="16"/>
        <v>1492</v>
      </c>
      <c r="I117" s="3"/>
      <c r="J117" s="3"/>
      <c r="K117" s="3"/>
      <c r="L117" s="3"/>
    </row>
    <row r="118" spans="1:12">
      <c r="A118" s="94">
        <f t="shared" ref="A118:A121" si="17">A117+1</f>
        <v>2020</v>
      </c>
      <c r="B118" s="160">
        <f>C37/$H118</f>
        <v>0.38759172781854567</v>
      </c>
      <c r="C118" s="160">
        <f>D37/$H118</f>
        <v>0.57505003335557037</v>
      </c>
      <c r="D118" s="160">
        <f>E37/$H118</f>
        <v>0.7111407605070047</v>
      </c>
      <c r="E118" s="160">
        <f>F37/$H118</f>
        <v>0.88792528352234823</v>
      </c>
      <c r="H118" s="83">
        <f t="shared" si="16"/>
        <v>1499</v>
      </c>
      <c r="I118" s="3"/>
      <c r="J118" s="3"/>
      <c r="K118" s="3"/>
      <c r="L118" s="3"/>
    </row>
    <row r="119" spans="1:12">
      <c r="A119" s="94">
        <f t="shared" si="17"/>
        <v>2021</v>
      </c>
      <c r="B119" s="160">
        <f>C38/$H119</f>
        <v>0.39454424484364603</v>
      </c>
      <c r="C119" s="160">
        <f>D38/$H119</f>
        <v>0.56353958749168331</v>
      </c>
      <c r="D119" s="160">
        <f>E38/$H119</f>
        <v>0.79773785761809712</v>
      </c>
      <c r="H119" s="83">
        <f t="shared" si="16"/>
        <v>1503</v>
      </c>
      <c r="I119" s="3"/>
      <c r="J119" s="3"/>
      <c r="K119" s="3"/>
      <c r="L119" s="3"/>
    </row>
    <row r="120" spans="1:12">
      <c r="A120" s="94">
        <f t="shared" si="17"/>
        <v>2022</v>
      </c>
      <c r="B120" s="160">
        <f>C39/$H120</f>
        <v>0.39823609226594303</v>
      </c>
      <c r="C120" s="160">
        <f>D39/$H120</f>
        <v>0.62957937584803259</v>
      </c>
      <c r="H120" s="83">
        <f t="shared" si="16"/>
        <v>1474</v>
      </c>
      <c r="I120" s="3"/>
      <c r="J120" s="3"/>
      <c r="K120" s="3"/>
      <c r="L120" s="3"/>
    </row>
    <row r="121" spans="1:12">
      <c r="A121" s="107">
        <f t="shared" si="17"/>
        <v>2023</v>
      </c>
      <c r="B121" s="175">
        <f>C40/$H121</f>
        <v>0.4198524480214621</v>
      </c>
      <c r="C121" s="319"/>
      <c r="D121" s="319"/>
      <c r="E121" s="319"/>
      <c r="F121" s="319"/>
      <c r="G121" s="319"/>
      <c r="H121" s="86">
        <f t="shared" si="16"/>
        <v>1491</v>
      </c>
      <c r="I121" s="3"/>
      <c r="J121" s="3"/>
      <c r="K121" s="3"/>
      <c r="L121" s="3"/>
    </row>
    <row r="122" spans="1:12">
      <c r="A122" s="34" t="s">
        <v>797</v>
      </c>
      <c r="B122" s="160">
        <f>B121</f>
        <v>0.4198524480214621</v>
      </c>
      <c r="C122" s="160">
        <f>C120</f>
        <v>0.62957937584803259</v>
      </c>
      <c r="D122" s="160">
        <f>D119</f>
        <v>0.79773785761809712</v>
      </c>
      <c r="E122" s="160">
        <f>E118</f>
        <v>0.88792528352234823</v>
      </c>
      <c r="F122" s="160">
        <f>F117</f>
        <v>0.96246648793565681</v>
      </c>
      <c r="G122" s="160">
        <f>G116</f>
        <v>0.99057239057239055</v>
      </c>
      <c r="I122" s="3"/>
      <c r="J122" s="3"/>
      <c r="K122" s="3"/>
      <c r="L122" s="3"/>
    </row>
    <row r="123" spans="1:12">
      <c r="I123" s="3"/>
      <c r="J123" s="3"/>
      <c r="K123" s="3"/>
      <c r="L123" s="3"/>
    </row>
    <row r="124" spans="1:12">
      <c r="A124" s="2" t="s">
        <v>1166</v>
      </c>
      <c r="I124" s="3"/>
      <c r="J124" s="3"/>
      <c r="K124" s="3"/>
      <c r="L124" s="3"/>
    </row>
    <row r="125" spans="1:12" ht="31.2">
      <c r="A125" s="35" t="s">
        <v>58</v>
      </c>
      <c r="B125" s="716">
        <v>12</v>
      </c>
      <c r="C125" s="716">
        <f>B125+12</f>
        <v>24</v>
      </c>
      <c r="D125" s="716">
        <f t="shared" ref="D125:G125" si="18">C125+12</f>
        <v>36</v>
      </c>
      <c r="E125" s="716">
        <f t="shared" si="18"/>
        <v>48</v>
      </c>
      <c r="F125" s="716">
        <f t="shared" si="18"/>
        <v>60</v>
      </c>
      <c r="G125" s="716">
        <f t="shared" si="18"/>
        <v>72</v>
      </c>
      <c r="H125" s="93" t="s">
        <v>2517</v>
      </c>
      <c r="I125" s="3"/>
      <c r="J125" s="3"/>
      <c r="K125" s="3"/>
      <c r="L125" s="3"/>
    </row>
    <row r="126" spans="1:12">
      <c r="A126" s="94">
        <v>2018</v>
      </c>
      <c r="B126" s="83">
        <f t="shared" ref="B126:G131" si="19">B$122*$H126</f>
        <v>623.48088531187125</v>
      </c>
      <c r="C126" s="83">
        <f t="shared" si="19"/>
        <v>934.92537313432842</v>
      </c>
      <c r="D126" s="83">
        <f t="shared" si="19"/>
        <v>1184.6407185628743</v>
      </c>
      <c r="E126" s="83">
        <f t="shared" si="19"/>
        <v>1318.5690460306871</v>
      </c>
      <c r="F126" s="83">
        <f t="shared" si="19"/>
        <v>1429.2627345844503</v>
      </c>
      <c r="G126" s="83">
        <f t="shared" si="19"/>
        <v>1471</v>
      </c>
      <c r="H126" s="106">
        <f>I26</f>
        <v>1485</v>
      </c>
      <c r="I126" s="3"/>
      <c r="J126" s="3"/>
      <c r="K126" s="3"/>
      <c r="L126" s="3"/>
    </row>
    <row r="127" spans="1:12">
      <c r="A127" s="94">
        <f>A126+1</f>
        <v>2019</v>
      </c>
      <c r="B127" s="83">
        <f t="shared" si="19"/>
        <v>626.4198524480214</v>
      </c>
      <c r="C127" s="83">
        <f>C$122*$H127</f>
        <v>939.33242876526458</v>
      </c>
      <c r="D127" s="83">
        <f>D$122*$H127</f>
        <v>1190.224883566201</v>
      </c>
      <c r="E127" s="83">
        <f>E$122*$H127</f>
        <v>1324.7845230153437</v>
      </c>
      <c r="F127" s="83">
        <f>F$122*$H127</f>
        <v>1436</v>
      </c>
      <c r="G127" s="83"/>
      <c r="H127" s="106">
        <f t="shared" ref="H127:H131" si="20">I27</f>
        <v>1492</v>
      </c>
      <c r="I127" s="3"/>
      <c r="J127" s="3"/>
      <c r="K127" s="3"/>
      <c r="L127" s="3"/>
    </row>
    <row r="128" spans="1:12">
      <c r="A128" s="94">
        <f t="shared" ref="A128:A131" si="21">A127+1</f>
        <v>2020</v>
      </c>
      <c r="B128" s="83">
        <f t="shared" si="19"/>
        <v>629.35881958417167</v>
      </c>
      <c r="C128" s="83">
        <f>C$122*$H128</f>
        <v>943.73948439620085</v>
      </c>
      <c r="D128" s="83">
        <f>D$122*$H128</f>
        <v>1195.8090485695275</v>
      </c>
      <c r="E128" s="83">
        <f>E$122*$H128</f>
        <v>1331</v>
      </c>
      <c r="F128" s="83"/>
      <c r="G128" s="83"/>
      <c r="H128" s="106">
        <f t="shared" si="20"/>
        <v>1499</v>
      </c>
      <c r="I128" s="3"/>
      <c r="J128" s="3"/>
      <c r="K128" s="3"/>
      <c r="L128" s="3"/>
    </row>
    <row r="129" spans="1:12">
      <c r="A129" s="94">
        <f t="shared" si="21"/>
        <v>2021</v>
      </c>
      <c r="B129" s="83">
        <f t="shared" si="19"/>
        <v>631.0382293762575</v>
      </c>
      <c r="C129" s="83">
        <f>C$122*$H129</f>
        <v>946.25780189959301</v>
      </c>
      <c r="D129" s="83">
        <f>D$122*$H129</f>
        <v>1199</v>
      </c>
      <c r="E129" s="83"/>
      <c r="F129" s="83"/>
      <c r="G129" s="83"/>
      <c r="H129" s="106">
        <f t="shared" si="20"/>
        <v>1503</v>
      </c>
      <c r="I129" s="3"/>
      <c r="J129" s="3"/>
      <c r="K129" s="3"/>
      <c r="L129" s="3"/>
    </row>
    <row r="130" spans="1:12">
      <c r="A130" s="94">
        <f t="shared" si="21"/>
        <v>2022</v>
      </c>
      <c r="B130" s="83">
        <f t="shared" si="19"/>
        <v>618.86250838363515</v>
      </c>
      <c r="C130" s="83">
        <f>C$122*$H130</f>
        <v>928</v>
      </c>
      <c r="D130" s="83"/>
      <c r="E130" s="83"/>
      <c r="F130" s="83"/>
      <c r="G130" s="83"/>
      <c r="H130" s="106">
        <f t="shared" si="20"/>
        <v>1474</v>
      </c>
      <c r="I130" s="3"/>
      <c r="J130" s="3"/>
      <c r="K130" s="3"/>
      <c r="L130" s="3"/>
    </row>
    <row r="131" spans="1:12">
      <c r="A131" s="94">
        <f t="shared" si="21"/>
        <v>2023</v>
      </c>
      <c r="B131" s="83">
        <f t="shared" si="19"/>
        <v>626</v>
      </c>
      <c r="C131" s="83"/>
      <c r="D131" s="83"/>
      <c r="E131" s="83"/>
      <c r="F131" s="83"/>
      <c r="G131" s="83"/>
      <c r="H131" s="106">
        <f t="shared" si="20"/>
        <v>1491</v>
      </c>
      <c r="I131" s="3"/>
      <c r="J131" s="3"/>
      <c r="K131" s="3"/>
      <c r="L131" s="3"/>
    </row>
    <row r="132" spans="1:12">
      <c r="A132" s="94"/>
      <c r="B132" s="83"/>
      <c r="C132" s="11"/>
      <c r="D132" s="11"/>
      <c r="E132" s="11"/>
      <c r="F132" s="11"/>
      <c r="G132" s="11"/>
      <c r="I132" s="3"/>
      <c r="J132" s="3"/>
      <c r="K132" s="3"/>
      <c r="L132" s="3"/>
    </row>
    <row r="133" spans="1:12">
      <c r="A133" s="2" t="s">
        <v>2518</v>
      </c>
      <c r="B133" s="83"/>
      <c r="C133" s="11"/>
      <c r="D133" s="11"/>
      <c r="E133" s="11"/>
      <c r="F133" s="11"/>
      <c r="G133" s="11"/>
      <c r="I133" s="3"/>
      <c r="J133" s="3"/>
      <c r="K133" s="3"/>
      <c r="L133" s="3"/>
    </row>
    <row r="134" spans="1:12">
      <c r="A134" s="35" t="s">
        <v>58</v>
      </c>
      <c r="B134" s="716">
        <v>12</v>
      </c>
      <c r="C134" s="716">
        <f>B134+12</f>
        <v>24</v>
      </c>
      <c r="D134" s="716">
        <f t="shared" ref="D134:G134" si="22">C134+12</f>
        <v>36</v>
      </c>
      <c r="E134" s="716">
        <f t="shared" si="22"/>
        <v>48</v>
      </c>
      <c r="F134" s="716">
        <f t="shared" si="22"/>
        <v>60</v>
      </c>
      <c r="G134" s="716">
        <f t="shared" si="22"/>
        <v>72</v>
      </c>
      <c r="I134" s="3"/>
      <c r="J134" s="3"/>
      <c r="K134" s="3"/>
      <c r="L134" s="3"/>
    </row>
    <row r="135" spans="1:12">
      <c r="A135" s="94">
        <v>2018</v>
      </c>
      <c r="B135" s="83">
        <f t="shared" ref="B135:G135" si="23">B126*$G$112</f>
        <v>2743315.8953722334</v>
      </c>
      <c r="C135" s="83">
        <f t="shared" si="23"/>
        <v>4113671.6417910452</v>
      </c>
      <c r="D135" s="83">
        <f t="shared" si="23"/>
        <v>5212419.1616766471</v>
      </c>
      <c r="E135" s="83">
        <f t="shared" si="23"/>
        <v>5801703.8025350235</v>
      </c>
      <c r="F135" s="83">
        <f t="shared" si="23"/>
        <v>6288756.0321715809</v>
      </c>
      <c r="G135" s="83">
        <f t="shared" si="23"/>
        <v>6472400</v>
      </c>
      <c r="I135" s="3"/>
      <c r="J135" s="3"/>
      <c r="K135" s="3"/>
      <c r="L135" s="3"/>
    </row>
    <row r="136" spans="1:12">
      <c r="A136" s="94">
        <f>A135+1</f>
        <v>2019</v>
      </c>
      <c r="B136" s="83">
        <f>B127*$G$112</f>
        <v>2756247.350771294</v>
      </c>
      <c r="C136" s="83">
        <f>C127*$G$112</f>
        <v>4133062.686567164</v>
      </c>
      <c r="D136" s="83">
        <f>D127*$G$112</f>
        <v>5236989.4876912842</v>
      </c>
      <c r="E136" s="83">
        <f>E127*$G$112</f>
        <v>5829051.9012675118</v>
      </c>
      <c r="F136" s="83">
        <f>F127*$G$112</f>
        <v>6318400</v>
      </c>
      <c r="G136" s="11"/>
      <c r="I136" s="3"/>
      <c r="J136" s="3"/>
      <c r="K136" s="3"/>
      <c r="L136" s="3"/>
    </row>
    <row r="137" spans="1:12">
      <c r="A137" s="94">
        <f t="shared" ref="A137:A140" si="24">A136+1</f>
        <v>2020</v>
      </c>
      <c r="B137" s="83">
        <f>B128*$G$112</f>
        <v>2769178.8061703555</v>
      </c>
      <c r="C137" s="83">
        <f>C128*$G$112</f>
        <v>4152453.7313432838</v>
      </c>
      <c r="D137" s="83">
        <f>D128*$G$112</f>
        <v>5261559.8137059212</v>
      </c>
      <c r="E137" s="83">
        <f>E128*$G$112</f>
        <v>5856400</v>
      </c>
      <c r="F137" s="11"/>
      <c r="G137" s="11"/>
      <c r="I137" s="3"/>
      <c r="J137" s="3"/>
      <c r="K137" s="3"/>
      <c r="L137" s="3"/>
    </row>
    <row r="138" spans="1:12">
      <c r="A138" s="94">
        <f t="shared" si="24"/>
        <v>2021</v>
      </c>
      <c r="B138" s="83">
        <f>B129*$G$112</f>
        <v>2776568.2092555328</v>
      </c>
      <c r="C138" s="83">
        <f>C129*$G$112</f>
        <v>4163534.3283582092</v>
      </c>
      <c r="D138" s="83">
        <f>D129*$G$112</f>
        <v>5275600</v>
      </c>
      <c r="E138" s="11"/>
      <c r="F138" s="11"/>
      <c r="G138" s="11"/>
      <c r="I138" s="3"/>
      <c r="J138" s="3"/>
      <c r="K138" s="3"/>
      <c r="L138" s="3"/>
    </row>
    <row r="139" spans="1:12">
      <c r="A139" s="94">
        <f t="shared" si="24"/>
        <v>2022</v>
      </c>
      <c r="B139" s="83">
        <f>B130*$G$112</f>
        <v>2722995.0368879945</v>
      </c>
      <c r="C139" s="83">
        <f>C130*$G$112</f>
        <v>4083200</v>
      </c>
      <c r="D139" s="11"/>
      <c r="E139" s="11"/>
      <c r="F139" s="11"/>
      <c r="G139" s="11"/>
      <c r="I139" s="3"/>
      <c r="J139" s="3"/>
      <c r="K139" s="3"/>
      <c r="L139" s="3"/>
    </row>
    <row r="140" spans="1:12">
      <c r="A140" s="94">
        <f t="shared" si="24"/>
        <v>2023</v>
      </c>
      <c r="B140" s="83">
        <f>B131*$G$112</f>
        <v>2754400</v>
      </c>
      <c r="C140" s="11"/>
      <c r="D140" s="11"/>
      <c r="E140" s="11"/>
      <c r="F140" s="11"/>
      <c r="G140" s="11"/>
      <c r="I140" s="3"/>
      <c r="J140" s="3"/>
      <c r="K140" s="3"/>
      <c r="L140" s="3"/>
    </row>
    <row r="142" spans="1:12">
      <c r="A142" s="17" t="s">
        <v>25</v>
      </c>
      <c r="B142" s="1" t="s">
        <v>2519</v>
      </c>
      <c r="C142" s="1"/>
      <c r="D142" s="1"/>
      <c r="E142" s="1"/>
      <c r="F142" s="1"/>
      <c r="G142" s="1"/>
      <c r="H142" s="1"/>
      <c r="I142" s="1"/>
      <c r="J142" s="1"/>
      <c r="K142" s="1"/>
      <c r="L142" s="1"/>
    </row>
    <row r="143" spans="1:12">
      <c r="A143" s="3"/>
      <c r="B143" s="3"/>
      <c r="C143" s="3"/>
      <c r="D143" s="3"/>
      <c r="E143" s="3"/>
      <c r="F143" s="3"/>
      <c r="G143" s="3"/>
      <c r="H143" s="3"/>
      <c r="I143" s="3"/>
      <c r="J143" s="3"/>
      <c r="K143" s="3"/>
      <c r="L143" s="3"/>
    </row>
    <row r="144" spans="1:12">
      <c r="A144" s="3" t="s">
        <v>20</v>
      </c>
      <c r="B144" s="3"/>
      <c r="C144" s="3"/>
      <c r="D144" s="3"/>
      <c r="E144" s="3"/>
      <c r="F144" s="3"/>
      <c r="G144" s="3"/>
      <c r="H144" s="3"/>
      <c r="I144" s="3"/>
      <c r="J144" s="3"/>
      <c r="K144" s="3"/>
      <c r="L144" s="3"/>
    </row>
    <row r="145" spans="1:12">
      <c r="A145" s="3"/>
      <c r="B145" s="3"/>
      <c r="C145" s="3"/>
      <c r="D145" s="3"/>
      <c r="E145" s="3"/>
      <c r="F145" s="3"/>
      <c r="G145" s="3"/>
      <c r="H145" s="3"/>
      <c r="I145" s="3"/>
      <c r="J145" s="3"/>
      <c r="K145" s="3"/>
      <c r="L145" s="3"/>
    </row>
    <row r="146" spans="1:12">
      <c r="A146" s="3" t="s">
        <v>2520</v>
      </c>
      <c r="B146" s="3"/>
      <c r="C146" s="3"/>
      <c r="D146" s="3"/>
      <c r="E146" s="3"/>
      <c r="F146" s="3"/>
      <c r="G146" s="3"/>
      <c r="H146" s="3"/>
      <c r="I146" s="3"/>
      <c r="J146" s="3"/>
      <c r="K146" s="3"/>
      <c r="L146" s="3"/>
    </row>
    <row r="147" spans="1:12">
      <c r="A147" s="2" t="s">
        <v>2521</v>
      </c>
    </row>
    <row r="149" spans="1:12">
      <c r="A149" s="17" t="s">
        <v>147</v>
      </c>
      <c r="B149" s="1" t="s">
        <v>2522</v>
      </c>
      <c r="C149" s="1"/>
      <c r="D149" s="1"/>
      <c r="E149" s="1"/>
      <c r="F149" s="1"/>
      <c r="G149" s="1"/>
      <c r="H149" s="1"/>
      <c r="I149" s="1"/>
      <c r="J149" s="1"/>
      <c r="K149" s="1"/>
      <c r="L149" s="1"/>
    </row>
    <row r="150" spans="1:12">
      <c r="A150" s="3"/>
      <c r="B150" s="3"/>
      <c r="C150" s="3"/>
      <c r="D150" s="3"/>
      <c r="E150" s="3"/>
      <c r="F150" s="3"/>
      <c r="G150" s="3"/>
      <c r="H150" s="3"/>
      <c r="I150" s="3"/>
      <c r="J150" s="3"/>
      <c r="K150" s="3"/>
      <c r="L150" s="3"/>
    </row>
    <row r="151" spans="1:12">
      <c r="A151" s="3" t="s">
        <v>20</v>
      </c>
      <c r="B151" s="3"/>
      <c r="C151" s="3"/>
      <c r="D151" s="3"/>
      <c r="E151" s="3"/>
      <c r="F151" s="3"/>
      <c r="G151" s="3"/>
      <c r="H151" s="3"/>
      <c r="I151" s="3"/>
      <c r="J151" s="3"/>
      <c r="K151" s="3"/>
      <c r="L151" s="3"/>
    </row>
    <row r="152" spans="1:12">
      <c r="A152" s="3"/>
      <c r="B152" s="3"/>
      <c r="C152" s="3"/>
      <c r="D152" s="3"/>
      <c r="E152" s="3"/>
      <c r="F152" s="3"/>
      <c r="G152" s="3"/>
      <c r="H152" s="3"/>
      <c r="I152" s="3"/>
      <c r="J152" s="3"/>
      <c r="K152" s="3"/>
      <c r="L152" s="3"/>
    </row>
    <row r="153" spans="1:12">
      <c r="A153" s="3" t="s">
        <v>2523</v>
      </c>
      <c r="B153" s="3"/>
      <c r="C153" s="3"/>
      <c r="D153" s="3"/>
      <c r="E153" s="3"/>
      <c r="F153" s="3"/>
      <c r="G153" s="3"/>
      <c r="H153" s="3"/>
      <c r="I153" s="3"/>
      <c r="J153" s="3"/>
      <c r="K153" s="3"/>
      <c r="L153" s="3"/>
    </row>
    <row r="155" spans="1:12">
      <c r="A155" s="831" t="s">
        <v>2524</v>
      </c>
      <c r="B155" s="831"/>
      <c r="C155" s="831"/>
      <c r="D155" s="831"/>
      <c r="E155" s="831"/>
      <c r="F155" s="831"/>
      <c r="G155" s="831"/>
      <c r="H155" s="831"/>
      <c r="I155" s="831"/>
      <c r="J155" s="831"/>
      <c r="K155" s="831"/>
      <c r="L155" s="831"/>
    </row>
    <row r="156" spans="1:12">
      <c r="A156" s="831"/>
      <c r="B156" s="831"/>
      <c r="C156" s="831"/>
      <c r="D156" s="831"/>
      <c r="E156" s="831"/>
      <c r="F156" s="831"/>
      <c r="G156" s="831"/>
      <c r="H156" s="831"/>
      <c r="I156" s="831"/>
      <c r="J156" s="831"/>
      <c r="K156" s="831"/>
      <c r="L156" s="831"/>
    </row>
    <row r="158" spans="1:12">
      <c r="A158" s="17" t="s">
        <v>545</v>
      </c>
      <c r="B158" s="1" t="s">
        <v>2525</v>
      </c>
      <c r="C158" s="1"/>
      <c r="D158" s="1"/>
      <c r="E158" s="1"/>
      <c r="F158" s="1"/>
      <c r="G158" s="1"/>
      <c r="H158" s="1"/>
      <c r="I158" s="1"/>
      <c r="J158" s="1"/>
      <c r="K158" s="1"/>
      <c r="L158" s="1"/>
    </row>
    <row r="159" spans="1:12">
      <c r="A159" s="3"/>
      <c r="B159" s="3"/>
      <c r="C159" s="3"/>
      <c r="D159" s="3"/>
      <c r="E159" s="3"/>
      <c r="F159" s="3"/>
      <c r="G159" s="3"/>
      <c r="H159" s="3"/>
      <c r="I159" s="3"/>
      <c r="J159" s="3"/>
      <c r="K159" s="3"/>
      <c r="L159" s="3"/>
    </row>
    <row r="160" spans="1:12">
      <c r="A160" s="3" t="s">
        <v>20</v>
      </c>
      <c r="B160" s="3"/>
      <c r="C160" s="3"/>
      <c r="D160" s="3"/>
      <c r="E160" s="3"/>
      <c r="F160" s="3"/>
      <c r="G160" s="3"/>
      <c r="H160" s="3"/>
      <c r="I160" s="3"/>
      <c r="J160" s="3"/>
      <c r="K160" s="3"/>
      <c r="L160" s="3"/>
    </row>
    <row r="161" spans="1:12">
      <c r="A161" s="3"/>
      <c r="B161" s="3"/>
      <c r="C161" s="3"/>
      <c r="D161" s="3"/>
      <c r="E161" s="3"/>
      <c r="F161" s="3"/>
      <c r="G161" s="3"/>
      <c r="H161" s="3"/>
      <c r="I161" s="3"/>
      <c r="J161" s="3"/>
      <c r="K161" s="3"/>
      <c r="L161" s="3"/>
    </row>
    <row r="162" spans="1:12">
      <c r="A162" s="3" t="s">
        <v>2526</v>
      </c>
      <c r="B162" s="3"/>
      <c r="C162" s="3"/>
      <c r="D162" s="3"/>
      <c r="E162" s="3"/>
      <c r="F162" s="3"/>
      <c r="G162" s="3"/>
      <c r="H162" s="3"/>
      <c r="I162" s="3"/>
      <c r="J162" s="3"/>
      <c r="K162" s="3"/>
      <c r="L162" s="3"/>
    </row>
    <row r="163" spans="1:12">
      <c r="A163" s="2" t="s">
        <v>2527</v>
      </c>
    </row>
    <row r="164" spans="1:12">
      <c r="A164" s="2" t="s">
        <v>2528</v>
      </c>
    </row>
  </sheetData>
  <mergeCells count="19">
    <mergeCell ref="A3:L4"/>
    <mergeCell ref="B6:B7"/>
    <mergeCell ref="C6:H6"/>
    <mergeCell ref="I6:I7"/>
    <mergeCell ref="B15:B16"/>
    <mergeCell ref="C15:H15"/>
    <mergeCell ref="I15:I16"/>
    <mergeCell ref="A155:L156"/>
    <mergeCell ref="B24:B25"/>
    <mergeCell ref="C24:H24"/>
    <mergeCell ref="I24:I25"/>
    <mergeCell ref="B33:B34"/>
    <mergeCell ref="C33:H33"/>
    <mergeCell ref="I33:I34"/>
    <mergeCell ref="A80:A81"/>
    <mergeCell ref="B80:G80"/>
    <mergeCell ref="A89:A90"/>
    <mergeCell ref="B89:G89"/>
    <mergeCell ref="A101:L103"/>
  </mergeCells>
  <hyperlinks>
    <hyperlink ref="O1" location="TOC!A1" display="Table of Contents" xr:uid="{92D44E15-B502-43A7-84CB-90232EB6F9FC}"/>
  </hyperlinks>
  <pageMargins left="0.7" right="0.7" top="0.75" bottom="0.75" header="0.3" footer="0.3"/>
  <pageSetup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9A0F-7E7C-4BB0-ABB7-201E81C74E98}">
  <dimension ref="A1:R100"/>
  <sheetViews>
    <sheetView zoomScaleNormal="100" workbookViewId="0"/>
  </sheetViews>
  <sheetFormatPr defaultColWidth="8.88671875" defaultRowHeight="15.6"/>
  <cols>
    <col min="1" max="5" width="14.6640625" style="2" customWidth="1"/>
    <col min="6" max="6" width="8.88671875" style="2" customWidth="1"/>
    <col min="7" max="7" width="8.88671875" style="2"/>
    <col min="8" max="8" width="8.88671875" style="2" customWidth="1"/>
    <col min="9" max="16384" width="8.88671875" style="2"/>
  </cols>
  <sheetData>
    <row r="1" spans="1:18" ht="17.399999999999999">
      <c r="A1" s="13" t="s">
        <v>2594</v>
      </c>
      <c r="B1" s="1"/>
      <c r="C1" s="1"/>
      <c r="D1" s="1" t="s">
        <v>240</v>
      </c>
      <c r="E1" s="1"/>
      <c r="F1" s="1"/>
      <c r="G1" s="1"/>
      <c r="H1" s="1"/>
      <c r="I1" s="1"/>
      <c r="J1" s="1"/>
      <c r="K1" s="1"/>
      <c r="L1" s="14"/>
      <c r="O1" s="21" t="s">
        <v>2927</v>
      </c>
    </row>
    <row r="2" spans="1:18">
      <c r="A2" s="1"/>
      <c r="B2" s="1"/>
      <c r="C2" s="1"/>
      <c r="D2" s="1"/>
      <c r="E2" s="1"/>
      <c r="F2" s="1"/>
      <c r="G2" s="1"/>
      <c r="H2" s="1"/>
      <c r="I2" s="1"/>
      <c r="J2" s="1"/>
      <c r="K2" s="1"/>
      <c r="L2" s="14"/>
    </row>
    <row r="3" spans="1:18">
      <c r="A3" s="1" t="s">
        <v>2529</v>
      </c>
      <c r="B3" s="1"/>
      <c r="C3" s="1"/>
      <c r="D3" s="1"/>
      <c r="E3" s="1"/>
      <c r="F3" s="1"/>
      <c r="G3" s="1"/>
      <c r="H3" s="1"/>
      <c r="I3" s="1"/>
      <c r="J3" s="1"/>
      <c r="K3" s="1"/>
      <c r="L3" s="14"/>
    </row>
    <row r="4" spans="1:18">
      <c r="A4" s="3"/>
      <c r="B4" s="3"/>
      <c r="C4" s="3"/>
      <c r="D4" s="3"/>
      <c r="E4" s="3"/>
      <c r="F4" s="3"/>
      <c r="G4" s="3"/>
      <c r="H4" s="3"/>
      <c r="I4" s="3"/>
      <c r="J4" s="3"/>
      <c r="K4" s="3"/>
      <c r="L4" s="3"/>
    </row>
    <row r="5" spans="1:18">
      <c r="A5" s="17" t="s">
        <v>91</v>
      </c>
      <c r="B5" s="1" t="s">
        <v>2530</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775</v>
      </c>
      <c r="B9" s="3"/>
      <c r="C9" s="3"/>
      <c r="D9" s="3"/>
      <c r="E9" s="3"/>
      <c r="F9" s="3"/>
      <c r="G9" s="3"/>
      <c r="H9" s="3"/>
      <c r="I9" s="3"/>
      <c r="J9" s="3"/>
      <c r="K9" s="3"/>
      <c r="L9" s="3"/>
      <c r="M9" s="3"/>
      <c r="N9" s="9"/>
    </row>
    <row r="10" spans="1:18">
      <c r="A10" s="2" t="s">
        <v>2531</v>
      </c>
      <c r="M10" s="9"/>
      <c r="N10" s="9"/>
    </row>
    <row r="11" spans="1:18">
      <c r="A11" s="2" t="s">
        <v>2532</v>
      </c>
      <c r="M11" s="9"/>
      <c r="N11" s="9"/>
    </row>
    <row r="12" spans="1:18">
      <c r="A12" s="2" t="s">
        <v>2533</v>
      </c>
      <c r="M12" s="9"/>
      <c r="N12" s="9"/>
    </row>
    <row r="13" spans="1:18">
      <c r="M13" s="9"/>
      <c r="N13" s="9"/>
    </row>
    <row r="14" spans="1:18">
      <c r="A14" s="1" t="s">
        <v>12</v>
      </c>
      <c r="B14" s="1"/>
      <c r="C14" s="1"/>
      <c r="D14" s="1"/>
      <c r="E14" s="1"/>
      <c r="F14" s="1"/>
      <c r="G14" s="1"/>
      <c r="H14" s="1"/>
      <c r="I14" s="1"/>
      <c r="J14" s="1"/>
      <c r="K14" s="1"/>
      <c r="L14" s="1"/>
      <c r="M14" s="9"/>
      <c r="N14" s="9"/>
    </row>
    <row r="15" spans="1:18">
      <c r="A15" s="1"/>
      <c r="B15" s="1"/>
      <c r="C15" s="1"/>
      <c r="D15" s="1"/>
      <c r="E15" s="1"/>
      <c r="F15" s="1"/>
      <c r="G15" s="1"/>
      <c r="H15" s="1"/>
      <c r="I15" s="1"/>
      <c r="J15" s="1"/>
      <c r="K15" s="1"/>
      <c r="L15" s="1"/>
      <c r="M15" s="9"/>
      <c r="N15" s="9"/>
    </row>
    <row r="16" spans="1:18">
      <c r="A16" s="1"/>
      <c r="B16" s="1"/>
      <c r="C16" s="1"/>
      <c r="D16" s="1"/>
      <c r="E16" s="1"/>
      <c r="F16" s="1"/>
      <c r="G16" s="1"/>
      <c r="H16" s="1"/>
      <c r="I16" s="1"/>
      <c r="J16" s="1"/>
      <c r="K16" s="1"/>
      <c r="L16" s="1"/>
      <c r="M16" s="9"/>
      <c r="N16" s="9"/>
    </row>
    <row r="17" spans="1:14">
      <c r="A17" s="1"/>
      <c r="B17" s="1"/>
      <c r="C17" s="1"/>
      <c r="D17" s="1"/>
      <c r="E17" s="1"/>
      <c r="F17" s="1"/>
      <c r="G17" s="1"/>
      <c r="H17" s="1"/>
      <c r="I17" s="1"/>
      <c r="J17" s="1"/>
      <c r="K17" s="1"/>
      <c r="L17" s="1"/>
      <c r="M17" s="9"/>
      <c r="N17" s="9"/>
    </row>
    <row r="18" spans="1:14">
      <c r="A18" s="1"/>
      <c r="B18" s="828" t="s">
        <v>49</v>
      </c>
      <c r="C18" s="828" t="s">
        <v>4</v>
      </c>
      <c r="D18" s="828" t="s">
        <v>2534</v>
      </c>
      <c r="E18" s="828"/>
      <c r="F18" s="1"/>
      <c r="G18" s="1"/>
      <c r="H18" s="1"/>
      <c r="I18" s="1"/>
      <c r="J18" s="1"/>
      <c r="K18" s="1"/>
      <c r="L18" s="1"/>
      <c r="M18" s="9"/>
      <c r="N18" s="9"/>
    </row>
    <row r="19" spans="1:14" ht="31.2">
      <c r="A19" s="1"/>
      <c r="B19" s="828"/>
      <c r="C19" s="828"/>
      <c r="D19" s="4" t="s">
        <v>551</v>
      </c>
      <c r="E19" s="4" t="s">
        <v>550</v>
      </c>
      <c r="F19" s="1"/>
      <c r="G19" s="1"/>
      <c r="H19" s="1"/>
      <c r="I19" s="1"/>
      <c r="J19" s="1"/>
      <c r="K19" s="1"/>
      <c r="L19" s="1"/>
      <c r="M19" s="9"/>
      <c r="N19" s="9"/>
    </row>
    <row r="20" spans="1:14">
      <c r="A20" s="1"/>
      <c r="B20" s="32">
        <v>2018</v>
      </c>
      <c r="C20" s="92">
        <v>16451</v>
      </c>
      <c r="D20" s="92">
        <v>1641</v>
      </c>
      <c r="E20" s="92">
        <v>1485</v>
      </c>
      <c r="F20" s="1"/>
      <c r="G20" s="1"/>
      <c r="H20" s="1"/>
      <c r="I20" s="1"/>
      <c r="J20" s="1"/>
      <c r="K20" s="1"/>
      <c r="L20" s="1"/>
      <c r="M20" s="9"/>
      <c r="N20" s="9"/>
    </row>
    <row r="21" spans="1:14">
      <c r="A21" s="1"/>
      <c r="B21" s="32">
        <v>2019</v>
      </c>
      <c r="C21" s="92">
        <v>16557</v>
      </c>
      <c r="D21" s="92">
        <v>1786</v>
      </c>
      <c r="E21" s="92">
        <v>1492</v>
      </c>
      <c r="F21" s="1"/>
      <c r="G21" s="1"/>
      <c r="H21" s="1"/>
      <c r="I21" s="1"/>
      <c r="J21" s="1"/>
      <c r="K21" s="1"/>
      <c r="L21" s="1"/>
      <c r="M21" s="9"/>
      <c r="N21" s="9"/>
    </row>
    <row r="22" spans="1:14">
      <c r="A22" s="1"/>
      <c r="B22" s="32">
        <v>2020</v>
      </c>
      <c r="C22" s="92">
        <v>16815</v>
      </c>
      <c r="D22" s="92">
        <v>1885</v>
      </c>
      <c r="E22" s="92">
        <v>1499</v>
      </c>
      <c r="F22" s="1"/>
      <c r="G22" s="1"/>
      <c r="H22" s="1"/>
      <c r="I22" s="1"/>
      <c r="J22" s="1"/>
      <c r="K22" s="1"/>
      <c r="L22" s="1"/>
      <c r="M22" s="9"/>
      <c r="N22" s="9"/>
    </row>
    <row r="23" spans="1:14">
      <c r="A23" s="1"/>
      <c r="B23" s="32">
        <v>2021</v>
      </c>
      <c r="C23" s="92">
        <v>16915</v>
      </c>
      <c r="D23" s="92">
        <v>2000</v>
      </c>
      <c r="E23" s="92">
        <v>1503</v>
      </c>
      <c r="F23" s="1"/>
      <c r="G23" s="1"/>
      <c r="H23" s="1"/>
      <c r="I23" s="1"/>
      <c r="J23" s="1"/>
      <c r="K23" s="1"/>
      <c r="L23" s="1"/>
      <c r="M23" s="9"/>
      <c r="N23" s="9"/>
    </row>
    <row r="24" spans="1:14">
      <c r="A24" s="1"/>
      <c r="B24" s="32">
        <v>2022</v>
      </c>
      <c r="C24" s="92">
        <v>17147</v>
      </c>
      <c r="D24" s="92">
        <v>1977</v>
      </c>
      <c r="E24" s="92">
        <v>1474</v>
      </c>
      <c r="F24" s="1"/>
      <c r="G24" s="1"/>
      <c r="H24" s="1"/>
      <c r="I24" s="1"/>
      <c r="J24" s="1"/>
      <c r="K24" s="1"/>
      <c r="L24" s="1"/>
      <c r="M24" s="9"/>
      <c r="N24" s="9"/>
    </row>
    <row r="25" spans="1:14">
      <c r="A25" s="1"/>
      <c r="B25" s="32">
        <v>2023</v>
      </c>
      <c r="C25" s="92">
        <v>17461</v>
      </c>
      <c r="D25" s="92">
        <v>1990</v>
      </c>
      <c r="E25" s="92">
        <v>1491</v>
      </c>
      <c r="F25" s="1"/>
      <c r="G25" s="1"/>
      <c r="H25" s="1"/>
      <c r="I25" s="1"/>
      <c r="J25" s="1"/>
      <c r="K25" s="1"/>
      <c r="L25" s="1"/>
      <c r="M25" s="9"/>
      <c r="N25" s="9"/>
    </row>
    <row r="26" spans="1:14">
      <c r="A26" s="1"/>
      <c r="B26" s="1"/>
      <c r="C26" s="1"/>
      <c r="D26" s="1"/>
      <c r="E26" s="1"/>
      <c r="F26" s="1"/>
      <c r="G26" s="1"/>
      <c r="H26" s="1"/>
      <c r="I26" s="1"/>
      <c r="J26" s="1"/>
      <c r="K26" s="1"/>
      <c r="L26" s="1"/>
      <c r="M26" s="9"/>
      <c r="N26" s="9"/>
    </row>
    <row r="27" spans="1:14">
      <c r="A27" s="1"/>
      <c r="B27" s="519" t="s">
        <v>2535</v>
      </c>
      <c r="C27" s="1"/>
      <c r="D27" s="1"/>
      <c r="E27" s="1"/>
      <c r="F27" s="1"/>
      <c r="G27" s="1"/>
      <c r="H27" s="1"/>
      <c r="I27" s="1"/>
      <c r="J27" s="1"/>
      <c r="K27" s="1"/>
      <c r="L27" s="1"/>
      <c r="M27" s="9"/>
      <c r="N27" s="9"/>
    </row>
    <row r="28" spans="1:14">
      <c r="A28" s="1"/>
      <c r="B28" s="519" t="s">
        <v>2500</v>
      </c>
      <c r="C28" s="1"/>
      <c r="D28" s="1"/>
      <c r="E28" s="1"/>
      <c r="F28" s="1"/>
      <c r="G28" s="1"/>
      <c r="H28" s="1"/>
      <c r="I28" s="1"/>
      <c r="J28" s="1"/>
      <c r="K28" s="1"/>
      <c r="L28" s="1"/>
      <c r="M28" s="9"/>
      <c r="N28" s="9"/>
    </row>
    <row r="30" spans="1:14">
      <c r="A30" s="17" t="s">
        <v>133</v>
      </c>
      <c r="B30" s="1" t="s">
        <v>2536</v>
      </c>
      <c r="C30" s="1"/>
      <c r="D30" s="1"/>
      <c r="E30" s="1"/>
      <c r="F30" s="1"/>
      <c r="G30" s="1"/>
      <c r="H30" s="1"/>
      <c r="I30" s="1"/>
      <c r="J30" s="1"/>
      <c r="K30" s="1"/>
      <c r="L30" s="1"/>
    </row>
    <row r="31" spans="1:14">
      <c r="A31" s="3"/>
      <c r="B31" s="3"/>
      <c r="C31" s="3"/>
      <c r="D31" s="3"/>
      <c r="E31" s="3"/>
      <c r="F31" s="3"/>
      <c r="G31" s="3"/>
      <c r="H31" s="3"/>
      <c r="I31" s="3"/>
      <c r="J31" s="3"/>
      <c r="K31" s="3"/>
      <c r="L31" s="3"/>
    </row>
    <row r="32" spans="1:14">
      <c r="A32" s="3" t="s">
        <v>20</v>
      </c>
      <c r="B32" s="3"/>
      <c r="C32" s="3"/>
      <c r="D32" s="3"/>
      <c r="E32" s="3"/>
      <c r="F32" s="3"/>
      <c r="G32" s="3"/>
      <c r="H32" s="3"/>
      <c r="I32" s="3"/>
      <c r="J32" s="3"/>
      <c r="K32" s="3"/>
      <c r="L32" s="3"/>
    </row>
    <row r="33" spans="1:12" ht="31.2">
      <c r="A33" s="107" t="s">
        <v>49</v>
      </c>
      <c r="B33" s="93" t="s">
        <v>4</v>
      </c>
      <c r="C33" s="93" t="s">
        <v>528</v>
      </c>
      <c r="D33" s="93" t="s">
        <v>515</v>
      </c>
      <c r="E33" s="93" t="s">
        <v>2537</v>
      </c>
      <c r="F33" s="3"/>
      <c r="G33" s="3"/>
      <c r="H33" s="3"/>
      <c r="I33" s="3"/>
      <c r="J33" s="3"/>
      <c r="K33" s="3"/>
      <c r="L33" s="3"/>
    </row>
    <row r="34" spans="1:12">
      <c r="A34" s="94">
        <f>$B$20</f>
        <v>2018</v>
      </c>
      <c r="B34" s="106">
        <f t="shared" ref="B34:B39" si="0">C20</f>
        <v>16451</v>
      </c>
      <c r="C34" s="106">
        <f t="shared" ref="C34:C39" si="1">E20</f>
        <v>1485</v>
      </c>
      <c r="D34" s="517">
        <f>C34/B34</f>
        <v>9.0268068810406665E-2</v>
      </c>
      <c r="E34" s="3"/>
      <c r="F34" s="3"/>
      <c r="G34" s="3"/>
      <c r="H34" s="3"/>
      <c r="I34" s="3"/>
      <c r="J34" s="3"/>
      <c r="K34" s="3"/>
      <c r="L34" s="3"/>
    </row>
    <row r="35" spans="1:12">
      <c r="A35" s="94">
        <f>A34+1</f>
        <v>2019</v>
      </c>
      <c r="B35" s="106">
        <f t="shared" si="0"/>
        <v>16557</v>
      </c>
      <c r="C35" s="106">
        <f t="shared" si="1"/>
        <v>1492</v>
      </c>
      <c r="D35" s="517">
        <f t="shared" ref="D35:D39" si="2">C35/B35</f>
        <v>9.0112943166032494E-2</v>
      </c>
      <c r="E35" s="517">
        <f>D35/D34-1</f>
        <v>-1.7184996468683211E-3</v>
      </c>
      <c r="F35" s="3"/>
      <c r="G35" s="3"/>
      <c r="H35" s="3"/>
      <c r="I35" s="3"/>
      <c r="J35" s="3"/>
      <c r="K35" s="3"/>
      <c r="L35" s="3"/>
    </row>
    <row r="36" spans="1:12">
      <c r="A36" s="94">
        <f t="shared" ref="A36:A39" si="3">A35+1</f>
        <v>2020</v>
      </c>
      <c r="B36" s="106">
        <f t="shared" si="0"/>
        <v>16815</v>
      </c>
      <c r="C36" s="106">
        <f t="shared" si="1"/>
        <v>1499</v>
      </c>
      <c r="D36" s="517">
        <f t="shared" si="2"/>
        <v>8.9146595301813861E-2</v>
      </c>
      <c r="E36" s="517">
        <f t="shared" ref="E36:E39" si="4">D36/D35-1</f>
        <v>-1.0723741010635335E-2</v>
      </c>
      <c r="F36" s="3"/>
      <c r="G36" s="3"/>
      <c r="H36" s="3"/>
      <c r="I36" s="3"/>
      <c r="J36" s="3"/>
      <c r="K36" s="3"/>
      <c r="L36" s="3"/>
    </row>
    <row r="37" spans="1:12">
      <c r="A37" s="94">
        <f t="shared" si="3"/>
        <v>2021</v>
      </c>
      <c r="B37" s="106">
        <f t="shared" si="0"/>
        <v>16915</v>
      </c>
      <c r="C37" s="106">
        <f t="shared" si="1"/>
        <v>1503</v>
      </c>
      <c r="D37" s="517">
        <f t="shared" si="2"/>
        <v>8.8856044930535033E-2</v>
      </c>
      <c r="E37" s="517">
        <f t="shared" si="4"/>
        <v>-3.2592424903625794E-3</v>
      </c>
      <c r="F37" s="3"/>
      <c r="G37" s="3"/>
      <c r="H37" s="3"/>
      <c r="I37" s="3"/>
      <c r="J37" s="3"/>
      <c r="K37" s="3"/>
      <c r="L37" s="3"/>
    </row>
    <row r="38" spans="1:12">
      <c r="A38" s="94">
        <f t="shared" si="3"/>
        <v>2022</v>
      </c>
      <c r="B38" s="106">
        <f t="shared" si="0"/>
        <v>17147</v>
      </c>
      <c r="C38" s="106">
        <f t="shared" si="1"/>
        <v>1474</v>
      </c>
      <c r="D38" s="517">
        <f t="shared" si="2"/>
        <v>8.5962559048230011E-2</v>
      </c>
      <c r="E38" s="517">
        <f t="shared" si="4"/>
        <v>-3.2563748302853912E-2</v>
      </c>
      <c r="F38" s="3"/>
      <c r="G38" s="3"/>
      <c r="H38" s="3"/>
      <c r="I38" s="3"/>
      <c r="J38" s="3"/>
      <c r="K38" s="3"/>
      <c r="L38" s="3"/>
    </row>
    <row r="39" spans="1:12">
      <c r="A39" s="107">
        <f t="shared" si="3"/>
        <v>2023</v>
      </c>
      <c r="B39" s="110">
        <f t="shared" si="0"/>
        <v>17461</v>
      </c>
      <c r="C39" s="110">
        <f t="shared" si="1"/>
        <v>1491</v>
      </c>
      <c r="D39" s="666">
        <f t="shared" si="2"/>
        <v>8.539029837924518E-2</v>
      </c>
      <c r="E39" s="666">
        <f t="shared" si="4"/>
        <v>-6.6570920563655545E-3</v>
      </c>
      <c r="F39" s="3"/>
      <c r="G39" s="3"/>
      <c r="H39" s="3"/>
      <c r="I39" s="3"/>
      <c r="J39" s="3"/>
      <c r="K39" s="3"/>
      <c r="L39" s="3"/>
    </row>
    <row r="40" spans="1:12">
      <c r="A40" s="274" t="s">
        <v>336</v>
      </c>
      <c r="B40" s="3"/>
      <c r="C40" s="3"/>
      <c r="D40" s="3"/>
      <c r="E40" s="719">
        <f>AVERAGE(E35:E39)</f>
        <v>-1.0984464701417141E-2</v>
      </c>
      <c r="F40" s="3"/>
      <c r="G40" s="3"/>
      <c r="H40" s="3"/>
      <c r="I40" s="3"/>
      <c r="J40" s="3"/>
      <c r="K40" s="3"/>
      <c r="L40" s="3"/>
    </row>
    <row r="41" spans="1:12">
      <c r="A41" s="274" t="s">
        <v>2538</v>
      </c>
      <c r="B41" s="3"/>
      <c r="C41" s="3"/>
      <c r="D41" s="3"/>
      <c r="E41" s="517" cm="1">
        <f t="array" ref="E41">EXP(_xlfn.SINGLE(INDEX(LINEST(LN(D34:D39),),1)))-1</f>
        <v>-1.1998209949053207E-2</v>
      </c>
      <c r="F41" s="3"/>
      <c r="G41" s="3"/>
      <c r="H41" s="3"/>
      <c r="I41" s="3"/>
      <c r="J41" s="3"/>
      <c r="K41" s="3"/>
      <c r="L41" s="3"/>
    </row>
    <row r="42" spans="1:12">
      <c r="A42" s="274" t="s">
        <v>1732</v>
      </c>
      <c r="B42" s="3"/>
      <c r="C42" s="3"/>
      <c r="D42" s="3"/>
      <c r="E42" s="640">
        <f>E41</f>
        <v>-1.1998209949053207E-2</v>
      </c>
      <c r="F42" s="3"/>
      <c r="G42" s="3"/>
      <c r="H42" s="3"/>
      <c r="I42" s="3"/>
      <c r="J42" s="3"/>
      <c r="K42" s="3"/>
      <c r="L42" s="3"/>
    </row>
    <row r="43" spans="1:12">
      <c r="A43" s="274" t="s">
        <v>2539</v>
      </c>
      <c r="B43" s="3"/>
      <c r="C43" s="3"/>
      <c r="D43" s="3"/>
      <c r="E43" s="3"/>
      <c r="F43" s="3"/>
      <c r="G43" s="3"/>
      <c r="H43" s="3"/>
      <c r="I43" s="3"/>
      <c r="J43" s="3"/>
      <c r="K43" s="3"/>
      <c r="L43" s="3"/>
    </row>
    <row r="45" spans="1:12">
      <c r="A45" s="17" t="s">
        <v>18</v>
      </c>
      <c r="B45" s="831" t="s">
        <v>2540</v>
      </c>
      <c r="C45" s="831"/>
      <c r="D45" s="831"/>
      <c r="E45" s="831"/>
      <c r="F45" s="831"/>
      <c r="G45" s="831"/>
      <c r="H45" s="831"/>
      <c r="I45" s="831"/>
      <c r="J45" s="831"/>
      <c r="K45" s="831"/>
      <c r="L45" s="831"/>
    </row>
    <row r="46" spans="1:12">
      <c r="A46" s="14"/>
      <c r="B46" s="831"/>
      <c r="C46" s="831"/>
      <c r="D46" s="831"/>
      <c r="E46" s="831"/>
      <c r="F46" s="831"/>
      <c r="G46" s="831"/>
      <c r="H46" s="831"/>
      <c r="I46" s="831"/>
      <c r="J46" s="831"/>
      <c r="K46" s="831"/>
      <c r="L46" s="831"/>
    </row>
    <row r="47" spans="1:12">
      <c r="A47" s="3"/>
      <c r="B47" s="3"/>
      <c r="C47" s="3"/>
      <c r="D47" s="3"/>
      <c r="E47" s="3"/>
      <c r="F47" s="3"/>
      <c r="G47" s="3"/>
      <c r="H47" s="3"/>
      <c r="I47" s="3"/>
      <c r="J47" s="3"/>
      <c r="K47" s="3"/>
      <c r="L47" s="3"/>
    </row>
    <row r="48" spans="1:12">
      <c r="A48" s="3" t="s">
        <v>20</v>
      </c>
      <c r="B48" s="3"/>
      <c r="C48" s="3"/>
      <c r="D48" s="3"/>
      <c r="E48" s="3"/>
      <c r="F48" s="3"/>
      <c r="G48" s="3"/>
      <c r="H48" s="3"/>
      <c r="I48" s="3"/>
      <c r="J48" s="3"/>
      <c r="K48" s="3"/>
      <c r="L48" s="3"/>
    </row>
    <row r="49" spans="1:14" ht="31.2">
      <c r="A49" s="107" t="s">
        <v>49</v>
      </c>
      <c r="B49" s="93" t="str">
        <f>"Freq trend @"&amp;TEXT(100*E42,"0.0")&amp;"%"</f>
        <v>Freq trend @-1.2%</v>
      </c>
      <c r="C49" s="93" t="s">
        <v>518</v>
      </c>
      <c r="D49" s="93" t="s">
        <v>2541</v>
      </c>
      <c r="E49" s="3"/>
      <c r="F49" s="3"/>
      <c r="G49" s="3"/>
      <c r="H49" s="3"/>
      <c r="I49" s="3"/>
      <c r="J49" s="3"/>
      <c r="K49" s="3"/>
      <c r="L49" s="3"/>
    </row>
    <row r="50" spans="1:14">
      <c r="A50" s="94">
        <f>$B$20</f>
        <v>2018</v>
      </c>
      <c r="B50" s="480">
        <f>B51*(1+$E$42)</f>
        <v>0.94143135177591941</v>
      </c>
      <c r="C50" s="517">
        <f t="shared" ref="C50:C55" si="5">B50*D34</f>
        <v>8.4981190042382859E-2</v>
      </c>
      <c r="D50" s="106">
        <f t="shared" ref="D50:D55" si="6">B34*$C$59/B50</f>
        <v>1497.5275582054692</v>
      </c>
      <c r="E50" s="3"/>
      <c r="F50" s="3"/>
      <c r="G50" s="3"/>
      <c r="H50" s="3"/>
      <c r="I50" s="3"/>
      <c r="J50" s="3"/>
      <c r="K50" s="3"/>
      <c r="L50" s="3"/>
    </row>
    <row r="51" spans="1:14">
      <c r="A51" s="94">
        <f>A50+1</f>
        <v>2019</v>
      </c>
      <c r="B51" s="480">
        <f>B52*(1+$E$42)</f>
        <v>0.95286401427205314</v>
      </c>
      <c r="C51" s="517">
        <f t="shared" si="5"/>
        <v>8.5865380763055096E-2</v>
      </c>
      <c r="D51" s="106">
        <f t="shared" si="6"/>
        <v>1489.0932708872306</v>
      </c>
      <c r="E51" s="3"/>
      <c r="F51" s="3"/>
      <c r="G51" s="3"/>
      <c r="H51" s="3"/>
      <c r="I51" s="3"/>
      <c r="J51" s="3"/>
      <c r="K51" s="3"/>
      <c r="L51" s="3"/>
    </row>
    <row r="52" spans="1:14">
      <c r="A52" s="94">
        <f t="shared" ref="A52:A55" si="7">A51+1</f>
        <v>2020</v>
      </c>
      <c r="B52" s="480">
        <f>B53*(1+$E$42)</f>
        <v>0.9644355140519717</v>
      </c>
      <c r="C52" s="517">
        <f t="shared" si="5"/>
        <v>8.5976142465887931E-2</v>
      </c>
      <c r="D52" s="106">
        <f t="shared" si="6"/>
        <v>1494.1522577181745</v>
      </c>
      <c r="E52" s="3"/>
      <c r="F52" s="3"/>
      <c r="G52" s="3"/>
      <c r="H52" s="3"/>
      <c r="I52" s="3"/>
      <c r="J52" s="3"/>
      <c r="K52" s="3"/>
      <c r="L52" s="3"/>
    </row>
    <row r="53" spans="1:14">
      <c r="A53" s="94">
        <f t="shared" si="7"/>
        <v>2021</v>
      </c>
      <c r="B53" s="480">
        <f>B54*(1+$E$42)</f>
        <v>0.97614753714387514</v>
      </c>
      <c r="C53" s="517">
        <f t="shared" si="5"/>
        <v>8.6736609419287292E-2</v>
      </c>
      <c r="D53" s="106">
        <f t="shared" si="6"/>
        <v>1485.0043208466743</v>
      </c>
      <c r="E53" s="3"/>
      <c r="F53" s="3"/>
      <c r="G53" s="3"/>
      <c r="H53" s="3"/>
      <c r="I53" s="3"/>
      <c r="J53" s="3"/>
      <c r="K53" s="3"/>
      <c r="L53" s="3"/>
    </row>
    <row r="54" spans="1:14">
      <c r="A54" s="94">
        <f t="shared" si="7"/>
        <v>2022</v>
      </c>
      <c r="B54" s="480">
        <f>B55*(1+$E$42)</f>
        <v>0.98800179005094679</v>
      </c>
      <c r="C54" s="517">
        <f t="shared" si="5"/>
        <v>8.4931162217011469E-2</v>
      </c>
      <c r="D54" s="106">
        <f t="shared" si="6"/>
        <v>1487.3103305475129</v>
      </c>
      <c r="E54" s="3"/>
      <c r="F54" s="3"/>
      <c r="G54" s="3"/>
      <c r="H54" s="3"/>
      <c r="I54" s="3"/>
      <c r="J54" s="3"/>
      <c r="K54" s="3"/>
      <c r="L54" s="3"/>
    </row>
    <row r="55" spans="1:14">
      <c r="A55" s="107">
        <f t="shared" si="7"/>
        <v>2023</v>
      </c>
      <c r="B55" s="482">
        <v>1</v>
      </c>
      <c r="C55" s="666">
        <f t="shared" si="5"/>
        <v>8.539029837924518E-2</v>
      </c>
      <c r="D55" s="110">
        <f t="shared" si="6"/>
        <v>1496.3744713944068</v>
      </c>
      <c r="E55" s="3"/>
      <c r="F55" s="3"/>
      <c r="G55" s="3"/>
      <c r="H55" s="3"/>
      <c r="I55" s="3"/>
      <c r="J55" s="3"/>
      <c r="K55" s="3"/>
      <c r="L55" s="3"/>
    </row>
    <row r="56" spans="1:14">
      <c r="A56" s="3" t="s">
        <v>2542</v>
      </c>
      <c r="B56" s="3"/>
      <c r="C56" s="3"/>
      <c r="D56" s="106"/>
    </row>
    <row r="57" spans="1:14">
      <c r="A57" s="3" t="s">
        <v>2543</v>
      </c>
      <c r="B57" s="3"/>
      <c r="C57" s="640">
        <f>AVERAGE(C50:C54)</f>
        <v>8.5698096981524932E-2</v>
      </c>
      <c r="D57" s="106"/>
    </row>
    <row r="58" spans="1:14">
      <c r="A58" s="100" t="s">
        <v>2544</v>
      </c>
      <c r="B58" s="3"/>
      <c r="C58" s="640">
        <f>AVERAGE(C50:C52)</f>
        <v>8.5607571090441967E-2</v>
      </c>
      <c r="D58" s="106"/>
      <c r="M58" s="3"/>
      <c r="N58" s="3"/>
    </row>
    <row r="59" spans="1:14">
      <c r="A59" s="3" t="s">
        <v>2545</v>
      </c>
      <c r="B59" s="3"/>
      <c r="C59" s="640">
        <f>C57</f>
        <v>8.5698096981524932E-2</v>
      </c>
      <c r="D59" s="106"/>
      <c r="M59" s="3"/>
      <c r="N59" s="3"/>
    </row>
    <row r="60" spans="1:14">
      <c r="A60" s="3" t="s">
        <v>2546</v>
      </c>
      <c r="B60" s="3"/>
      <c r="C60" s="62"/>
      <c r="D60" s="3"/>
      <c r="M60" s="3"/>
      <c r="N60" s="3"/>
    </row>
    <row r="62" spans="1:14">
      <c r="A62" s="1" t="s">
        <v>12</v>
      </c>
      <c r="B62" s="1"/>
      <c r="C62" s="1"/>
      <c r="D62" s="1"/>
      <c r="E62" s="1"/>
      <c r="F62" s="1"/>
      <c r="G62" s="1"/>
      <c r="H62" s="1"/>
      <c r="I62" s="1"/>
      <c r="J62" s="1"/>
      <c r="K62" s="1"/>
      <c r="L62" s="1"/>
    </row>
    <row r="63" spans="1:14">
      <c r="A63" s="1"/>
      <c r="B63" s="1"/>
      <c r="C63" s="1"/>
      <c r="D63" s="1"/>
      <c r="E63" s="1"/>
      <c r="F63" s="1"/>
      <c r="G63" s="1"/>
      <c r="H63" s="1"/>
      <c r="I63" s="1"/>
      <c r="J63" s="1"/>
      <c r="K63" s="1"/>
      <c r="L63" s="1"/>
    </row>
    <row r="64" spans="1:14" ht="31.2" customHeight="1">
      <c r="A64" s="1"/>
      <c r="B64" s="828" t="s">
        <v>49</v>
      </c>
      <c r="C64" s="828" t="s">
        <v>2547</v>
      </c>
      <c r="D64" s="828"/>
      <c r="E64" s="1"/>
      <c r="F64" s="1"/>
      <c r="G64" s="1"/>
      <c r="H64" s="1"/>
      <c r="I64" s="1"/>
      <c r="J64" s="1"/>
      <c r="K64" s="1"/>
      <c r="L64" s="1"/>
    </row>
    <row r="65" spans="1:12" ht="31.2" customHeight="1">
      <c r="A65" s="1"/>
      <c r="B65" s="828"/>
      <c r="C65" s="4" t="s">
        <v>2548</v>
      </c>
      <c r="D65" s="4" t="s">
        <v>2549</v>
      </c>
      <c r="E65" s="1"/>
      <c r="F65" s="1"/>
      <c r="G65" s="1"/>
      <c r="H65" s="1"/>
      <c r="I65" s="1"/>
      <c r="J65" s="1"/>
      <c r="K65" s="1"/>
      <c r="L65" s="1"/>
    </row>
    <row r="66" spans="1:12">
      <c r="A66" s="1"/>
      <c r="B66" s="32">
        <v>2018</v>
      </c>
      <c r="C66" s="92">
        <v>4390</v>
      </c>
      <c r="D66" s="92">
        <v>4719</v>
      </c>
      <c r="E66" s="1"/>
      <c r="F66" s="1"/>
      <c r="G66" s="1"/>
      <c r="H66" s="1"/>
      <c r="I66" s="1"/>
      <c r="J66" s="1"/>
      <c r="K66" s="1"/>
      <c r="L66" s="1"/>
    </row>
    <row r="67" spans="1:12">
      <c r="A67" s="1"/>
      <c r="B67" s="32">
        <v>2019</v>
      </c>
      <c r="C67" s="92">
        <v>4602</v>
      </c>
      <c r="D67" s="92">
        <v>5342</v>
      </c>
      <c r="E67" s="1"/>
      <c r="F67" s="1"/>
      <c r="G67" s="1"/>
      <c r="H67" s="1"/>
      <c r="I67" s="1"/>
      <c r="J67" s="1"/>
      <c r="K67" s="1"/>
      <c r="L67" s="1"/>
    </row>
    <row r="68" spans="1:12">
      <c r="A68" s="1"/>
      <c r="B68" s="32">
        <v>2020</v>
      </c>
      <c r="C68" s="92">
        <v>4789</v>
      </c>
      <c r="D68" s="92">
        <v>5618</v>
      </c>
      <c r="E68" s="1"/>
      <c r="F68" s="1"/>
      <c r="G68" s="1"/>
      <c r="H68" s="1"/>
      <c r="I68" s="1"/>
      <c r="J68" s="1"/>
      <c r="K68" s="1"/>
      <c r="L68" s="1"/>
    </row>
    <row r="69" spans="1:12">
      <c r="A69" s="1"/>
      <c r="B69" s="32">
        <v>2021</v>
      </c>
      <c r="C69" s="92">
        <v>5085</v>
      </c>
      <c r="D69" s="92">
        <v>5857</v>
      </c>
      <c r="E69" s="1"/>
      <c r="F69" s="1"/>
      <c r="G69" s="1"/>
      <c r="H69" s="1"/>
      <c r="I69" s="1"/>
      <c r="J69" s="1"/>
      <c r="K69" s="1"/>
      <c r="L69" s="1"/>
    </row>
    <row r="70" spans="1:12">
      <c r="A70" s="1"/>
      <c r="B70" s="32">
        <v>2022</v>
      </c>
      <c r="C70" s="92">
        <v>5196</v>
      </c>
      <c r="D70" s="92">
        <v>5923</v>
      </c>
      <c r="E70" s="1"/>
      <c r="F70" s="1"/>
      <c r="G70" s="1"/>
      <c r="H70" s="1"/>
      <c r="I70" s="1"/>
      <c r="J70" s="1"/>
      <c r="K70" s="1"/>
      <c r="L70" s="1"/>
    </row>
    <row r="71" spans="1:12">
      <c r="A71" s="1"/>
      <c r="B71" s="32">
        <v>2023</v>
      </c>
      <c r="C71" s="92">
        <v>5456</v>
      </c>
      <c r="D71" s="92">
        <v>6168</v>
      </c>
      <c r="E71" s="1"/>
      <c r="F71" s="1"/>
      <c r="G71" s="1"/>
      <c r="H71" s="1"/>
      <c r="I71" s="1"/>
      <c r="J71" s="1"/>
      <c r="K71" s="1"/>
      <c r="L71" s="1"/>
    </row>
    <row r="72" spans="1:12">
      <c r="A72" s="1"/>
      <c r="B72" s="1"/>
      <c r="C72" s="1"/>
      <c r="D72" s="1"/>
      <c r="E72" s="1"/>
      <c r="F72" s="1"/>
      <c r="G72" s="1"/>
      <c r="H72" s="1"/>
      <c r="I72" s="1"/>
      <c r="J72" s="1"/>
      <c r="K72" s="1"/>
      <c r="L72" s="1"/>
    </row>
    <row r="73" spans="1:12">
      <c r="A73" s="260"/>
      <c r="B73" s="260" t="s">
        <v>2550</v>
      </c>
      <c r="C73" s="14"/>
      <c r="D73" s="14"/>
      <c r="E73" s="14"/>
      <c r="F73" s="14"/>
      <c r="G73" s="1"/>
      <c r="H73" s="1"/>
      <c r="I73" s="1"/>
      <c r="J73" s="1"/>
      <c r="K73" s="1"/>
      <c r="L73" s="1"/>
    </row>
    <row r="75" spans="1:12">
      <c r="A75" s="17" t="s">
        <v>25</v>
      </c>
      <c r="B75" s="1" t="s">
        <v>2551</v>
      </c>
      <c r="C75" s="1"/>
      <c r="D75" s="1"/>
      <c r="E75" s="1"/>
      <c r="F75" s="1"/>
      <c r="G75" s="1"/>
      <c r="H75" s="1"/>
      <c r="I75" s="1"/>
      <c r="J75" s="1"/>
      <c r="K75" s="1"/>
      <c r="L75" s="1"/>
    </row>
    <row r="76" spans="1:12">
      <c r="A76" s="3"/>
      <c r="B76" s="3"/>
      <c r="C76" s="3"/>
      <c r="D76" s="3"/>
      <c r="E76" s="3"/>
      <c r="F76" s="3"/>
      <c r="G76" s="3"/>
      <c r="H76" s="3"/>
      <c r="I76" s="3"/>
      <c r="J76" s="3"/>
      <c r="K76" s="3"/>
      <c r="L76" s="3"/>
    </row>
    <row r="77" spans="1:12">
      <c r="A77" s="3" t="s">
        <v>20</v>
      </c>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t="s">
        <v>2552</v>
      </c>
      <c r="B79" s="3"/>
      <c r="C79" s="3"/>
      <c r="D79" s="3"/>
      <c r="E79" s="3"/>
      <c r="F79" s="3"/>
      <c r="G79" s="3"/>
      <c r="H79" s="3"/>
      <c r="I79" s="3"/>
      <c r="J79" s="3"/>
      <c r="K79" s="3"/>
      <c r="L79" s="3"/>
    </row>
    <row r="80" spans="1:12">
      <c r="A80" s="3" t="s">
        <v>2553</v>
      </c>
      <c r="B80" s="3"/>
      <c r="C80" s="3"/>
      <c r="D80" s="3"/>
      <c r="E80" s="3"/>
      <c r="F80" s="3"/>
      <c r="G80" s="3"/>
      <c r="H80" s="3"/>
      <c r="I80" s="3"/>
      <c r="J80" s="3"/>
      <c r="K80" s="3"/>
      <c r="L80" s="3"/>
    </row>
    <row r="83" spans="1:12">
      <c r="A83" s="17" t="s">
        <v>147</v>
      </c>
      <c r="B83" s="1" t="s">
        <v>2554</v>
      </c>
      <c r="C83" s="1"/>
      <c r="D83" s="1"/>
      <c r="E83" s="1"/>
      <c r="F83" s="1"/>
      <c r="G83" s="1"/>
      <c r="H83" s="1"/>
      <c r="I83" s="1"/>
      <c r="J83" s="1"/>
      <c r="K83" s="1"/>
      <c r="L83" s="1"/>
    </row>
    <row r="84" spans="1:12">
      <c r="A84" s="3"/>
      <c r="B84" s="3"/>
      <c r="C84" s="3"/>
      <c r="D84" s="3"/>
      <c r="E84" s="3"/>
      <c r="F84" s="3"/>
      <c r="G84" s="3"/>
      <c r="H84" s="3"/>
      <c r="I84" s="3"/>
      <c r="J84" s="3"/>
      <c r="K84" s="3"/>
      <c r="L84" s="3"/>
    </row>
    <row r="85" spans="1:12">
      <c r="A85" s="3" t="s">
        <v>20</v>
      </c>
      <c r="B85" s="3"/>
      <c r="C85" s="3"/>
      <c r="D85" s="3"/>
      <c r="E85" s="3"/>
      <c r="F85" s="3"/>
      <c r="G85" s="3"/>
      <c r="H85" s="3"/>
      <c r="I85" s="3"/>
      <c r="J85" s="3"/>
      <c r="K85" s="3"/>
      <c r="L85" s="3"/>
    </row>
    <row r="86" spans="1:12">
      <c r="A86" s="3"/>
      <c r="B86" s="3"/>
      <c r="C86" s="3"/>
      <c r="D86" s="3"/>
      <c r="E86" s="3"/>
      <c r="F86" s="3"/>
      <c r="G86" s="3"/>
      <c r="H86" s="3"/>
      <c r="I86" s="3"/>
      <c r="J86" s="3"/>
      <c r="K86" s="3"/>
      <c r="L86" s="3"/>
    </row>
    <row r="87" spans="1:12">
      <c r="A87" s="3" t="s">
        <v>2555</v>
      </c>
      <c r="B87" s="3"/>
      <c r="C87" s="125">
        <v>0.05</v>
      </c>
      <c r="E87" s="62"/>
      <c r="F87" s="3"/>
      <c r="G87" s="3"/>
      <c r="H87" s="3"/>
      <c r="I87" s="3"/>
      <c r="J87" s="3"/>
      <c r="K87" s="3"/>
      <c r="L87" s="3"/>
    </row>
    <row r="88" spans="1:12">
      <c r="A88" s="720"/>
      <c r="B88" s="62"/>
      <c r="C88" s="3"/>
      <c r="D88" s="3"/>
      <c r="E88" s="3"/>
    </row>
    <row r="89" spans="1:12" ht="46.8">
      <c r="A89" s="107" t="s">
        <v>49</v>
      </c>
      <c r="B89" s="93" t="s">
        <v>2556</v>
      </c>
      <c r="C89" s="93" t="s">
        <v>2557</v>
      </c>
      <c r="D89" s="93" t="s">
        <v>2558</v>
      </c>
      <c r="E89" s="93" t="s">
        <v>2559</v>
      </c>
    </row>
    <row r="90" spans="1:12">
      <c r="A90" s="94">
        <f>$B$20</f>
        <v>2018</v>
      </c>
      <c r="B90" s="480">
        <f>B91*(1+$C$87)</f>
        <v>1.2762815625000004</v>
      </c>
      <c r="C90" s="240">
        <f t="shared" ref="C90:C95" si="8">B90*D66</f>
        <v>6022.7726934375014</v>
      </c>
      <c r="D90" s="240">
        <f t="shared" ref="D90:D95" si="9">$C$99/B90</f>
        <v>4966.9348460775082</v>
      </c>
      <c r="E90" s="106">
        <f t="shared" ref="E90:E95" si="10">D90*D50</f>
        <v>7438121.8118121084</v>
      </c>
    </row>
    <row r="91" spans="1:12">
      <c r="A91" s="94">
        <f>A90+1</f>
        <v>2019</v>
      </c>
      <c r="B91" s="480">
        <f>B92*(1+$C$87)</f>
        <v>1.2155062500000002</v>
      </c>
      <c r="C91" s="240">
        <f t="shared" si="8"/>
        <v>6493.2343875000015</v>
      </c>
      <c r="D91" s="240">
        <f t="shared" si="9"/>
        <v>5215.2815883813846</v>
      </c>
      <c r="E91" s="106">
        <f t="shared" si="10"/>
        <v>7766040.7190407868</v>
      </c>
    </row>
    <row r="92" spans="1:12">
      <c r="A92" s="94">
        <f t="shared" ref="A92:A95" si="11">A91+1</f>
        <v>2020</v>
      </c>
      <c r="B92" s="480">
        <f>B93*(1+$C$87)</f>
        <v>1.1576250000000001</v>
      </c>
      <c r="C92" s="240">
        <f t="shared" si="8"/>
        <v>6503.5372500000003</v>
      </c>
      <c r="D92" s="240">
        <f t="shared" si="9"/>
        <v>5476.0456678004539</v>
      </c>
      <c r="E92" s="106">
        <f t="shared" si="10"/>
        <v>8182045.997911877</v>
      </c>
    </row>
    <row r="93" spans="1:12">
      <c r="A93" s="94">
        <f t="shared" si="11"/>
        <v>2021</v>
      </c>
      <c r="B93" s="480">
        <f>B94*(1+$C$87)</f>
        <v>1.1025</v>
      </c>
      <c r="C93" s="240">
        <f t="shared" si="8"/>
        <v>6457.3425000000007</v>
      </c>
      <c r="D93" s="240">
        <f t="shared" si="9"/>
        <v>5749.847951190477</v>
      </c>
      <c r="E93" s="106">
        <f t="shared" si="10"/>
        <v>8538549.0517292563</v>
      </c>
    </row>
    <row r="94" spans="1:12">
      <c r="A94" s="94">
        <f t="shared" si="11"/>
        <v>2022</v>
      </c>
      <c r="B94" s="480">
        <f>B95*(1+$C$87)</f>
        <v>1.05</v>
      </c>
      <c r="C94" s="240">
        <f t="shared" si="8"/>
        <v>6219.1500000000005</v>
      </c>
      <c r="D94" s="240">
        <f t="shared" si="9"/>
        <v>6037.3403487500009</v>
      </c>
      <c r="E94" s="106">
        <f t="shared" si="10"/>
        <v>8979398.6697272006</v>
      </c>
    </row>
    <row r="95" spans="1:12">
      <c r="A95" s="107">
        <f t="shared" si="11"/>
        <v>2023</v>
      </c>
      <c r="B95" s="482">
        <v>1</v>
      </c>
      <c r="C95" s="370">
        <f t="shared" si="8"/>
        <v>6168</v>
      </c>
      <c r="D95" s="370">
        <f t="shared" si="9"/>
        <v>6339.2073661875011</v>
      </c>
      <c r="E95" s="110">
        <f t="shared" si="10"/>
        <v>9485828.0716383513</v>
      </c>
    </row>
    <row r="96" spans="1:12">
      <c r="A96" s="3" t="s">
        <v>2560</v>
      </c>
      <c r="B96" s="3"/>
      <c r="C96" s="3"/>
      <c r="D96" s="3"/>
      <c r="E96" s="106"/>
    </row>
    <row r="97" spans="1:5">
      <c r="A97" s="3" t="s">
        <v>2543</v>
      </c>
      <c r="B97" s="3"/>
      <c r="C97" s="240">
        <f>AVERAGE(C90:C94)</f>
        <v>6339.2073661875011</v>
      </c>
      <c r="D97" s="3"/>
      <c r="E97" s="106"/>
    </row>
    <row r="98" spans="1:5">
      <c r="A98" s="100" t="s">
        <v>2561</v>
      </c>
      <c r="B98" s="3"/>
      <c r="C98" s="240">
        <f>AVERAGE(C91,C93,C94)</f>
        <v>6389.9089625000015</v>
      </c>
      <c r="D98" s="3"/>
      <c r="E98" s="106"/>
    </row>
    <row r="99" spans="1:5">
      <c r="A99" s="3" t="s">
        <v>2562</v>
      </c>
      <c r="B99" s="3"/>
      <c r="C99" s="240">
        <f>C97</f>
        <v>6339.2073661875011</v>
      </c>
      <c r="D99" s="3"/>
      <c r="E99" s="106"/>
    </row>
    <row r="100" spans="1:5">
      <c r="A100" s="3" t="s">
        <v>2563</v>
      </c>
      <c r="B100" s="3"/>
      <c r="C100" s="62"/>
      <c r="D100" s="3"/>
      <c r="E100" s="106"/>
    </row>
  </sheetData>
  <mergeCells count="6">
    <mergeCell ref="B18:B19"/>
    <mergeCell ref="C18:C19"/>
    <mergeCell ref="D18:E18"/>
    <mergeCell ref="B45:L46"/>
    <mergeCell ref="B64:B65"/>
    <mergeCell ref="C64:D64"/>
  </mergeCells>
  <hyperlinks>
    <hyperlink ref="O1" location="TOC!A1" display="Table of Contents" xr:uid="{07FC82C8-BF1A-4526-AB06-63F36989E195}"/>
  </hyperlinks>
  <pageMargins left="0.7" right="0.7" top="0.75" bottom="0.75" header="0.3" footer="0.3"/>
  <pageSetup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5379-949E-4256-B8E8-E6206D90ED4F}">
  <dimension ref="A1:R120"/>
  <sheetViews>
    <sheetView zoomScaleNormal="100" workbookViewId="0"/>
  </sheetViews>
  <sheetFormatPr defaultColWidth="8.88671875" defaultRowHeight="15.6"/>
  <cols>
    <col min="1" max="1" width="12.33203125" style="2" customWidth="1"/>
    <col min="2" max="8" width="12.6640625" style="2" customWidth="1"/>
    <col min="9" max="16384" width="8.88671875" style="2"/>
  </cols>
  <sheetData>
    <row r="1" spans="1:15" ht="17.399999999999999">
      <c r="A1" s="13" t="s">
        <v>2593</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2564</v>
      </c>
      <c r="B3" s="1"/>
      <c r="C3" s="1"/>
      <c r="D3" s="1"/>
      <c r="E3" s="1"/>
      <c r="F3" s="1"/>
      <c r="G3" s="1"/>
      <c r="H3" s="1"/>
      <c r="I3" s="1"/>
      <c r="J3" s="1"/>
      <c r="K3" s="1"/>
      <c r="L3" s="14"/>
    </row>
    <row r="4" spans="1:15">
      <c r="A4" s="43"/>
      <c r="B4" s="1"/>
      <c r="C4" s="1"/>
      <c r="D4" s="1"/>
      <c r="E4" s="1"/>
      <c r="F4" s="1"/>
      <c r="G4" s="1"/>
      <c r="H4" s="1"/>
      <c r="I4" s="1"/>
      <c r="J4" s="1"/>
      <c r="K4" s="1"/>
      <c r="L4" s="1"/>
    </row>
    <row r="5" spans="1:15">
      <c r="A5" s="43"/>
      <c r="B5" s="829" t="s">
        <v>49</v>
      </c>
      <c r="C5" s="841" t="s">
        <v>2565</v>
      </c>
      <c r="D5" s="841"/>
      <c r="E5" s="841"/>
      <c r="F5" s="841"/>
      <c r="G5" s="841"/>
      <c r="H5" s="841"/>
      <c r="I5" s="1"/>
      <c r="J5" s="1"/>
      <c r="K5" s="1"/>
      <c r="L5" s="1"/>
    </row>
    <row r="6" spans="1:15">
      <c r="A6" s="43"/>
      <c r="B6" s="829"/>
      <c r="C6" s="27">
        <v>12</v>
      </c>
      <c r="D6" s="27">
        <v>24</v>
      </c>
      <c r="E6" s="27">
        <v>36</v>
      </c>
      <c r="F6" s="27">
        <v>48</v>
      </c>
      <c r="G6" s="27">
        <v>60</v>
      </c>
      <c r="H6" s="27">
        <v>72</v>
      </c>
      <c r="I6" s="1"/>
      <c r="J6" s="1"/>
      <c r="K6" s="1"/>
      <c r="L6" s="1"/>
    </row>
    <row r="7" spans="1:15">
      <c r="A7" s="43"/>
      <c r="B7" s="32">
        <v>2015</v>
      </c>
      <c r="C7" s="92">
        <v>2073186</v>
      </c>
      <c r="D7" s="92">
        <v>2977355</v>
      </c>
      <c r="E7" s="92">
        <v>3689430</v>
      </c>
      <c r="F7" s="92">
        <v>4344924</v>
      </c>
      <c r="G7" s="92">
        <v>4635919</v>
      </c>
      <c r="H7" s="92">
        <v>4691541</v>
      </c>
      <c r="I7" s="1"/>
      <c r="J7" s="1"/>
      <c r="K7" s="1"/>
      <c r="L7" s="1"/>
    </row>
    <row r="8" spans="1:15">
      <c r="A8" s="43"/>
      <c r="B8" s="32">
        <v>2016</v>
      </c>
      <c r="C8" s="92">
        <v>2214894</v>
      </c>
      <c r="D8" s="92">
        <v>3167365</v>
      </c>
      <c r="E8" s="92">
        <v>4021756</v>
      </c>
      <c r="F8" s="92">
        <v>4613081</v>
      </c>
      <c r="G8" s="92">
        <v>4945867</v>
      </c>
      <c r="H8" s="92">
        <v>5014244</v>
      </c>
      <c r="I8" s="1"/>
      <c r="J8" s="1"/>
      <c r="K8" s="1"/>
      <c r="L8" s="1"/>
    </row>
    <row r="9" spans="1:15">
      <c r="A9" s="1"/>
      <c r="B9" s="32">
        <v>2017</v>
      </c>
      <c r="C9" s="92">
        <v>2339966</v>
      </c>
      <c r="D9" s="92">
        <v>3357699</v>
      </c>
      <c r="E9" s="92">
        <v>4299159</v>
      </c>
      <c r="F9" s="92">
        <v>4992272</v>
      </c>
      <c r="G9" s="92">
        <v>5303741</v>
      </c>
      <c r="H9" s="92">
        <v>5364852</v>
      </c>
      <c r="I9" s="1"/>
      <c r="J9" s="1"/>
      <c r="K9" s="1"/>
      <c r="L9" s="1"/>
    </row>
    <row r="10" spans="1:15">
      <c r="A10" s="1"/>
      <c r="B10" s="32">
        <v>2018</v>
      </c>
      <c r="C10" s="92">
        <v>2442143</v>
      </c>
      <c r="D10" s="92">
        <v>3577869</v>
      </c>
      <c r="E10" s="92">
        <v>4576972</v>
      </c>
      <c r="F10" s="92">
        <v>5228180</v>
      </c>
      <c r="G10" s="92">
        <v>5653369</v>
      </c>
      <c r="H10" s="92">
        <v>5760949</v>
      </c>
      <c r="I10" s="1"/>
      <c r="J10" s="1"/>
      <c r="K10" s="1"/>
      <c r="L10" s="1"/>
    </row>
    <row r="11" spans="1:15">
      <c r="A11" s="43"/>
      <c r="B11" s="32">
        <v>2019</v>
      </c>
      <c r="C11" s="92">
        <v>2592402</v>
      </c>
      <c r="D11" s="92">
        <v>3757301</v>
      </c>
      <c r="E11" s="92">
        <v>4853532</v>
      </c>
      <c r="F11" s="92">
        <v>5625219</v>
      </c>
      <c r="G11" s="92">
        <v>6054505</v>
      </c>
      <c r="H11" s="32"/>
      <c r="I11" s="1"/>
      <c r="J11" s="1"/>
      <c r="K11" s="1"/>
      <c r="L11" s="1"/>
    </row>
    <row r="12" spans="1:15">
      <c r="A12" s="1"/>
      <c r="B12" s="32">
        <v>2020</v>
      </c>
      <c r="C12" s="92">
        <v>2817613</v>
      </c>
      <c r="D12" s="92">
        <v>4182588</v>
      </c>
      <c r="E12" s="92">
        <v>5212351</v>
      </c>
      <c r="F12" s="92">
        <v>6024272</v>
      </c>
      <c r="G12" s="32"/>
      <c r="H12" s="32"/>
      <c r="I12" s="1"/>
      <c r="J12" s="1"/>
      <c r="K12" s="1"/>
      <c r="L12" s="1"/>
    </row>
    <row r="13" spans="1:15">
      <c r="A13" s="1"/>
      <c r="B13" s="32">
        <v>2021</v>
      </c>
      <c r="C13" s="92">
        <v>3075951</v>
      </c>
      <c r="D13" s="92">
        <v>4425866</v>
      </c>
      <c r="E13" s="92">
        <v>5613235</v>
      </c>
      <c r="F13" s="32"/>
      <c r="G13" s="32"/>
      <c r="H13" s="32"/>
      <c r="I13" s="1"/>
      <c r="J13" s="1"/>
      <c r="K13" s="1"/>
      <c r="L13" s="1"/>
    </row>
    <row r="14" spans="1:15">
      <c r="A14" s="1"/>
      <c r="B14" s="32">
        <v>2022</v>
      </c>
      <c r="C14" s="92">
        <v>3232412</v>
      </c>
      <c r="D14" s="92">
        <v>4682692</v>
      </c>
      <c r="E14" s="32"/>
      <c r="F14" s="32"/>
      <c r="G14" s="32"/>
      <c r="H14" s="32"/>
      <c r="I14" s="1"/>
      <c r="J14" s="1"/>
      <c r="K14" s="1"/>
      <c r="L14" s="1"/>
    </row>
    <row r="15" spans="1:15">
      <c r="A15" s="1"/>
      <c r="B15" s="32">
        <v>2023</v>
      </c>
      <c r="C15" s="92">
        <v>3554432</v>
      </c>
      <c r="D15" s="32"/>
      <c r="E15" s="32"/>
      <c r="F15" s="32"/>
      <c r="G15" s="32"/>
      <c r="H15" s="32"/>
      <c r="I15" s="1"/>
      <c r="J15" s="1"/>
      <c r="K15" s="1"/>
      <c r="L15" s="1"/>
    </row>
    <row r="16" spans="1:15">
      <c r="A16" s="1"/>
      <c r="B16" s="1"/>
      <c r="C16" s="1"/>
      <c r="D16" s="1"/>
      <c r="E16" s="1"/>
      <c r="F16" s="1"/>
      <c r="G16" s="1"/>
      <c r="H16" s="1"/>
      <c r="I16" s="1"/>
      <c r="J16" s="1"/>
      <c r="K16" s="1"/>
      <c r="L16" s="1"/>
    </row>
    <row r="17" spans="1:12">
      <c r="A17" s="1"/>
      <c r="B17" s="829" t="s">
        <v>49</v>
      </c>
      <c r="C17" s="841" t="s">
        <v>2566</v>
      </c>
      <c r="D17" s="841"/>
      <c r="E17" s="841"/>
      <c r="F17" s="841"/>
      <c r="G17" s="841"/>
      <c r="H17" s="841"/>
      <c r="I17" s="1"/>
      <c r="J17" s="1"/>
      <c r="K17" s="1"/>
      <c r="L17" s="1"/>
    </row>
    <row r="18" spans="1:12">
      <c r="A18" s="1"/>
      <c r="B18" s="829"/>
      <c r="C18" s="27">
        <v>12</v>
      </c>
      <c r="D18" s="27">
        <v>24</v>
      </c>
      <c r="E18" s="27">
        <v>36</v>
      </c>
      <c r="F18" s="27">
        <v>48</v>
      </c>
      <c r="G18" s="27">
        <v>60</v>
      </c>
      <c r="H18" s="27">
        <v>72</v>
      </c>
      <c r="I18" s="1"/>
      <c r="J18" s="1"/>
      <c r="K18" s="1"/>
      <c r="L18" s="1"/>
    </row>
    <row r="19" spans="1:12">
      <c r="A19" s="1"/>
      <c r="B19" s="32">
        <v>2015</v>
      </c>
      <c r="C19" s="92">
        <v>1286342</v>
      </c>
      <c r="D19" s="92">
        <v>2412544</v>
      </c>
      <c r="E19" s="92">
        <v>3380499</v>
      </c>
      <c r="F19" s="92">
        <v>4184900</v>
      </c>
      <c r="G19" s="92">
        <v>4587477</v>
      </c>
      <c r="H19" s="92">
        <v>4691541</v>
      </c>
      <c r="I19" s="1"/>
      <c r="J19" s="1"/>
      <c r="K19" s="1"/>
      <c r="L19" s="1"/>
    </row>
    <row r="20" spans="1:12">
      <c r="A20" s="1"/>
      <c r="B20" s="32">
        <v>2016</v>
      </c>
      <c r="C20" s="92">
        <v>1419281</v>
      </c>
      <c r="D20" s="92">
        <v>2553776</v>
      </c>
      <c r="E20" s="92">
        <v>3692376</v>
      </c>
      <c r="F20" s="92">
        <v>4472461</v>
      </c>
      <c r="G20" s="92">
        <v>4899904</v>
      </c>
      <c r="H20" s="92">
        <v>5014244</v>
      </c>
      <c r="I20" s="1"/>
      <c r="J20" s="1"/>
      <c r="K20" s="1"/>
      <c r="L20" s="1"/>
    </row>
    <row r="21" spans="1:12">
      <c r="A21" s="1"/>
      <c r="B21" s="32">
        <v>2017</v>
      </c>
      <c r="C21" s="92">
        <v>1474216</v>
      </c>
      <c r="D21" s="92">
        <v>2703709</v>
      </c>
      <c r="E21" s="92">
        <v>3940993</v>
      </c>
      <c r="F21" s="92">
        <v>4833876</v>
      </c>
      <c r="G21" s="92">
        <v>5248486</v>
      </c>
      <c r="H21" s="92">
        <v>5364852</v>
      </c>
      <c r="I21" s="1"/>
      <c r="J21" s="1"/>
      <c r="K21" s="1"/>
      <c r="L21" s="1"/>
    </row>
    <row r="22" spans="1:12">
      <c r="A22" s="1"/>
      <c r="B22" s="32">
        <v>2018</v>
      </c>
      <c r="C22" s="92">
        <v>1470542</v>
      </c>
      <c r="D22" s="92">
        <v>2889545</v>
      </c>
      <c r="E22" s="92">
        <v>4189625</v>
      </c>
      <c r="F22" s="92">
        <v>5064468</v>
      </c>
      <c r="G22" s="92">
        <v>5604641</v>
      </c>
      <c r="H22" s="92">
        <v>5760949</v>
      </c>
      <c r="I22" s="1"/>
      <c r="J22" s="1"/>
      <c r="K22" s="1"/>
      <c r="L22" s="1"/>
    </row>
    <row r="23" spans="1:12">
      <c r="A23" s="1"/>
      <c r="B23" s="32">
        <v>2019</v>
      </c>
      <c r="C23" s="92">
        <v>1607264</v>
      </c>
      <c r="D23" s="92">
        <v>2999878</v>
      </c>
      <c r="E23" s="92">
        <v>4445019</v>
      </c>
      <c r="F23" s="92">
        <v>5419708</v>
      </c>
      <c r="G23" s="92">
        <v>5967598</v>
      </c>
      <c r="H23" s="32"/>
      <c r="I23" s="1"/>
      <c r="J23" s="1"/>
      <c r="K23" s="1"/>
      <c r="L23" s="1"/>
    </row>
    <row r="24" spans="1:12">
      <c r="A24" s="1"/>
      <c r="B24" s="32">
        <v>2020</v>
      </c>
      <c r="C24" s="92">
        <v>1747620</v>
      </c>
      <c r="D24" s="92">
        <v>3387292</v>
      </c>
      <c r="E24" s="92">
        <v>4766703</v>
      </c>
      <c r="F24" s="92">
        <v>5724228</v>
      </c>
      <c r="G24" s="32"/>
      <c r="H24" s="32"/>
      <c r="I24" s="1"/>
      <c r="J24" s="1"/>
      <c r="K24" s="1"/>
      <c r="L24" s="1"/>
    </row>
    <row r="25" spans="1:12">
      <c r="A25" s="1"/>
      <c r="B25" s="32">
        <v>2021</v>
      </c>
      <c r="C25" s="92">
        <v>1964983</v>
      </c>
      <c r="D25" s="92">
        <v>3552637</v>
      </c>
      <c r="E25" s="92">
        <v>5155384</v>
      </c>
      <c r="F25" s="32"/>
      <c r="G25" s="32"/>
      <c r="H25" s="32"/>
      <c r="I25" s="1"/>
      <c r="J25" s="1"/>
      <c r="K25" s="1"/>
      <c r="L25" s="1"/>
    </row>
    <row r="26" spans="1:12">
      <c r="A26" s="1"/>
      <c r="B26" s="32">
        <v>2022</v>
      </c>
      <c r="C26" s="92">
        <v>1980306</v>
      </c>
      <c r="D26" s="92">
        <v>3785833</v>
      </c>
      <c r="E26" s="32"/>
      <c r="F26" s="32"/>
      <c r="G26" s="32"/>
      <c r="H26" s="32"/>
      <c r="I26" s="1"/>
      <c r="J26" s="1"/>
      <c r="K26" s="1"/>
      <c r="L26" s="1"/>
    </row>
    <row r="27" spans="1:12">
      <c r="A27" s="1"/>
      <c r="B27" s="32">
        <v>2023</v>
      </c>
      <c r="C27" s="92">
        <v>2247631</v>
      </c>
      <c r="D27" s="32"/>
      <c r="E27" s="32"/>
      <c r="F27" s="32"/>
      <c r="G27" s="32"/>
      <c r="H27" s="32"/>
      <c r="I27" s="1"/>
      <c r="J27" s="1"/>
      <c r="K27" s="1"/>
      <c r="L27" s="1"/>
    </row>
    <row r="28" spans="1:12">
      <c r="A28" s="1"/>
      <c r="B28" s="1"/>
      <c r="C28" s="1"/>
      <c r="D28" s="1"/>
      <c r="E28" s="1"/>
      <c r="F28" s="1"/>
      <c r="G28" s="1"/>
      <c r="H28" s="1"/>
      <c r="I28" s="1"/>
      <c r="J28" s="1"/>
      <c r="K28" s="1"/>
      <c r="L28" s="1"/>
    </row>
    <row r="29" spans="1:12">
      <c r="A29" s="1"/>
      <c r="B29" s="204" t="s">
        <v>2567</v>
      </c>
      <c r="C29" s="1"/>
      <c r="D29" s="1"/>
      <c r="E29" s="1"/>
      <c r="F29" s="1"/>
      <c r="G29" s="1"/>
      <c r="H29" s="1"/>
      <c r="I29" s="1"/>
      <c r="J29" s="1"/>
      <c r="K29" s="1"/>
      <c r="L29" s="1"/>
    </row>
    <row r="30" spans="1:12">
      <c r="A30" s="1"/>
      <c r="B30" s="1"/>
      <c r="C30" s="1"/>
      <c r="D30" s="1"/>
      <c r="E30" s="1"/>
      <c r="F30" s="1"/>
      <c r="G30" s="1"/>
      <c r="H30" s="1"/>
      <c r="I30" s="1"/>
      <c r="J30" s="1"/>
      <c r="K30" s="1"/>
      <c r="L30" s="1"/>
    </row>
    <row r="31" spans="1:12">
      <c r="A31" s="831" t="s">
        <v>2568</v>
      </c>
      <c r="B31" s="831"/>
      <c r="C31" s="831"/>
      <c r="D31" s="831"/>
      <c r="E31" s="831"/>
      <c r="F31" s="831"/>
      <c r="G31" s="831"/>
      <c r="H31" s="831"/>
      <c r="I31" s="831"/>
      <c r="J31" s="831"/>
      <c r="K31" s="831"/>
      <c r="L31" s="831"/>
    </row>
    <row r="32" spans="1:12">
      <c r="A32" s="831"/>
      <c r="B32" s="831"/>
      <c r="C32" s="831"/>
      <c r="D32" s="831"/>
      <c r="E32" s="831"/>
      <c r="F32" s="831"/>
      <c r="G32" s="831"/>
      <c r="H32" s="831"/>
      <c r="I32" s="831"/>
      <c r="J32" s="831"/>
      <c r="K32" s="831"/>
      <c r="L32" s="831"/>
    </row>
    <row r="33" spans="1:18">
      <c r="A33" s="1"/>
      <c r="B33" s="1"/>
      <c r="C33" s="1"/>
      <c r="D33" s="1"/>
      <c r="E33" s="1"/>
      <c r="F33" s="1"/>
      <c r="G33" s="1"/>
      <c r="H33" s="1"/>
      <c r="I33" s="1"/>
      <c r="J33" s="1"/>
      <c r="K33" s="1"/>
      <c r="L33" s="1"/>
    </row>
    <row r="34" spans="1:18" ht="62.4">
      <c r="A34" s="1"/>
      <c r="B34" s="4" t="s">
        <v>2569</v>
      </c>
      <c r="C34" s="4" t="s">
        <v>2570</v>
      </c>
      <c r="D34" s="4" t="s">
        <v>2571</v>
      </c>
      <c r="E34" s="1"/>
      <c r="F34" s="1"/>
      <c r="G34" s="1"/>
      <c r="H34" s="1"/>
      <c r="I34" s="1"/>
      <c r="J34" s="1"/>
      <c r="K34" s="1"/>
      <c r="L34" s="1"/>
    </row>
    <row r="35" spans="1:18">
      <c r="A35" s="1"/>
      <c r="B35" s="32">
        <v>2021</v>
      </c>
      <c r="C35" s="92">
        <v>1762048</v>
      </c>
      <c r="D35" s="92">
        <v>114622</v>
      </c>
      <c r="E35" s="1"/>
      <c r="F35" s="1"/>
      <c r="G35" s="1"/>
      <c r="H35" s="1"/>
      <c r="I35" s="1"/>
      <c r="J35" s="1"/>
      <c r="K35" s="1"/>
      <c r="L35" s="1"/>
    </row>
    <row r="36" spans="1:18">
      <c r="A36" s="1"/>
      <c r="B36" s="32">
        <v>2022</v>
      </c>
      <c r="C36" s="92">
        <v>1564355</v>
      </c>
      <c r="D36" s="92">
        <v>291478</v>
      </c>
      <c r="E36" s="1"/>
      <c r="F36" s="1"/>
      <c r="G36" s="1"/>
      <c r="H36" s="1"/>
      <c r="I36" s="1"/>
      <c r="J36" s="1"/>
      <c r="K36" s="1"/>
      <c r="L36" s="1"/>
    </row>
    <row r="37" spans="1:18">
      <c r="A37" s="1"/>
      <c r="B37" s="32">
        <v>2023</v>
      </c>
      <c r="C37" s="92">
        <v>2332776</v>
      </c>
      <c r="D37" s="92">
        <v>-156760</v>
      </c>
      <c r="E37" s="1"/>
      <c r="F37" s="1"/>
      <c r="G37" s="1"/>
      <c r="H37" s="1"/>
      <c r="I37" s="1"/>
      <c r="J37" s="1"/>
      <c r="K37" s="1"/>
      <c r="L37" s="1"/>
    </row>
    <row r="38" spans="1:18">
      <c r="A38" s="3"/>
      <c r="B38" s="3"/>
      <c r="C38" s="3"/>
      <c r="D38" s="3"/>
      <c r="E38" s="3"/>
      <c r="F38" s="3"/>
      <c r="G38" s="3"/>
      <c r="H38" s="3"/>
      <c r="I38" s="3"/>
      <c r="J38" s="3"/>
      <c r="K38" s="3"/>
      <c r="L38" s="3"/>
    </row>
    <row r="39" spans="1:18">
      <c r="A39" s="17" t="s">
        <v>91</v>
      </c>
      <c r="B39" s="1" t="s">
        <v>2572</v>
      </c>
      <c r="C39" s="1"/>
      <c r="D39" s="1"/>
      <c r="E39" s="1"/>
      <c r="F39" s="1"/>
      <c r="G39" s="1"/>
      <c r="H39" s="1"/>
      <c r="I39" s="1"/>
      <c r="J39" s="1"/>
      <c r="K39" s="1"/>
      <c r="L39" s="1"/>
      <c r="M39" s="9"/>
      <c r="N39" s="9"/>
      <c r="O39" s="9"/>
      <c r="P39" s="9"/>
      <c r="Q39" s="9"/>
      <c r="R39" s="9"/>
    </row>
    <row r="40" spans="1:18">
      <c r="A40" s="3"/>
      <c r="B40" s="3"/>
      <c r="C40" s="3"/>
      <c r="D40" s="3"/>
      <c r="E40" s="3"/>
      <c r="F40" s="3"/>
      <c r="G40" s="3"/>
      <c r="H40" s="3"/>
      <c r="I40" s="3"/>
      <c r="J40" s="3"/>
      <c r="K40" s="3"/>
      <c r="L40" s="3"/>
      <c r="M40" s="3"/>
    </row>
    <row r="41" spans="1:18">
      <c r="A41" s="3" t="s">
        <v>20</v>
      </c>
      <c r="B41" s="3"/>
      <c r="C41" s="3"/>
      <c r="D41" s="3"/>
      <c r="E41" s="3"/>
      <c r="F41" s="3"/>
      <c r="G41" s="3"/>
      <c r="H41" s="3"/>
      <c r="I41" s="3"/>
      <c r="J41" s="3"/>
      <c r="K41" s="3"/>
      <c r="L41" s="3"/>
      <c r="M41" s="3"/>
      <c r="N41" s="9"/>
    </row>
    <row r="42" spans="1:18">
      <c r="A42" s="3"/>
      <c r="B42" s="3"/>
      <c r="C42" s="3"/>
      <c r="D42" s="3"/>
      <c r="E42" s="3"/>
      <c r="F42" s="3"/>
      <c r="G42" s="3"/>
      <c r="H42" s="3"/>
      <c r="I42" s="3"/>
      <c r="J42" s="3"/>
      <c r="K42" s="3"/>
      <c r="L42" s="3"/>
      <c r="M42" s="3"/>
      <c r="N42" s="9"/>
    </row>
    <row r="43" spans="1:18">
      <c r="A43" s="908" t="s">
        <v>49</v>
      </c>
      <c r="B43" s="816" t="s">
        <v>14</v>
      </c>
      <c r="C43" s="816"/>
      <c r="D43" s="816"/>
      <c r="E43" s="816"/>
      <c r="F43" s="816"/>
      <c r="G43" s="816"/>
      <c r="H43" s="3"/>
      <c r="I43" s="3"/>
      <c r="J43" s="3"/>
      <c r="K43" s="3"/>
      <c r="L43" s="3"/>
      <c r="M43" s="3"/>
      <c r="N43" s="9"/>
    </row>
    <row r="44" spans="1:18">
      <c r="A44" s="909"/>
      <c r="B44" s="35">
        <v>12</v>
      </c>
      <c r="C44" s="35">
        <f>B44+12</f>
        <v>24</v>
      </c>
      <c r="D44" s="35">
        <f t="shared" ref="D44:G44" si="0">C44+12</f>
        <v>36</v>
      </c>
      <c r="E44" s="35">
        <f t="shared" si="0"/>
        <v>48</v>
      </c>
      <c r="F44" s="35">
        <f t="shared" si="0"/>
        <v>60</v>
      </c>
      <c r="G44" s="35">
        <f t="shared" si="0"/>
        <v>72</v>
      </c>
      <c r="H44" s="3"/>
      <c r="I44" s="3"/>
      <c r="J44" s="3"/>
      <c r="K44" s="3"/>
      <c r="L44" s="3"/>
      <c r="M44" s="3"/>
      <c r="N44" s="9"/>
    </row>
    <row r="45" spans="1:18">
      <c r="A45" s="34">
        <v>2015</v>
      </c>
      <c r="B45" s="83">
        <f t="shared" ref="B45:G48" si="1">C7-C19</f>
        <v>786844</v>
      </c>
      <c r="C45" s="83">
        <f t="shared" si="1"/>
        <v>564811</v>
      </c>
      <c r="D45" s="83">
        <f t="shared" si="1"/>
        <v>308931</v>
      </c>
      <c r="E45" s="83">
        <f t="shared" si="1"/>
        <v>160024</v>
      </c>
      <c r="F45" s="83">
        <f t="shared" si="1"/>
        <v>48442</v>
      </c>
      <c r="G45" s="83">
        <f t="shared" si="1"/>
        <v>0</v>
      </c>
      <c r="H45" s="3"/>
      <c r="I45" s="3"/>
      <c r="J45" s="3"/>
      <c r="K45" s="3"/>
      <c r="L45" s="3"/>
      <c r="M45" s="3"/>
      <c r="N45" s="9"/>
    </row>
    <row r="46" spans="1:18">
      <c r="A46" s="34">
        <v>2016</v>
      </c>
      <c r="B46" s="83">
        <f t="shared" si="1"/>
        <v>795613</v>
      </c>
      <c r="C46" s="83">
        <f t="shared" si="1"/>
        <v>613589</v>
      </c>
      <c r="D46" s="83">
        <f t="shared" si="1"/>
        <v>329380</v>
      </c>
      <c r="E46" s="83">
        <f t="shared" si="1"/>
        <v>140620</v>
      </c>
      <c r="F46" s="83">
        <f t="shared" si="1"/>
        <v>45963</v>
      </c>
      <c r="G46" s="83">
        <f t="shared" si="1"/>
        <v>0</v>
      </c>
      <c r="H46" s="3"/>
      <c r="I46" s="3"/>
      <c r="J46" s="3"/>
      <c r="K46" s="3"/>
      <c r="L46" s="3"/>
      <c r="M46" s="3"/>
      <c r="N46" s="9"/>
    </row>
    <row r="47" spans="1:18">
      <c r="A47" s="34">
        <v>2017</v>
      </c>
      <c r="B47" s="83">
        <f t="shared" si="1"/>
        <v>865750</v>
      </c>
      <c r="C47" s="83">
        <f t="shared" si="1"/>
        <v>653990</v>
      </c>
      <c r="D47" s="83">
        <f t="shared" si="1"/>
        <v>358166</v>
      </c>
      <c r="E47" s="83">
        <f t="shared" si="1"/>
        <v>158396</v>
      </c>
      <c r="F47" s="83">
        <f t="shared" si="1"/>
        <v>55255</v>
      </c>
      <c r="G47" s="83">
        <f t="shared" si="1"/>
        <v>0</v>
      </c>
      <c r="H47" s="3"/>
      <c r="I47" s="3"/>
      <c r="J47" s="3"/>
      <c r="K47" s="3"/>
      <c r="L47" s="3"/>
      <c r="M47" s="3"/>
      <c r="N47" s="9"/>
    </row>
    <row r="48" spans="1:18">
      <c r="A48" s="34">
        <v>2018</v>
      </c>
      <c r="B48" s="83">
        <f t="shared" si="1"/>
        <v>971601</v>
      </c>
      <c r="C48" s="83">
        <f t="shared" si="1"/>
        <v>688324</v>
      </c>
      <c r="D48" s="83">
        <f t="shared" si="1"/>
        <v>387347</v>
      </c>
      <c r="E48" s="83">
        <f t="shared" si="1"/>
        <v>163712</v>
      </c>
      <c r="F48" s="83">
        <f t="shared" si="1"/>
        <v>48728</v>
      </c>
      <c r="G48" s="83">
        <f t="shared" si="1"/>
        <v>0</v>
      </c>
      <c r="H48" s="3"/>
      <c r="I48" s="3"/>
      <c r="J48" s="3"/>
      <c r="K48" s="3"/>
      <c r="L48" s="3"/>
      <c r="M48" s="3"/>
      <c r="N48" s="9"/>
    </row>
    <row r="49" spans="1:14">
      <c r="A49" s="34">
        <v>2019</v>
      </c>
      <c r="B49" s="83">
        <f>C11-C23</f>
        <v>985138</v>
      </c>
      <c r="C49" s="83">
        <f>D11-D23</f>
        <v>757423</v>
      </c>
      <c r="D49" s="83">
        <f>E11-E23</f>
        <v>408513</v>
      </c>
      <c r="E49" s="83">
        <f>F11-F23</f>
        <v>205511</v>
      </c>
      <c r="F49" s="83">
        <f>G11-G23</f>
        <v>86907</v>
      </c>
      <c r="G49" s="83"/>
      <c r="H49" s="3"/>
      <c r="I49" s="3"/>
      <c r="J49" s="3"/>
      <c r="K49" s="3"/>
      <c r="L49" s="3"/>
      <c r="M49" s="3"/>
      <c r="N49" s="9"/>
    </row>
    <row r="50" spans="1:14">
      <c r="A50" s="34">
        <v>2020</v>
      </c>
      <c r="B50" s="83">
        <f>C12-C24</f>
        <v>1069993</v>
      </c>
      <c r="C50" s="83">
        <f>D12-D24</f>
        <v>795296</v>
      </c>
      <c r="D50" s="83">
        <f>E12-E24</f>
        <v>445648</v>
      </c>
      <c r="E50" s="83">
        <f>F12-F24</f>
        <v>300044</v>
      </c>
      <c r="F50" s="83"/>
      <c r="G50" s="83"/>
      <c r="H50" s="3"/>
      <c r="I50" s="3"/>
      <c r="J50" s="3"/>
      <c r="K50" s="3"/>
      <c r="L50" s="3"/>
      <c r="M50" s="3"/>
      <c r="N50" s="9"/>
    </row>
    <row r="51" spans="1:14">
      <c r="A51" s="34">
        <v>2021</v>
      </c>
      <c r="B51" s="83">
        <f>C13-C25</f>
        <v>1110968</v>
      </c>
      <c r="C51" s="83">
        <f>D13-D25</f>
        <v>873229</v>
      </c>
      <c r="D51" s="83">
        <f>E13-E25</f>
        <v>457851</v>
      </c>
      <c r="E51" s="83"/>
      <c r="F51" s="83"/>
      <c r="G51" s="83"/>
      <c r="H51" s="3"/>
      <c r="I51" s="3"/>
      <c r="J51" s="3"/>
      <c r="K51" s="3"/>
      <c r="L51" s="3"/>
      <c r="M51" s="3"/>
      <c r="N51" s="9"/>
    </row>
    <row r="52" spans="1:14">
      <c r="A52" s="34">
        <v>2022</v>
      </c>
      <c r="B52" s="83">
        <f>C14-C26</f>
        <v>1252106</v>
      </c>
      <c r="C52" s="83">
        <f>D14-D26</f>
        <v>896859</v>
      </c>
      <c r="D52" s="83"/>
      <c r="E52" s="83"/>
      <c r="F52" s="83"/>
      <c r="G52" s="83"/>
      <c r="H52" s="3"/>
      <c r="I52" s="3"/>
      <c r="J52" s="3"/>
      <c r="K52" s="3"/>
      <c r="L52" s="3"/>
      <c r="M52" s="3"/>
      <c r="N52" s="9"/>
    </row>
    <row r="53" spans="1:14">
      <c r="A53" s="34">
        <v>2023</v>
      </c>
      <c r="B53" s="83">
        <f>C15-C27</f>
        <v>1306801</v>
      </c>
      <c r="C53" s="83"/>
      <c r="D53" s="83"/>
      <c r="E53" s="83"/>
      <c r="F53" s="83"/>
      <c r="G53" s="83"/>
      <c r="H53" s="3"/>
      <c r="I53" s="3"/>
      <c r="J53" s="3"/>
      <c r="K53" s="3"/>
      <c r="L53" s="3"/>
      <c r="M53" s="3"/>
      <c r="N53" s="9"/>
    </row>
    <row r="54" spans="1:14">
      <c r="H54" s="3"/>
      <c r="I54" s="3"/>
      <c r="J54" s="3"/>
      <c r="K54" s="3"/>
      <c r="L54" s="3"/>
      <c r="M54" s="3"/>
      <c r="N54" s="9"/>
    </row>
    <row r="55" spans="1:14" ht="46.8">
      <c r="A55" s="36" t="s">
        <v>2569</v>
      </c>
      <c r="B55" s="36" t="s">
        <v>2573</v>
      </c>
      <c r="C55" s="36" t="s">
        <v>2574</v>
      </c>
      <c r="H55" s="3"/>
      <c r="I55" s="3"/>
      <c r="J55" s="3"/>
      <c r="K55" s="3"/>
      <c r="L55" s="3"/>
      <c r="M55" s="3"/>
      <c r="N55" s="9"/>
    </row>
    <row r="56" spans="1:14">
      <c r="A56" s="34">
        <f>A52</f>
        <v>2022</v>
      </c>
      <c r="B56" s="83">
        <f>B52+C51+D50+E49+F48+G47</f>
        <v>2825222</v>
      </c>
      <c r="C56" s="83"/>
      <c r="H56" s="3"/>
      <c r="I56" s="3"/>
      <c r="J56" s="3"/>
      <c r="K56" s="3"/>
      <c r="L56" s="3"/>
      <c r="M56" s="3"/>
      <c r="N56" s="9"/>
    </row>
    <row r="57" spans="1:14">
      <c r="A57" s="34">
        <f>A53</f>
        <v>2023</v>
      </c>
      <c r="B57" s="83">
        <f>B53+C52+D51+E50+F49+G48</f>
        <v>3048462</v>
      </c>
      <c r="C57" s="83">
        <f>B57-B56</f>
        <v>223240</v>
      </c>
      <c r="H57" s="3"/>
      <c r="I57" s="3"/>
      <c r="J57" s="3"/>
      <c r="K57" s="3"/>
      <c r="L57" s="3"/>
      <c r="M57" s="3"/>
      <c r="N57" s="9"/>
    </row>
    <row r="58" spans="1:14">
      <c r="M58" s="9"/>
      <c r="N58" s="9"/>
    </row>
    <row r="59" spans="1:14">
      <c r="A59" s="1" t="s">
        <v>2575</v>
      </c>
      <c r="B59" s="14"/>
      <c r="C59" s="14"/>
      <c r="D59" s="14"/>
      <c r="E59" s="14"/>
      <c r="F59" s="14"/>
      <c r="G59" s="1"/>
      <c r="H59" s="1"/>
      <c r="I59" s="1"/>
      <c r="J59" s="1"/>
      <c r="K59" s="1"/>
      <c r="L59" s="1"/>
    </row>
    <row r="61" spans="1:14">
      <c r="A61" s="17" t="s">
        <v>133</v>
      </c>
      <c r="B61" s="1" t="s">
        <v>2576</v>
      </c>
      <c r="C61" s="1"/>
      <c r="D61" s="1"/>
      <c r="E61" s="1"/>
      <c r="F61" s="1"/>
      <c r="G61" s="1"/>
      <c r="H61" s="1"/>
      <c r="I61" s="1"/>
      <c r="J61" s="1"/>
      <c r="K61" s="1"/>
      <c r="L61" s="1"/>
    </row>
    <row r="62" spans="1:14">
      <c r="A62" s="3"/>
      <c r="B62" s="3"/>
      <c r="C62" s="3"/>
      <c r="D62" s="3"/>
      <c r="E62" s="3"/>
      <c r="F62" s="3"/>
      <c r="G62" s="3"/>
      <c r="H62" s="3"/>
      <c r="I62" s="3"/>
      <c r="J62" s="3"/>
      <c r="K62" s="3"/>
      <c r="L62" s="3"/>
    </row>
    <row r="63" spans="1:14">
      <c r="A63" s="3" t="s">
        <v>20</v>
      </c>
      <c r="B63" s="3"/>
      <c r="C63" s="3"/>
      <c r="D63" s="3"/>
      <c r="E63" s="3"/>
      <c r="F63" s="3"/>
      <c r="G63" s="3"/>
      <c r="H63" s="3"/>
      <c r="I63" s="3"/>
      <c r="J63" s="3"/>
      <c r="K63" s="3"/>
      <c r="L63" s="3"/>
    </row>
    <row r="64" spans="1:14">
      <c r="A64" s="3"/>
      <c r="B64" s="3"/>
      <c r="C64" s="3"/>
      <c r="D64" s="3"/>
      <c r="E64" s="3"/>
      <c r="F64" s="3"/>
      <c r="G64" s="3"/>
      <c r="H64" s="3"/>
      <c r="I64" s="3"/>
      <c r="J64" s="3"/>
      <c r="K64" s="3"/>
      <c r="L64" s="3"/>
    </row>
    <row r="65" spans="1:13" ht="31.2">
      <c r="A65" s="36" t="s">
        <v>934</v>
      </c>
      <c r="B65" s="36" t="s">
        <v>2577</v>
      </c>
      <c r="C65" s="36" t="s">
        <v>2578</v>
      </c>
      <c r="F65" s="18"/>
      <c r="G65" s="3"/>
      <c r="H65" s="3"/>
      <c r="I65" s="3"/>
      <c r="J65" s="3"/>
      <c r="K65" s="3"/>
      <c r="L65" s="3"/>
    </row>
    <row r="66" spans="1:13">
      <c r="A66" s="34">
        <f>B14</f>
        <v>2022</v>
      </c>
      <c r="B66" s="83">
        <f>C26+D25+E24+F23+G22+H21</f>
        <v>26688847</v>
      </c>
      <c r="C66" s="83"/>
      <c r="F66" s="18"/>
      <c r="M66" s="3"/>
    </row>
    <row r="67" spans="1:13">
      <c r="A67" s="34">
        <f>B15</f>
        <v>2023</v>
      </c>
      <c r="B67" s="83">
        <f>C27+D26+E25+F24+G23+H22</f>
        <v>28641623</v>
      </c>
      <c r="C67" s="83">
        <f>B67-B66</f>
        <v>1952776</v>
      </c>
      <c r="F67" s="18"/>
      <c r="M67" s="3"/>
    </row>
    <row r="68" spans="1:13">
      <c r="M68" s="3"/>
    </row>
    <row r="69" spans="1:13">
      <c r="A69" s="2" t="s">
        <v>2579</v>
      </c>
    </row>
    <row r="71" spans="1:13">
      <c r="A71" s="1" t="s">
        <v>2580</v>
      </c>
      <c r="B71" s="1"/>
      <c r="C71" s="1"/>
      <c r="D71" s="1"/>
      <c r="E71" s="1"/>
      <c r="F71" s="1"/>
      <c r="G71" s="1"/>
      <c r="H71" s="1"/>
      <c r="I71" s="1"/>
      <c r="J71" s="1"/>
      <c r="K71" s="1"/>
      <c r="L71" s="1"/>
    </row>
    <row r="72" spans="1:13">
      <c r="A72" s="1"/>
      <c r="B72" s="1"/>
      <c r="C72" s="1"/>
      <c r="D72" s="1"/>
      <c r="E72" s="1"/>
      <c r="F72" s="1"/>
      <c r="G72" s="1"/>
      <c r="H72" s="1"/>
      <c r="I72" s="1"/>
      <c r="J72" s="1"/>
      <c r="K72" s="1"/>
      <c r="L72" s="1"/>
    </row>
    <row r="73" spans="1:13">
      <c r="A73" s="1"/>
      <c r="B73" s="952" t="s">
        <v>2581</v>
      </c>
      <c r="C73" s="952"/>
      <c r="D73" s="952"/>
      <c r="E73" s="952"/>
      <c r="F73" s="952"/>
      <c r="G73" s="952"/>
      <c r="H73" s="952"/>
      <c r="I73" s="952"/>
      <c r="J73" s="952"/>
      <c r="K73" s="952"/>
      <c r="L73" s="952"/>
    </row>
    <row r="74" spans="1:13">
      <c r="A74" s="1"/>
      <c r="B74" s="952"/>
      <c r="C74" s="952"/>
      <c r="D74" s="952"/>
      <c r="E74" s="952"/>
      <c r="F74" s="952"/>
      <c r="G74" s="952"/>
      <c r="H74" s="952"/>
      <c r="I74" s="952"/>
      <c r="J74" s="952"/>
      <c r="K74" s="952"/>
      <c r="L74" s="952"/>
    </row>
    <row r="75" spans="1:13">
      <c r="A75" s="1"/>
      <c r="B75" s="952"/>
      <c r="C75" s="952"/>
      <c r="D75" s="952"/>
      <c r="E75" s="952"/>
      <c r="F75" s="952"/>
      <c r="G75" s="952"/>
      <c r="H75" s="952"/>
      <c r="I75" s="952"/>
      <c r="J75" s="952"/>
      <c r="K75" s="952"/>
      <c r="L75" s="952"/>
    </row>
    <row r="76" spans="1:13">
      <c r="A76" s="1"/>
      <c r="B76" s="721"/>
      <c r="C76" s="721"/>
      <c r="D76" s="721"/>
      <c r="E76" s="721"/>
      <c r="F76" s="721"/>
      <c r="G76" s="721"/>
      <c r="H76" s="721"/>
      <c r="I76" s="721"/>
      <c r="J76" s="721"/>
      <c r="K76" s="721"/>
      <c r="L76" s="721"/>
    </row>
    <row r="77" spans="1:13">
      <c r="A77" s="1"/>
      <c r="B77" s="952" t="s">
        <v>2582</v>
      </c>
      <c r="C77" s="952"/>
      <c r="D77" s="952"/>
      <c r="E77" s="952"/>
      <c r="F77" s="952"/>
      <c r="G77" s="952"/>
      <c r="H77" s="952"/>
      <c r="I77" s="952"/>
      <c r="J77" s="952"/>
      <c r="K77" s="952"/>
      <c r="L77" s="952"/>
    </row>
    <row r="78" spans="1:13">
      <c r="A78" s="1"/>
      <c r="B78" s="952"/>
      <c r="C78" s="952"/>
      <c r="D78" s="952"/>
      <c r="E78" s="952"/>
      <c r="F78" s="952"/>
      <c r="G78" s="952"/>
      <c r="H78" s="952"/>
      <c r="I78" s="952"/>
      <c r="J78" s="952"/>
      <c r="K78" s="952"/>
      <c r="L78" s="952"/>
    </row>
    <row r="79" spans="1:13">
      <c r="A79" s="1"/>
      <c r="B79" s="952"/>
      <c r="C79" s="952"/>
      <c r="D79" s="952"/>
      <c r="E79" s="952"/>
      <c r="F79" s="952"/>
      <c r="G79" s="952"/>
      <c r="H79" s="952"/>
      <c r="I79" s="952"/>
      <c r="J79" s="952"/>
      <c r="K79" s="952"/>
      <c r="L79" s="952"/>
    </row>
    <row r="81" spans="1:12">
      <c r="A81" s="17" t="s">
        <v>18</v>
      </c>
      <c r="B81" s="831" t="s">
        <v>2583</v>
      </c>
      <c r="C81" s="831"/>
      <c r="D81" s="831"/>
      <c r="E81" s="831"/>
      <c r="F81" s="831"/>
      <c r="G81" s="831"/>
      <c r="H81" s="831"/>
      <c r="I81" s="831"/>
      <c r="J81" s="831"/>
      <c r="K81" s="831"/>
      <c r="L81" s="831"/>
    </row>
    <row r="82" spans="1:12">
      <c r="A82" s="17"/>
      <c r="B82" s="831"/>
      <c r="C82" s="831"/>
      <c r="D82" s="831"/>
      <c r="E82" s="831"/>
      <c r="F82" s="831"/>
      <c r="G82" s="831"/>
      <c r="H82" s="831"/>
      <c r="I82" s="831"/>
      <c r="J82" s="831"/>
      <c r="K82" s="831"/>
      <c r="L82" s="831"/>
    </row>
    <row r="83" spans="1:12">
      <c r="A83" s="3"/>
      <c r="B83" s="3"/>
      <c r="C83" s="3"/>
      <c r="D83" s="3"/>
      <c r="E83" s="3"/>
      <c r="F83" s="3"/>
      <c r="G83" s="3"/>
      <c r="H83" s="3"/>
      <c r="I83" s="3"/>
      <c r="J83" s="3"/>
      <c r="K83" s="3"/>
      <c r="L83" s="3"/>
    </row>
    <row r="84" spans="1:12">
      <c r="A84" s="3" t="s">
        <v>20</v>
      </c>
      <c r="B84" s="3"/>
      <c r="C84" s="3"/>
      <c r="D84" s="3"/>
      <c r="E84" s="3"/>
      <c r="F84" s="3"/>
      <c r="G84" s="3"/>
      <c r="H84" s="3"/>
      <c r="I84" s="3"/>
      <c r="J84" s="3"/>
      <c r="K84" s="3"/>
      <c r="L84" s="3"/>
    </row>
    <row r="85" spans="1:12">
      <c r="A85" s="3"/>
      <c r="B85" s="3"/>
      <c r="C85" s="3"/>
      <c r="D85" s="3"/>
      <c r="E85" s="3"/>
      <c r="F85" s="3"/>
      <c r="G85" s="3"/>
      <c r="H85" s="3"/>
      <c r="I85" s="3"/>
      <c r="J85" s="3"/>
      <c r="K85" s="3"/>
      <c r="L85" s="3"/>
    </row>
    <row r="86" spans="1:12">
      <c r="A86" s="2" t="s">
        <v>2584</v>
      </c>
      <c r="F86" s="3"/>
      <c r="G86" s="3"/>
      <c r="H86" s="3"/>
      <c r="I86" s="3"/>
      <c r="J86" s="3"/>
      <c r="K86" s="3"/>
      <c r="L86" s="3"/>
    </row>
    <row r="87" spans="1:12">
      <c r="A87" s="60" t="s">
        <v>2585</v>
      </c>
      <c r="F87" s="3"/>
      <c r="G87" s="3"/>
      <c r="H87" s="3"/>
      <c r="I87" s="3"/>
      <c r="J87" s="3"/>
      <c r="K87" s="3"/>
      <c r="L87" s="3"/>
    </row>
    <row r="88" spans="1:12">
      <c r="A88" s="60" t="s">
        <v>2586</v>
      </c>
      <c r="F88" s="3"/>
      <c r="G88" s="3"/>
      <c r="H88" s="3"/>
      <c r="I88" s="3"/>
      <c r="J88" s="3"/>
      <c r="K88" s="3"/>
      <c r="L88" s="3"/>
    </row>
    <row r="89" spans="1:12">
      <c r="A89" s="60" t="s">
        <v>2587</v>
      </c>
      <c r="F89" s="3"/>
      <c r="G89" s="3"/>
      <c r="H89" s="3"/>
      <c r="I89" s="3"/>
      <c r="J89" s="3"/>
      <c r="K89" s="3"/>
      <c r="L89" s="3"/>
    </row>
    <row r="90" spans="1:12">
      <c r="F90" s="3"/>
      <c r="G90" s="3"/>
      <c r="H90" s="3"/>
      <c r="I90" s="3"/>
      <c r="J90" s="3"/>
      <c r="K90" s="3"/>
      <c r="L90" s="3"/>
    </row>
    <row r="91" spans="1:12">
      <c r="B91" s="908" t="s">
        <v>49</v>
      </c>
      <c r="C91" s="816" t="s">
        <v>550</v>
      </c>
      <c r="D91" s="816"/>
      <c r="E91" s="816"/>
      <c r="F91" s="3"/>
      <c r="G91" s="3"/>
      <c r="H91" s="3"/>
      <c r="I91" s="3"/>
      <c r="J91" s="3"/>
      <c r="K91" s="3"/>
      <c r="L91" s="3"/>
    </row>
    <row r="92" spans="1:12">
      <c r="B92" s="909"/>
      <c r="C92" s="35">
        <v>12</v>
      </c>
      <c r="D92" s="35">
        <f>C92+12</f>
        <v>24</v>
      </c>
      <c r="E92" s="35">
        <f t="shared" ref="E92" si="2">D92+12</f>
        <v>36</v>
      </c>
      <c r="F92" s="3"/>
      <c r="G92" s="3"/>
      <c r="H92" s="3"/>
      <c r="I92" s="3"/>
      <c r="J92" s="3"/>
      <c r="K92" s="3"/>
      <c r="L92" s="3"/>
    </row>
    <row r="93" spans="1:12">
      <c r="B93" s="34">
        <v>2021</v>
      </c>
      <c r="C93" s="83">
        <v>1</v>
      </c>
      <c r="D93" s="83">
        <v>1</v>
      </c>
      <c r="E93" s="83">
        <v>1</v>
      </c>
      <c r="F93" s="3"/>
      <c r="G93" s="3"/>
      <c r="H93" s="3"/>
      <c r="I93" s="3"/>
      <c r="J93" s="3"/>
      <c r="K93" s="3"/>
      <c r="L93" s="3"/>
    </row>
    <row r="94" spans="1:12">
      <c r="B94" s="34"/>
      <c r="C94" s="83"/>
      <c r="D94" s="83"/>
      <c r="E94" s="83"/>
      <c r="F94" s="3"/>
      <c r="G94" s="3"/>
      <c r="H94" s="3"/>
      <c r="I94" s="3"/>
      <c r="J94" s="3"/>
      <c r="K94" s="3"/>
      <c r="L94" s="3"/>
    </row>
    <row r="95" spans="1:12">
      <c r="A95" s="2" t="s">
        <v>2588</v>
      </c>
      <c r="F95" s="3"/>
      <c r="G95" s="3"/>
      <c r="H95" s="3"/>
      <c r="I95" s="3"/>
      <c r="J95" s="3"/>
      <c r="K95" s="3"/>
      <c r="L95" s="3"/>
    </row>
    <row r="96" spans="1:12">
      <c r="A96" s="60" t="s">
        <v>2585</v>
      </c>
      <c r="F96" s="3"/>
      <c r="G96" s="3"/>
      <c r="H96" s="3"/>
      <c r="I96" s="3"/>
      <c r="J96" s="3"/>
      <c r="K96" s="3"/>
      <c r="L96" s="3"/>
    </row>
    <row r="97" spans="1:12">
      <c r="A97" s="60" t="s">
        <v>2589</v>
      </c>
      <c r="F97" s="3"/>
      <c r="G97" s="3"/>
      <c r="H97" s="3"/>
      <c r="I97" s="3"/>
      <c r="J97" s="3"/>
      <c r="K97" s="3"/>
      <c r="L97" s="3"/>
    </row>
    <row r="98" spans="1:12">
      <c r="F98" s="3"/>
      <c r="G98" s="3"/>
      <c r="H98" s="3"/>
      <c r="I98" s="3"/>
      <c r="J98" s="3"/>
      <c r="K98" s="3"/>
      <c r="L98" s="3"/>
    </row>
    <row r="99" spans="1:12" ht="15.6" customHeight="1">
      <c r="B99" s="908" t="s">
        <v>49</v>
      </c>
      <c r="C99" s="816" t="s">
        <v>550</v>
      </c>
      <c r="D99" s="816"/>
      <c r="E99" s="816"/>
      <c r="F99" s="3"/>
      <c r="G99" s="3"/>
      <c r="H99" s="3"/>
      <c r="I99" s="3"/>
      <c r="J99" s="3"/>
      <c r="K99" s="3"/>
      <c r="L99" s="3"/>
    </row>
    <row r="100" spans="1:12">
      <c r="B100" s="909"/>
      <c r="C100" s="35">
        <v>12</v>
      </c>
      <c r="D100" s="35">
        <f>C100+12</f>
        <v>24</v>
      </c>
      <c r="E100" s="35">
        <f t="shared" ref="E100" si="3">D100+12</f>
        <v>36</v>
      </c>
      <c r="F100" s="3"/>
      <c r="G100" s="3"/>
      <c r="H100" s="3"/>
      <c r="I100" s="3"/>
      <c r="J100" s="3"/>
      <c r="K100" s="3"/>
      <c r="L100" s="3"/>
    </row>
    <row r="101" spans="1:12">
      <c r="B101" s="34">
        <v>2021</v>
      </c>
      <c r="C101" s="83">
        <v>0</v>
      </c>
      <c r="D101" s="83">
        <v>1</v>
      </c>
      <c r="E101" s="83">
        <v>1</v>
      </c>
      <c r="F101" s="3"/>
      <c r="G101" s="3"/>
      <c r="H101" s="3"/>
      <c r="I101" s="3"/>
      <c r="J101" s="3"/>
      <c r="K101" s="3"/>
      <c r="L101" s="3"/>
    </row>
    <row r="103" spans="1:12">
      <c r="A103" s="17" t="s">
        <v>25</v>
      </c>
      <c r="B103" s="831" t="s">
        <v>2590</v>
      </c>
      <c r="C103" s="831"/>
      <c r="D103" s="831"/>
      <c r="E103" s="831"/>
      <c r="F103" s="831"/>
      <c r="G103" s="831"/>
      <c r="H103" s="831"/>
      <c r="I103" s="831"/>
      <c r="J103" s="831"/>
      <c r="K103" s="831"/>
      <c r="L103" s="831"/>
    </row>
    <row r="104" spans="1:12">
      <c r="A104" s="17"/>
      <c r="B104" s="831"/>
      <c r="C104" s="831"/>
      <c r="D104" s="831"/>
      <c r="E104" s="831"/>
      <c r="F104" s="831"/>
      <c r="G104" s="831"/>
      <c r="H104" s="831"/>
      <c r="I104" s="831"/>
      <c r="J104" s="831"/>
      <c r="K104" s="831"/>
      <c r="L104" s="831"/>
    </row>
    <row r="105" spans="1:12">
      <c r="A105" s="3"/>
      <c r="B105" s="3"/>
      <c r="C105" s="3"/>
      <c r="D105" s="3"/>
      <c r="E105" s="3"/>
      <c r="F105" s="3"/>
      <c r="G105" s="3"/>
      <c r="H105" s="3"/>
      <c r="I105" s="3"/>
      <c r="J105" s="3"/>
      <c r="K105" s="3"/>
      <c r="L105" s="3"/>
    </row>
    <row r="106" spans="1:12">
      <c r="A106" s="3" t="s">
        <v>20</v>
      </c>
      <c r="B106" s="3"/>
      <c r="C106" s="3"/>
      <c r="D106" s="3"/>
      <c r="E106" s="3"/>
      <c r="F106" s="3"/>
      <c r="G106" s="3"/>
      <c r="H106" s="3"/>
      <c r="I106" s="3"/>
      <c r="J106" s="3"/>
      <c r="K106" s="3"/>
      <c r="L106" s="3"/>
    </row>
    <row r="107" spans="1:12">
      <c r="A107" s="3"/>
      <c r="B107" s="3"/>
      <c r="C107" s="3"/>
      <c r="D107" s="3"/>
      <c r="E107" s="3"/>
      <c r="F107" s="3"/>
      <c r="G107" s="3"/>
      <c r="H107" s="3"/>
      <c r="I107" s="3"/>
      <c r="J107" s="3"/>
      <c r="K107" s="3"/>
      <c r="L107" s="3"/>
    </row>
    <row r="108" spans="1:12">
      <c r="A108" s="2" t="s">
        <v>2584</v>
      </c>
      <c r="B108" s="18"/>
      <c r="C108" s="18"/>
      <c r="D108" s="18"/>
      <c r="E108" s="18"/>
    </row>
    <row r="109" spans="1:12">
      <c r="A109" s="60" t="s">
        <v>2591</v>
      </c>
      <c r="B109" s="18"/>
      <c r="C109" s="18"/>
      <c r="D109" s="18"/>
      <c r="E109" s="18"/>
    </row>
    <row r="110" spans="1:12">
      <c r="A110" s="18"/>
      <c r="B110" s="18"/>
      <c r="C110" s="18"/>
      <c r="D110" s="18"/>
      <c r="E110" s="18"/>
    </row>
    <row r="111" spans="1:12" ht="15.6" customHeight="1">
      <c r="A111" s="18"/>
      <c r="B111" s="908" t="s">
        <v>49</v>
      </c>
      <c r="C111" s="816" t="s">
        <v>551</v>
      </c>
      <c r="D111" s="816"/>
      <c r="E111" s="816"/>
    </row>
    <row r="112" spans="1:12">
      <c r="A112" s="18"/>
      <c r="B112" s="909"/>
      <c r="C112" s="35">
        <v>12</v>
      </c>
      <c r="D112" s="35">
        <f>C112+12</f>
        <v>24</v>
      </c>
      <c r="E112" s="35">
        <f t="shared" ref="E112" si="4">D112+12</f>
        <v>36</v>
      </c>
    </row>
    <row r="113" spans="1:5">
      <c r="A113" s="18"/>
      <c r="B113" s="34">
        <v>2021</v>
      </c>
      <c r="C113" s="83">
        <v>0</v>
      </c>
      <c r="D113" s="83">
        <v>1</v>
      </c>
      <c r="E113" s="83">
        <v>0</v>
      </c>
    </row>
    <row r="114" spans="1:5">
      <c r="A114" s="18"/>
      <c r="B114" s="18"/>
      <c r="C114" s="18"/>
      <c r="D114" s="18"/>
      <c r="E114" s="18"/>
    </row>
    <row r="115" spans="1:5">
      <c r="A115" s="2" t="s">
        <v>2588</v>
      </c>
      <c r="B115" s="18"/>
      <c r="C115" s="18"/>
      <c r="D115" s="18"/>
      <c r="E115" s="18"/>
    </row>
    <row r="116" spans="1:5">
      <c r="A116" s="60" t="s">
        <v>2592</v>
      </c>
      <c r="B116" s="18"/>
      <c r="C116" s="18"/>
      <c r="D116" s="18"/>
      <c r="E116" s="18"/>
    </row>
    <row r="117" spans="1:5">
      <c r="A117" s="18"/>
      <c r="B117" s="18"/>
      <c r="C117" s="18"/>
      <c r="D117" s="18"/>
      <c r="E117" s="18"/>
    </row>
    <row r="118" spans="1:5" ht="15.6" customHeight="1">
      <c r="A118" s="18"/>
      <c r="B118" s="908" t="s">
        <v>49</v>
      </c>
      <c r="C118" s="816" t="s">
        <v>551</v>
      </c>
      <c r="D118" s="816"/>
      <c r="E118" s="816"/>
    </row>
    <row r="119" spans="1:5">
      <c r="A119" s="18"/>
      <c r="B119" s="909"/>
      <c r="C119" s="35">
        <v>12</v>
      </c>
      <c r="D119" s="35">
        <f>C119+12</f>
        <v>24</v>
      </c>
      <c r="E119" s="35">
        <f t="shared" ref="E119" si="5">D119+12</f>
        <v>36</v>
      </c>
    </row>
    <row r="120" spans="1:5">
      <c r="A120" s="18"/>
      <c r="B120" s="34">
        <v>2021</v>
      </c>
      <c r="C120" s="83">
        <v>0</v>
      </c>
      <c r="D120" s="83">
        <v>0</v>
      </c>
      <c r="E120" s="83">
        <v>1</v>
      </c>
    </row>
  </sheetData>
  <mergeCells count="19">
    <mergeCell ref="B99:B100"/>
    <mergeCell ref="C99:E99"/>
    <mergeCell ref="B5:B6"/>
    <mergeCell ref="C5:H5"/>
    <mergeCell ref="B17:B18"/>
    <mergeCell ref="C17:H17"/>
    <mergeCell ref="A31:L32"/>
    <mergeCell ref="A43:A44"/>
    <mergeCell ref="B43:G43"/>
    <mergeCell ref="B73:L75"/>
    <mergeCell ref="B77:L79"/>
    <mergeCell ref="B81:L82"/>
    <mergeCell ref="B91:B92"/>
    <mergeCell ref="C91:E91"/>
    <mergeCell ref="B103:L104"/>
    <mergeCell ref="B111:B112"/>
    <mergeCell ref="C111:E111"/>
    <mergeCell ref="B118:B119"/>
    <mergeCell ref="C118:E118"/>
  </mergeCells>
  <hyperlinks>
    <hyperlink ref="O1" location="TOC!A1" display="Table of Contents" xr:uid="{C4F3E76F-3990-4498-B236-3FFF7D64A969}"/>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38197-5FBD-4689-A9E6-C1782C1D0943}">
  <dimension ref="A1:R51"/>
  <sheetViews>
    <sheetView zoomScaleNormal="100" workbookViewId="0"/>
  </sheetViews>
  <sheetFormatPr defaultRowHeight="15.6"/>
  <cols>
    <col min="1" max="1" width="8.88671875" style="2" customWidth="1"/>
    <col min="2" max="6" width="12.77734375" style="2" customWidth="1"/>
    <col min="7" max="7" width="8.88671875" style="2"/>
    <col min="8" max="8" width="8.88671875" style="2" customWidth="1"/>
    <col min="9" max="16384" width="8.88671875" style="2"/>
  </cols>
  <sheetData>
    <row r="1" spans="1:15" ht="17.399999999999999">
      <c r="A1" s="13" t="s">
        <v>32</v>
      </c>
      <c r="B1" s="1"/>
      <c r="C1" s="1"/>
      <c r="D1" s="1" t="s">
        <v>0</v>
      </c>
      <c r="E1" s="1"/>
      <c r="F1" s="1"/>
      <c r="G1" s="1"/>
      <c r="H1" s="1"/>
      <c r="I1" s="1"/>
      <c r="J1" s="1"/>
      <c r="K1" s="1"/>
      <c r="L1" s="14"/>
      <c r="O1" s="21" t="s">
        <v>2927</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 t="s">
        <v>2</v>
      </c>
      <c r="B6" s="1"/>
      <c r="C6" s="1"/>
      <c r="D6" s="1"/>
      <c r="E6" s="1"/>
      <c r="F6" s="1"/>
      <c r="G6" s="1"/>
      <c r="H6" s="1"/>
      <c r="I6" s="1"/>
      <c r="J6" s="1"/>
      <c r="K6" s="1"/>
      <c r="L6" s="1"/>
    </row>
    <row r="7" spans="1:15">
      <c r="A7" s="1"/>
      <c r="B7" s="1"/>
      <c r="C7" s="1"/>
      <c r="D7" s="1"/>
      <c r="E7" s="1"/>
      <c r="F7" s="1"/>
      <c r="G7" s="1"/>
      <c r="H7" s="1"/>
      <c r="I7" s="1"/>
      <c r="J7" s="1"/>
      <c r="K7" s="1"/>
      <c r="L7" s="1"/>
    </row>
    <row r="8" spans="1:15">
      <c r="A8" s="1"/>
      <c r="B8" s="828" t="s">
        <v>3</v>
      </c>
      <c r="C8" s="828" t="s">
        <v>4</v>
      </c>
      <c r="D8" s="828" t="s">
        <v>5</v>
      </c>
      <c r="E8" s="829" t="s">
        <v>6</v>
      </c>
      <c r="F8" s="829"/>
      <c r="G8" s="1"/>
      <c r="H8" s="1"/>
      <c r="I8" s="1"/>
      <c r="J8" s="1"/>
      <c r="K8" s="1"/>
      <c r="L8" s="1"/>
    </row>
    <row r="9" spans="1:15" ht="31.2">
      <c r="A9" s="1"/>
      <c r="B9" s="828"/>
      <c r="C9" s="828"/>
      <c r="D9" s="828"/>
      <c r="E9" s="5" t="s">
        <v>7</v>
      </c>
      <c r="F9" s="5" t="s">
        <v>8</v>
      </c>
      <c r="G9" s="1"/>
      <c r="H9" s="1"/>
      <c r="I9" s="1"/>
      <c r="J9" s="1"/>
      <c r="K9" s="1"/>
      <c r="L9" s="1"/>
    </row>
    <row r="10" spans="1:15">
      <c r="A10" s="1"/>
      <c r="B10" s="6">
        <v>2017</v>
      </c>
      <c r="C10" s="7">
        <v>7430</v>
      </c>
      <c r="D10" s="7">
        <v>810000</v>
      </c>
      <c r="E10" s="8">
        <v>7.3999999999999996E-2</v>
      </c>
      <c r="F10" s="8">
        <v>7.4999999999999997E-2</v>
      </c>
      <c r="G10" s="1"/>
      <c r="H10" s="1"/>
      <c r="I10" s="1"/>
      <c r="J10" s="1"/>
      <c r="K10" s="1"/>
      <c r="L10" s="1"/>
    </row>
    <row r="11" spans="1:15">
      <c r="A11" s="1"/>
      <c r="B11" s="6">
        <v>2018</v>
      </c>
      <c r="C11" s="7">
        <v>7890</v>
      </c>
      <c r="D11" s="7">
        <v>850000</v>
      </c>
      <c r="E11" s="8">
        <v>7.4999999999999997E-2</v>
      </c>
      <c r="F11" s="8">
        <v>7.2999999999999995E-2</v>
      </c>
      <c r="G11" s="1"/>
      <c r="H11" s="1"/>
      <c r="I11" s="1"/>
      <c r="J11" s="1"/>
      <c r="K11" s="1"/>
      <c r="L11" s="1"/>
    </row>
    <row r="12" spans="1:15">
      <c r="A12" s="1"/>
      <c r="B12" s="6">
        <v>2019</v>
      </c>
      <c r="C12" s="7">
        <v>8310</v>
      </c>
      <c r="D12" s="7">
        <v>880000</v>
      </c>
      <c r="E12" s="8">
        <v>7.5999999999999998E-2</v>
      </c>
      <c r="F12" s="8">
        <v>7.0999999999999994E-2</v>
      </c>
      <c r="G12" s="1"/>
      <c r="H12" s="1"/>
      <c r="I12" s="1"/>
      <c r="J12" s="1"/>
      <c r="K12" s="1"/>
      <c r="L12" s="1"/>
    </row>
    <row r="13" spans="1:15">
      <c r="A13" s="1"/>
      <c r="B13" s="1"/>
      <c r="C13" s="1"/>
      <c r="D13" s="1"/>
      <c r="E13" s="1"/>
      <c r="F13" s="1"/>
      <c r="G13" s="1"/>
      <c r="H13" s="1"/>
      <c r="I13" s="1"/>
      <c r="J13" s="1"/>
      <c r="K13" s="1"/>
      <c r="L13" s="1"/>
    </row>
    <row r="14" spans="1:15">
      <c r="A14" s="1"/>
      <c r="B14" s="16" t="s">
        <v>9</v>
      </c>
      <c r="C14" s="1" t="s">
        <v>10</v>
      </c>
      <c r="D14" s="1"/>
      <c r="E14" s="1"/>
      <c r="F14" s="1"/>
      <c r="G14" s="1"/>
      <c r="H14" s="1"/>
      <c r="I14" s="1"/>
      <c r="J14" s="1"/>
      <c r="K14" s="1"/>
      <c r="L14" s="1"/>
    </row>
    <row r="15" spans="1:15">
      <c r="A15" s="1"/>
      <c r="B15" s="1"/>
      <c r="C15" s="1"/>
      <c r="D15" s="1"/>
      <c r="E15" s="1"/>
      <c r="F15" s="1"/>
      <c r="G15" s="1"/>
      <c r="H15" s="1"/>
      <c r="I15" s="1"/>
      <c r="J15" s="1"/>
      <c r="K15" s="1"/>
      <c r="L15" s="1"/>
    </row>
    <row r="17" spans="1:18">
      <c r="A17" s="15" t="s">
        <v>11</v>
      </c>
      <c r="B17" s="14"/>
      <c r="C17" s="14"/>
      <c r="D17" s="14"/>
      <c r="E17" s="14"/>
      <c r="F17" s="14"/>
      <c r="G17" s="14"/>
      <c r="H17" s="14"/>
      <c r="I17" s="14"/>
      <c r="J17" s="14"/>
      <c r="K17" s="14"/>
      <c r="L17" s="14"/>
    </row>
    <row r="18" spans="1:18">
      <c r="A18" s="3"/>
      <c r="B18" s="3"/>
      <c r="C18" s="3"/>
      <c r="D18" s="3"/>
      <c r="E18" s="3"/>
      <c r="F18" s="3"/>
      <c r="G18" s="3"/>
      <c r="H18" s="3"/>
      <c r="I18" s="3"/>
      <c r="J18" s="3"/>
      <c r="K18" s="3"/>
      <c r="L18" s="3"/>
    </row>
    <row r="19" spans="1:18">
      <c r="A19" s="1" t="s">
        <v>12</v>
      </c>
      <c r="B19" s="1"/>
      <c r="C19" s="1"/>
      <c r="D19" s="1"/>
      <c r="E19" s="1"/>
      <c r="F19" s="1"/>
      <c r="G19" s="1"/>
      <c r="H19" s="1"/>
      <c r="I19" s="1"/>
      <c r="J19" s="1"/>
      <c r="K19" s="1"/>
      <c r="L19" s="1"/>
    </row>
    <row r="20" spans="1:18">
      <c r="A20" s="1"/>
      <c r="B20" s="1"/>
      <c r="C20" s="1"/>
      <c r="D20" s="1"/>
      <c r="E20" s="1"/>
      <c r="F20" s="1"/>
      <c r="G20" s="1"/>
      <c r="H20" s="1"/>
      <c r="I20" s="1"/>
      <c r="J20" s="1"/>
      <c r="K20" s="1"/>
      <c r="L20" s="1"/>
    </row>
    <row r="21" spans="1:18">
      <c r="A21" s="1"/>
      <c r="B21" s="825"/>
      <c r="C21" s="825"/>
      <c r="D21" s="829" t="s">
        <v>13</v>
      </c>
      <c r="E21" s="829"/>
      <c r="F21" s="1"/>
      <c r="G21" s="1"/>
      <c r="H21" s="1"/>
      <c r="I21" s="1"/>
      <c r="J21" s="1"/>
      <c r="K21" s="1"/>
      <c r="L21" s="1"/>
    </row>
    <row r="22" spans="1:18">
      <c r="A22" s="1"/>
      <c r="B22" s="825" t="s">
        <v>14</v>
      </c>
      <c r="C22" s="825"/>
      <c r="D22" s="830">
        <v>3510000</v>
      </c>
      <c r="E22" s="830"/>
      <c r="F22" s="1"/>
      <c r="G22" s="1"/>
      <c r="H22" s="1"/>
      <c r="I22" s="1"/>
      <c r="J22" s="1"/>
      <c r="K22" s="1"/>
      <c r="L22" s="1"/>
    </row>
    <row r="23" spans="1:18">
      <c r="A23" s="1"/>
      <c r="B23" s="825" t="s">
        <v>15</v>
      </c>
      <c r="C23" s="825"/>
      <c r="D23" s="830">
        <v>1600000</v>
      </c>
      <c r="E23" s="830"/>
      <c r="F23" s="1"/>
      <c r="G23" s="1"/>
      <c r="H23" s="1"/>
      <c r="I23" s="1"/>
      <c r="J23" s="1"/>
      <c r="K23" s="1"/>
      <c r="L23" s="1"/>
    </row>
    <row r="24" spans="1:18">
      <c r="A24" s="1"/>
      <c r="B24" s="1"/>
      <c r="C24" s="1"/>
      <c r="D24" s="1"/>
      <c r="E24" s="1"/>
      <c r="F24" s="1"/>
      <c r="G24" s="1"/>
      <c r="H24" s="1"/>
      <c r="I24" s="1"/>
      <c r="J24" s="1"/>
      <c r="K24" s="1"/>
      <c r="L24" s="1"/>
    </row>
    <row r="25" spans="1:18">
      <c r="A25" s="1"/>
      <c r="B25" s="16" t="s">
        <v>9</v>
      </c>
      <c r="C25" s="1" t="s">
        <v>16</v>
      </c>
      <c r="D25" s="1"/>
      <c r="E25" s="1"/>
      <c r="F25" s="1"/>
      <c r="G25" s="1"/>
      <c r="H25" s="1"/>
      <c r="I25" s="1"/>
      <c r="J25" s="1"/>
      <c r="K25" s="1"/>
      <c r="L25" s="1"/>
    </row>
    <row r="26" spans="1:18">
      <c r="A26" s="1"/>
      <c r="B26" s="16" t="s">
        <v>9</v>
      </c>
      <c r="C26" s="831" t="s">
        <v>17</v>
      </c>
      <c r="D26" s="832"/>
      <c r="E26" s="832"/>
      <c r="F26" s="832"/>
      <c r="G26" s="832"/>
      <c r="H26" s="832"/>
      <c r="I26" s="832"/>
      <c r="J26" s="832"/>
      <c r="K26" s="832"/>
      <c r="L26" s="832"/>
    </row>
    <row r="27" spans="1:18">
      <c r="A27" s="1"/>
      <c r="B27" s="1"/>
      <c r="C27" s="832"/>
      <c r="D27" s="832"/>
      <c r="E27" s="832"/>
      <c r="F27" s="832"/>
      <c r="G27" s="832"/>
      <c r="H27" s="832"/>
      <c r="I27" s="832"/>
      <c r="J27" s="832"/>
      <c r="K27" s="832"/>
      <c r="L27" s="832"/>
    </row>
    <row r="28" spans="1:18">
      <c r="A28" s="1"/>
      <c r="B28" s="1"/>
      <c r="C28" s="1"/>
      <c r="D28" s="1"/>
      <c r="E28" s="1"/>
      <c r="F28" s="1"/>
      <c r="G28" s="1"/>
      <c r="H28" s="1"/>
      <c r="I28" s="1"/>
      <c r="J28" s="1"/>
      <c r="K28" s="1"/>
      <c r="L28" s="1"/>
    </row>
    <row r="29" spans="1:18">
      <c r="A29" s="3"/>
      <c r="B29" s="3"/>
      <c r="C29" s="3"/>
      <c r="D29" s="3"/>
      <c r="E29" s="3"/>
      <c r="F29" s="3"/>
      <c r="G29" s="3"/>
      <c r="H29" s="3"/>
      <c r="I29" s="3"/>
      <c r="J29" s="3"/>
      <c r="K29" s="3"/>
      <c r="L29" s="3"/>
    </row>
    <row r="30" spans="1:18">
      <c r="A30" s="17" t="s">
        <v>18</v>
      </c>
      <c r="B30" s="1" t="s">
        <v>19</v>
      </c>
      <c r="C30" s="1"/>
      <c r="D30" s="1"/>
      <c r="E30" s="1"/>
      <c r="F30" s="1"/>
      <c r="G30" s="1"/>
      <c r="H30" s="1"/>
      <c r="I30" s="1"/>
      <c r="J30" s="1"/>
      <c r="K30" s="1"/>
      <c r="L30" s="1"/>
      <c r="M30" s="9"/>
      <c r="N30" s="9"/>
      <c r="O30" s="9"/>
      <c r="P30" s="9"/>
      <c r="Q30" s="9"/>
      <c r="R30" s="9"/>
    </row>
    <row r="31" spans="1:18">
      <c r="A31" s="14"/>
      <c r="B31" s="14"/>
      <c r="C31" s="14"/>
      <c r="D31" s="14"/>
      <c r="E31" s="14"/>
      <c r="F31" s="14"/>
      <c r="G31" s="1"/>
      <c r="H31" s="1"/>
      <c r="I31" s="1"/>
      <c r="J31" s="1"/>
      <c r="K31" s="1"/>
      <c r="L31" s="1"/>
    </row>
    <row r="32" spans="1:18">
      <c r="A32" s="3"/>
      <c r="B32" s="3"/>
      <c r="C32" s="3"/>
      <c r="D32" s="3"/>
      <c r="E32" s="3"/>
      <c r="F32" s="3"/>
      <c r="G32" s="3"/>
      <c r="H32" s="3"/>
      <c r="I32" s="3"/>
      <c r="J32" s="3"/>
      <c r="K32" s="3"/>
      <c r="L32" s="3"/>
      <c r="M32" s="3"/>
    </row>
    <row r="33" spans="1:14">
      <c r="A33" s="3" t="s">
        <v>20</v>
      </c>
      <c r="B33" s="3"/>
      <c r="C33" s="3"/>
      <c r="D33" s="3"/>
      <c r="E33" s="3"/>
      <c r="F33" s="3"/>
      <c r="G33" s="3"/>
      <c r="H33" s="3"/>
      <c r="I33" s="3"/>
      <c r="J33" s="3"/>
      <c r="K33" s="3"/>
      <c r="L33" s="3"/>
      <c r="M33" s="3"/>
      <c r="N33" s="9"/>
    </row>
    <row r="34" spans="1:14">
      <c r="A34" s="3"/>
      <c r="B34" s="3"/>
      <c r="C34" s="3"/>
      <c r="D34" s="3"/>
      <c r="E34" s="3"/>
      <c r="F34" s="3"/>
      <c r="G34" s="3"/>
      <c r="H34" s="3"/>
      <c r="I34" s="3"/>
      <c r="J34" s="3"/>
      <c r="K34" s="3"/>
      <c r="L34" s="3"/>
      <c r="M34" s="3"/>
      <c r="N34" s="9"/>
    </row>
    <row r="35" spans="1:14">
      <c r="A35" s="3" t="s">
        <v>21</v>
      </c>
      <c r="B35" s="3"/>
      <c r="C35" s="3"/>
      <c r="D35" s="3"/>
      <c r="E35" s="3"/>
      <c r="F35" s="3"/>
      <c r="G35" s="10">
        <f>AVERAGE(F11:F12)</f>
        <v>7.1999999999999995E-2</v>
      </c>
      <c r="H35" s="3"/>
      <c r="I35" s="3"/>
      <c r="J35" s="3"/>
      <c r="K35" s="3"/>
      <c r="L35" s="3"/>
      <c r="M35" s="3"/>
      <c r="N35" s="9"/>
    </row>
    <row r="36" spans="1:14">
      <c r="B36" s="2" t="s">
        <v>22</v>
      </c>
      <c r="M36" s="9"/>
      <c r="N36" s="9"/>
    </row>
    <row r="37" spans="1:14">
      <c r="M37" s="9"/>
      <c r="N37" s="9"/>
    </row>
    <row r="38" spans="1:14">
      <c r="A38" s="2" t="s">
        <v>23</v>
      </c>
      <c r="M38" s="9"/>
      <c r="N38" s="9"/>
    </row>
    <row r="39" spans="1:14">
      <c r="B39" s="11">
        <f>G35*D23*0.2+G35*0.75*(D22+0.8*D23)</f>
        <v>281700</v>
      </c>
      <c r="M39" s="9"/>
      <c r="N39" s="9"/>
    </row>
    <row r="40" spans="1:14">
      <c r="M40" s="9"/>
      <c r="N40" s="9"/>
    </row>
    <row r="41" spans="1:14">
      <c r="A41" s="1" t="s">
        <v>24</v>
      </c>
      <c r="B41" s="1"/>
      <c r="C41" s="1"/>
      <c r="D41" s="1"/>
      <c r="E41" s="1"/>
      <c r="F41" s="1"/>
      <c r="G41" s="1"/>
      <c r="H41" s="1"/>
      <c r="I41" s="1"/>
      <c r="J41" s="1"/>
      <c r="K41" s="1"/>
      <c r="L41" s="1"/>
      <c r="M41" s="9"/>
      <c r="N41" s="9"/>
    </row>
    <row r="42" spans="1:14">
      <c r="A42" s="1"/>
      <c r="B42" s="1"/>
      <c r="C42" s="1"/>
      <c r="D42" s="1"/>
      <c r="E42" s="1"/>
      <c r="F42" s="1"/>
      <c r="G42" s="1"/>
      <c r="H42" s="1"/>
      <c r="I42" s="1"/>
      <c r="J42" s="1"/>
      <c r="K42" s="1"/>
      <c r="L42" s="1"/>
      <c r="M42" s="9"/>
      <c r="N42" s="9"/>
    </row>
    <row r="44" spans="1:14">
      <c r="A44" s="17" t="s">
        <v>25</v>
      </c>
      <c r="B44" s="1" t="s">
        <v>26</v>
      </c>
      <c r="C44" s="1"/>
      <c r="D44" s="1"/>
      <c r="E44" s="1"/>
      <c r="F44" s="1"/>
      <c r="G44" s="1"/>
      <c r="H44" s="1"/>
      <c r="I44" s="1"/>
      <c r="J44" s="1"/>
      <c r="K44" s="1"/>
      <c r="L44" s="1"/>
    </row>
    <row r="45" spans="1:14">
      <c r="A45" s="14"/>
      <c r="B45" s="14"/>
      <c r="C45" s="14"/>
      <c r="D45" s="14"/>
      <c r="E45" s="14"/>
      <c r="F45" s="14"/>
      <c r="G45" s="1"/>
      <c r="H45" s="1"/>
      <c r="I45" s="1"/>
      <c r="J45" s="1"/>
      <c r="K45" s="1"/>
      <c r="L45" s="1"/>
    </row>
    <row r="46" spans="1:14">
      <c r="A46" s="3"/>
      <c r="B46" s="3"/>
      <c r="C46" s="3"/>
      <c r="D46" s="3"/>
      <c r="E46" s="3"/>
      <c r="F46" s="3"/>
      <c r="G46" s="3"/>
      <c r="H46" s="3"/>
      <c r="I46" s="3"/>
      <c r="J46" s="3"/>
      <c r="K46" s="3"/>
      <c r="L46" s="3"/>
    </row>
    <row r="47" spans="1:14">
      <c r="A47" s="3" t="s">
        <v>20</v>
      </c>
      <c r="B47" s="3"/>
      <c r="C47" s="3"/>
      <c r="D47" s="3"/>
      <c r="E47" s="3"/>
      <c r="F47" s="3"/>
      <c r="G47" s="3"/>
      <c r="H47" s="3"/>
      <c r="I47" s="3"/>
      <c r="J47" s="3"/>
      <c r="K47" s="3"/>
      <c r="L47" s="3"/>
    </row>
    <row r="48" spans="1:14">
      <c r="A48" s="3"/>
      <c r="B48" s="3"/>
      <c r="C48" s="3"/>
      <c r="D48" s="3"/>
      <c r="E48" s="3"/>
      <c r="F48" s="3"/>
      <c r="G48" s="3"/>
      <c r="H48" s="3"/>
      <c r="I48" s="3"/>
      <c r="J48" s="3"/>
      <c r="K48" s="3"/>
      <c r="L48" s="3"/>
    </row>
    <row r="49" spans="1:12">
      <c r="A49" s="3" t="s">
        <v>27</v>
      </c>
      <c r="B49" s="3"/>
      <c r="C49" s="3"/>
      <c r="D49" s="12">
        <f>D12+B39-270000</f>
        <v>891700</v>
      </c>
      <c r="E49" s="3"/>
      <c r="F49" s="3"/>
      <c r="G49" s="3"/>
      <c r="H49" s="3"/>
      <c r="I49" s="3"/>
      <c r="J49" s="3"/>
      <c r="K49" s="3"/>
      <c r="L49" s="3"/>
    </row>
    <row r="51" spans="1:12">
      <c r="A51" s="15" t="s">
        <v>28</v>
      </c>
      <c r="B51" s="14"/>
      <c r="C51" s="14"/>
      <c r="D51" s="14"/>
      <c r="E51" s="14"/>
      <c r="F51" s="14"/>
      <c r="G51" s="14"/>
      <c r="H51" s="14"/>
      <c r="I51" s="14"/>
      <c r="J51" s="14"/>
      <c r="K51" s="14"/>
      <c r="L51" s="14"/>
    </row>
  </sheetData>
  <mergeCells count="11">
    <mergeCell ref="B22:C22"/>
    <mergeCell ref="D22:E22"/>
    <mergeCell ref="B23:C23"/>
    <mergeCell ref="D23:E23"/>
    <mergeCell ref="C26:L27"/>
    <mergeCell ref="B8:B9"/>
    <mergeCell ref="C8:C9"/>
    <mergeCell ref="D8:D9"/>
    <mergeCell ref="E8:F8"/>
    <mergeCell ref="B21:C21"/>
    <mergeCell ref="D21:E21"/>
  </mergeCells>
  <hyperlinks>
    <hyperlink ref="O1" location="TOC!A1" display="Table of Contents" xr:uid="{501C54A6-6277-482A-AECB-CC3B9B247D80}"/>
  </hyperlinks>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35ED-1FF8-4C62-B8AA-FCF25B1FB283}">
  <dimension ref="A1:R63"/>
  <sheetViews>
    <sheetView zoomScaleNormal="100" workbookViewId="0"/>
  </sheetViews>
  <sheetFormatPr defaultColWidth="8.88671875" defaultRowHeight="15.6"/>
  <cols>
    <col min="1" max="1" width="11.33203125" style="2" customWidth="1"/>
    <col min="2" max="2" width="23.33203125" style="2" customWidth="1"/>
    <col min="3" max="6" width="15.6640625" style="2" customWidth="1"/>
    <col min="7" max="7" width="16.6640625" style="2" customWidth="1"/>
    <col min="8" max="8" width="8.88671875" style="2" customWidth="1"/>
    <col min="9" max="16384" width="8.88671875" style="2"/>
  </cols>
  <sheetData>
    <row r="1" spans="1:18" ht="17.399999999999999">
      <c r="A1" s="13" t="s">
        <v>2926</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1" t="s">
        <v>2602</v>
      </c>
      <c r="B3" s="1"/>
      <c r="C3" s="1"/>
      <c r="D3" s="1"/>
      <c r="E3" s="1"/>
      <c r="F3" s="1"/>
      <c r="G3" s="1"/>
      <c r="H3" s="1"/>
      <c r="I3" s="1"/>
      <c r="J3" s="1"/>
      <c r="K3" s="1"/>
      <c r="L3" s="14"/>
    </row>
    <row r="4" spans="1:18">
      <c r="A4" s="3"/>
      <c r="B4" s="3"/>
      <c r="C4" s="3"/>
      <c r="D4" s="3"/>
      <c r="E4" s="3"/>
      <c r="F4" s="3"/>
      <c r="G4" s="3"/>
      <c r="H4" s="3"/>
      <c r="I4" s="3"/>
      <c r="J4" s="3"/>
      <c r="K4" s="3"/>
      <c r="L4" s="3"/>
    </row>
    <row r="5" spans="1:18">
      <c r="A5" s="17" t="s">
        <v>91</v>
      </c>
      <c r="B5" s="1" t="s">
        <v>2603</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1611</v>
      </c>
      <c r="B9" s="3"/>
      <c r="C9" s="3"/>
      <c r="D9" s="3"/>
      <c r="E9" s="3"/>
      <c r="F9" s="3"/>
      <c r="G9" s="3"/>
      <c r="H9" s="3"/>
      <c r="I9" s="3"/>
      <c r="J9" s="3"/>
      <c r="K9" s="3"/>
      <c r="L9" s="3"/>
      <c r="M9" s="3"/>
      <c r="N9" s="9"/>
    </row>
    <row r="10" spans="1:18">
      <c r="A10" s="2" t="s">
        <v>2604</v>
      </c>
      <c r="M10" s="9"/>
      <c r="N10" s="9"/>
    </row>
    <row r="11" spans="1:18">
      <c r="A11" s="60" t="s">
        <v>2605</v>
      </c>
      <c r="M11" s="9"/>
      <c r="N11" s="9"/>
    </row>
    <row r="12" spans="1:18">
      <c r="A12" s="2" t="s">
        <v>2606</v>
      </c>
      <c r="M12" s="9"/>
      <c r="N12" s="9"/>
    </row>
    <row r="13" spans="1:18">
      <c r="M13" s="9"/>
      <c r="N13" s="9"/>
    </row>
    <row r="14" spans="1:18">
      <c r="A14" s="1"/>
      <c r="B14" s="1"/>
      <c r="C14" s="1"/>
      <c r="D14" s="1"/>
      <c r="E14" s="1"/>
      <c r="F14" s="1"/>
      <c r="G14" s="1"/>
      <c r="H14" s="1"/>
      <c r="I14" s="1"/>
      <c r="J14" s="1"/>
      <c r="K14" s="1"/>
      <c r="L14" s="1"/>
    </row>
    <row r="15" spans="1:18">
      <c r="A15" s="1" t="s">
        <v>2607</v>
      </c>
      <c r="B15" s="1"/>
      <c r="C15" s="1"/>
      <c r="D15" s="1"/>
      <c r="E15" s="1"/>
      <c r="F15" s="1"/>
      <c r="G15" s="1"/>
      <c r="H15" s="1"/>
      <c r="I15" s="1"/>
      <c r="J15" s="1"/>
      <c r="K15" s="1"/>
      <c r="L15" s="1"/>
    </row>
    <row r="16" spans="1:18">
      <c r="A16" s="1"/>
      <c r="B16" s="1"/>
      <c r="C16" s="1"/>
      <c r="D16" s="1"/>
      <c r="E16" s="1"/>
      <c r="F16" s="1"/>
      <c r="G16" s="1"/>
      <c r="H16" s="1"/>
      <c r="I16" s="1"/>
      <c r="J16" s="1"/>
      <c r="K16" s="1"/>
      <c r="L16" s="1"/>
    </row>
    <row r="17" spans="1:12" ht="46.8">
      <c r="A17" s="1"/>
      <c r="B17" s="4" t="s">
        <v>49</v>
      </c>
      <c r="C17" s="4" t="s">
        <v>4</v>
      </c>
      <c r="D17" s="4" t="s">
        <v>47</v>
      </c>
      <c r="E17" s="4" t="s">
        <v>1775</v>
      </c>
      <c r="F17" s="4" t="s">
        <v>2608</v>
      </c>
      <c r="G17" s="4" t="s">
        <v>2609</v>
      </c>
      <c r="H17" s="1"/>
      <c r="I17" s="1"/>
      <c r="J17" s="1"/>
      <c r="K17" s="1"/>
      <c r="L17" s="1"/>
    </row>
    <row r="18" spans="1:12">
      <c r="A18" s="1"/>
      <c r="B18" s="32">
        <v>2017</v>
      </c>
      <c r="C18" s="92">
        <v>78945</v>
      </c>
      <c r="D18" s="92">
        <v>52155000</v>
      </c>
      <c r="E18" s="184">
        <v>1.0669999999999999</v>
      </c>
      <c r="F18" s="92">
        <v>25428000</v>
      </c>
      <c r="G18" s="32">
        <v>1.5649999999999999</v>
      </c>
      <c r="H18" s="1"/>
      <c r="I18" s="1"/>
      <c r="J18" s="1"/>
      <c r="K18" s="1"/>
      <c r="L18" s="1"/>
    </row>
    <row r="19" spans="1:12">
      <c r="A19" s="1"/>
      <c r="B19" s="32">
        <v>2018</v>
      </c>
      <c r="C19" s="92">
        <v>78248</v>
      </c>
      <c r="D19" s="92">
        <v>53621000</v>
      </c>
      <c r="E19" s="184">
        <v>1.0289999999999999</v>
      </c>
      <c r="F19" s="92">
        <v>22854000</v>
      </c>
      <c r="G19" s="32">
        <v>1.7010000000000001</v>
      </c>
      <c r="H19" s="1"/>
      <c r="I19" s="1"/>
      <c r="J19" s="1"/>
      <c r="K19" s="1"/>
      <c r="L19" s="1"/>
    </row>
    <row r="20" spans="1:12">
      <c r="A20" s="1"/>
      <c r="B20" s="32">
        <v>2019</v>
      </c>
      <c r="C20" s="92">
        <v>77701</v>
      </c>
      <c r="D20" s="92">
        <v>53900000</v>
      </c>
      <c r="E20" s="184">
        <v>1.016</v>
      </c>
      <c r="F20" s="92">
        <v>20810000</v>
      </c>
      <c r="G20" s="32">
        <v>1.927</v>
      </c>
      <c r="H20" s="1"/>
      <c r="I20" s="1"/>
      <c r="J20" s="1"/>
      <c r="K20" s="1"/>
      <c r="L20" s="1"/>
    </row>
    <row r="21" spans="1:12">
      <c r="A21" s="1"/>
      <c r="B21" s="32">
        <v>2020</v>
      </c>
      <c r="C21" s="92">
        <v>75377</v>
      </c>
      <c r="D21" s="92">
        <v>54236000</v>
      </c>
      <c r="E21" s="184">
        <v>0.98</v>
      </c>
      <c r="F21" s="92">
        <v>18966000</v>
      </c>
      <c r="G21" s="32">
        <v>2.262</v>
      </c>
      <c r="H21" s="1"/>
      <c r="I21" s="1"/>
      <c r="J21" s="1"/>
      <c r="K21" s="1"/>
      <c r="L21" s="1"/>
    </row>
    <row r="22" spans="1:12">
      <c r="A22" s="1"/>
      <c r="B22" s="32">
        <v>2021</v>
      </c>
      <c r="C22" s="92">
        <v>77739</v>
      </c>
      <c r="D22" s="92">
        <v>55984000</v>
      </c>
      <c r="E22" s="184">
        <v>0.999</v>
      </c>
      <c r="F22" s="92">
        <v>15127000</v>
      </c>
      <c r="G22" s="32">
        <v>2.8090000000000002</v>
      </c>
      <c r="H22" s="1"/>
      <c r="I22" s="1"/>
      <c r="J22" s="1"/>
      <c r="K22" s="1"/>
      <c r="L22" s="1"/>
    </row>
    <row r="23" spans="1:12">
      <c r="A23" s="1"/>
      <c r="B23" s="32">
        <v>2022</v>
      </c>
      <c r="C23" s="92">
        <v>76371</v>
      </c>
      <c r="D23" s="92">
        <v>56409000</v>
      </c>
      <c r="E23" s="184">
        <v>1.0249999999999999</v>
      </c>
      <c r="F23" s="92">
        <v>11397000</v>
      </c>
      <c r="G23" s="32">
        <v>3.831</v>
      </c>
      <c r="H23" s="1"/>
      <c r="I23" s="1"/>
      <c r="J23" s="1"/>
      <c r="K23" s="1"/>
      <c r="L23" s="1"/>
    </row>
    <row r="24" spans="1:12">
      <c r="A24" s="1"/>
      <c r="B24" s="32">
        <v>2023</v>
      </c>
      <c r="C24" s="92">
        <v>75070</v>
      </c>
      <c r="D24" s="92">
        <v>56834000</v>
      </c>
      <c r="E24" s="184">
        <v>1</v>
      </c>
      <c r="F24" s="92">
        <v>7237000</v>
      </c>
      <c r="G24" s="32">
        <v>6.3689999999999998</v>
      </c>
      <c r="H24" s="1"/>
      <c r="I24" s="1"/>
      <c r="J24" s="1"/>
      <c r="K24" s="1"/>
      <c r="L24" s="1"/>
    </row>
    <row r="25" spans="1:12">
      <c r="A25" s="1"/>
      <c r="B25" s="27" t="s">
        <v>132</v>
      </c>
      <c r="C25" s="196">
        <v>539452</v>
      </c>
      <c r="D25" s="196">
        <v>383139000</v>
      </c>
      <c r="E25" s="404"/>
      <c r="F25" s="196">
        <v>121819000</v>
      </c>
      <c r="G25" s="404"/>
      <c r="H25" s="1"/>
      <c r="I25" s="1"/>
      <c r="J25" s="1"/>
      <c r="K25" s="1"/>
      <c r="L25" s="1"/>
    </row>
    <row r="26" spans="1:12">
      <c r="A26" s="1"/>
      <c r="B26" s="1"/>
      <c r="C26" s="1"/>
      <c r="D26" s="1"/>
      <c r="E26" s="1"/>
      <c r="F26" s="1"/>
      <c r="G26" s="1"/>
      <c r="H26" s="1"/>
      <c r="I26" s="1"/>
      <c r="J26" s="1"/>
      <c r="K26" s="1"/>
      <c r="L26" s="1"/>
    </row>
    <row r="27" spans="1:12">
      <c r="A27" s="1"/>
      <c r="B27" s="519" t="s">
        <v>2610</v>
      </c>
      <c r="C27" s="1"/>
      <c r="D27" s="377">
        <v>0.03</v>
      </c>
      <c r="E27" s="1"/>
      <c r="F27" s="1"/>
      <c r="G27" s="1"/>
      <c r="H27" s="1"/>
      <c r="I27" s="1"/>
      <c r="J27" s="1"/>
      <c r="K27" s="1"/>
      <c r="L27" s="1"/>
    </row>
    <row r="29" spans="1:12">
      <c r="A29" s="17" t="s">
        <v>133</v>
      </c>
      <c r="B29" s="831" t="s">
        <v>2611</v>
      </c>
      <c r="C29" s="831"/>
      <c r="D29" s="831"/>
      <c r="E29" s="831"/>
      <c r="F29" s="831"/>
      <c r="G29" s="831"/>
      <c r="H29" s="831"/>
      <c r="I29" s="831"/>
      <c r="J29" s="831"/>
      <c r="K29" s="831"/>
      <c r="L29" s="831"/>
    </row>
    <row r="30" spans="1:12">
      <c r="A30" s="17"/>
      <c r="B30" s="831"/>
      <c r="C30" s="831"/>
      <c r="D30" s="831"/>
      <c r="E30" s="831"/>
      <c r="F30" s="831"/>
      <c r="G30" s="831"/>
      <c r="H30" s="831"/>
      <c r="I30" s="831"/>
      <c r="J30" s="831"/>
      <c r="K30" s="831"/>
      <c r="L30" s="831"/>
    </row>
    <row r="31" spans="1:12">
      <c r="A31" s="3"/>
      <c r="B31" s="3"/>
      <c r="C31" s="3"/>
      <c r="D31" s="3"/>
      <c r="E31" s="3"/>
      <c r="F31" s="3"/>
      <c r="G31" s="3"/>
      <c r="H31" s="3"/>
      <c r="I31" s="3"/>
      <c r="J31" s="3"/>
      <c r="K31" s="3"/>
      <c r="L31" s="3"/>
    </row>
    <row r="32" spans="1:12">
      <c r="A32" s="3" t="s">
        <v>20</v>
      </c>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t="s">
        <v>2612</v>
      </c>
      <c r="B34" s="3"/>
      <c r="C34" s="3"/>
      <c r="D34" s="3"/>
      <c r="E34" s="3"/>
      <c r="F34" s="3"/>
      <c r="G34" s="3"/>
      <c r="H34" s="3"/>
      <c r="I34" s="3"/>
      <c r="J34" s="3"/>
      <c r="K34" s="3"/>
      <c r="L34" s="3"/>
    </row>
    <row r="36" spans="1:12">
      <c r="A36" s="17" t="s">
        <v>18</v>
      </c>
      <c r="B36" s="1" t="s">
        <v>2613</v>
      </c>
      <c r="C36" s="1"/>
      <c r="D36" s="1"/>
      <c r="E36" s="1"/>
      <c r="F36" s="1"/>
      <c r="G36" s="1"/>
      <c r="H36" s="1"/>
      <c r="I36" s="1"/>
      <c r="J36" s="1"/>
      <c r="K36" s="1"/>
      <c r="L36" s="1"/>
    </row>
    <row r="37" spans="1:12">
      <c r="A37" s="17"/>
      <c r="B37" s="1"/>
      <c r="C37" s="1"/>
      <c r="D37" s="1"/>
      <c r="E37" s="1"/>
      <c r="F37" s="1"/>
      <c r="G37" s="1"/>
      <c r="H37" s="1"/>
      <c r="I37" s="1"/>
      <c r="J37" s="1"/>
      <c r="K37" s="1"/>
      <c r="L37" s="1"/>
    </row>
    <row r="38" spans="1:12">
      <c r="A38" s="17"/>
      <c r="B38" s="709" t="s">
        <v>2443</v>
      </c>
      <c r="C38" s="204" t="s">
        <v>2614</v>
      </c>
      <c r="D38" s="1"/>
      <c r="E38" s="1"/>
      <c r="F38" s="1"/>
      <c r="G38" s="1"/>
      <c r="H38" s="1"/>
      <c r="I38" s="1"/>
      <c r="J38" s="1"/>
      <c r="K38" s="1"/>
      <c r="L38" s="1"/>
    </row>
    <row r="39" spans="1:12">
      <c r="A39" s="17"/>
      <c r="B39" s="709"/>
      <c r="C39" s="678"/>
      <c r="D39" s="1"/>
      <c r="E39" s="1"/>
      <c r="F39" s="1"/>
      <c r="G39" s="1"/>
      <c r="H39" s="1"/>
      <c r="I39" s="1"/>
      <c r="J39" s="1"/>
      <c r="K39" s="1"/>
      <c r="L39" s="1"/>
    </row>
    <row r="40" spans="1:12">
      <c r="A40" s="17"/>
      <c r="B40" s="709" t="s">
        <v>2445</v>
      </c>
      <c r="C40" s="204" t="s">
        <v>2615</v>
      </c>
      <c r="D40" s="1"/>
      <c r="E40" s="1"/>
      <c r="F40" s="1"/>
      <c r="G40" s="1"/>
      <c r="H40" s="1"/>
      <c r="I40" s="1"/>
      <c r="J40" s="1"/>
      <c r="K40" s="1"/>
      <c r="L40" s="1"/>
    </row>
    <row r="41" spans="1:12">
      <c r="A41" s="3"/>
      <c r="B41" s="3"/>
      <c r="C41" s="3"/>
      <c r="D41" s="3"/>
      <c r="E41" s="3"/>
      <c r="F41" s="3"/>
      <c r="G41" s="3"/>
      <c r="H41" s="3"/>
      <c r="I41" s="3"/>
      <c r="J41" s="3"/>
      <c r="K41" s="3"/>
      <c r="L41" s="3"/>
    </row>
    <row r="42" spans="1:12">
      <c r="A42" s="3" t="s">
        <v>20</v>
      </c>
      <c r="B42" s="3"/>
      <c r="C42" s="3"/>
      <c r="D42" s="3"/>
      <c r="E42" s="3"/>
      <c r="F42" s="3"/>
      <c r="G42" s="3"/>
      <c r="H42" s="3"/>
      <c r="I42" s="3"/>
      <c r="J42" s="3"/>
      <c r="K42" s="3"/>
      <c r="L42" s="3"/>
    </row>
    <row r="43" spans="1:12">
      <c r="A43" s="3"/>
      <c r="B43" s="3"/>
      <c r="C43" s="3"/>
      <c r="D43" s="3"/>
      <c r="E43" s="3"/>
      <c r="F43" s="3"/>
      <c r="G43" s="3"/>
      <c r="H43" s="3"/>
      <c r="I43" s="3"/>
      <c r="J43" s="3"/>
      <c r="K43" s="3"/>
      <c r="L43" s="3"/>
    </row>
    <row r="44" spans="1:12" ht="46.8">
      <c r="A44" s="93" t="s">
        <v>49</v>
      </c>
      <c r="B44" s="93" t="s">
        <v>2616</v>
      </c>
      <c r="C44" s="93" t="s">
        <v>2617</v>
      </c>
      <c r="D44" s="93" t="s">
        <v>2618</v>
      </c>
      <c r="E44" s="93" t="s">
        <v>2619</v>
      </c>
      <c r="G44" s="3"/>
      <c r="H44" s="3"/>
      <c r="I44" s="3"/>
      <c r="J44" s="3"/>
      <c r="K44" s="3"/>
      <c r="L44" s="3"/>
    </row>
    <row r="45" spans="1:12">
      <c r="A45" s="94">
        <f t="shared" ref="A45:A49" si="0">A46-1</f>
        <v>2017</v>
      </c>
      <c r="B45" s="723">
        <f>F18*G18</f>
        <v>39794820</v>
      </c>
      <c r="C45" s="332">
        <f t="shared" ref="C45:C49" si="1">(1+$D$27)*C46</f>
        <v>1.1940522965290001</v>
      </c>
      <c r="D45" s="95">
        <f t="shared" ref="D45:D50" si="2">(B45*C45)/(D18*E18)</f>
        <v>0.85386561254824622</v>
      </c>
      <c r="E45" s="240">
        <f t="shared" ref="E45:E50" si="3">(B45*C45)/C18</f>
        <v>601.9012757104083</v>
      </c>
      <c r="G45" s="3"/>
      <c r="H45" s="3"/>
      <c r="I45" s="3"/>
      <c r="J45" s="3"/>
      <c r="K45" s="3"/>
      <c r="L45" s="3"/>
    </row>
    <row r="46" spans="1:12">
      <c r="A46" s="94">
        <f t="shared" si="0"/>
        <v>2018</v>
      </c>
      <c r="B46" s="723">
        <f t="shared" ref="B46:B51" si="4">F19*G19</f>
        <v>38874654</v>
      </c>
      <c r="C46" s="332">
        <f t="shared" si="1"/>
        <v>1.1592740743000001</v>
      </c>
      <c r="D46" s="95">
        <f t="shared" si="2"/>
        <v>0.816774887244614</v>
      </c>
      <c r="E46" s="240">
        <f t="shared" si="3"/>
        <v>575.9428807072743</v>
      </c>
      <c r="G46" s="3"/>
      <c r="H46" s="3"/>
      <c r="I46" s="3"/>
      <c r="J46" s="3"/>
      <c r="K46" s="3"/>
      <c r="L46" s="3"/>
    </row>
    <row r="47" spans="1:12">
      <c r="A47" s="94">
        <f t="shared" si="0"/>
        <v>2019</v>
      </c>
      <c r="B47" s="723">
        <f t="shared" si="4"/>
        <v>40100870</v>
      </c>
      <c r="C47" s="332">
        <f t="shared" si="1"/>
        <v>1.1255088100000001</v>
      </c>
      <c r="D47" s="95">
        <f t="shared" si="2"/>
        <v>0.82417648740129557</v>
      </c>
      <c r="E47" s="240">
        <f t="shared" si="3"/>
        <v>580.86617255459657</v>
      </c>
      <c r="G47" s="3"/>
      <c r="H47" s="3"/>
      <c r="I47" s="3"/>
      <c r="J47" s="3"/>
      <c r="K47" s="3"/>
      <c r="L47" s="3"/>
    </row>
    <row r="48" spans="1:12">
      <c r="A48" s="94">
        <f t="shared" si="0"/>
        <v>2020</v>
      </c>
      <c r="B48" s="723">
        <f t="shared" si="4"/>
        <v>42901092</v>
      </c>
      <c r="C48" s="332">
        <f t="shared" si="1"/>
        <v>1.092727</v>
      </c>
      <c r="D48" s="95">
        <f t="shared" si="2"/>
        <v>0.88199534532158019</v>
      </c>
      <c r="E48" s="240">
        <f t="shared" si="3"/>
        <v>621.92952170932779</v>
      </c>
      <c r="G48" s="3"/>
      <c r="H48" s="3"/>
      <c r="I48" s="3"/>
      <c r="J48" s="3"/>
      <c r="K48" s="3"/>
      <c r="L48" s="3"/>
    </row>
    <row r="49" spans="1:12">
      <c r="A49" s="94">
        <f t="shared" si="0"/>
        <v>2021</v>
      </c>
      <c r="B49" s="723">
        <f t="shared" si="4"/>
        <v>42491743</v>
      </c>
      <c r="C49" s="332">
        <f t="shared" si="1"/>
        <v>1.0609</v>
      </c>
      <c r="D49" s="95">
        <f t="shared" si="2"/>
        <v>0.80602698562917019</v>
      </c>
      <c r="E49" s="240">
        <f t="shared" si="3"/>
        <v>579.88255764416829</v>
      </c>
      <c r="G49" s="3"/>
      <c r="H49" s="3"/>
      <c r="I49" s="3"/>
      <c r="J49" s="3"/>
      <c r="K49" s="3"/>
      <c r="L49" s="3"/>
    </row>
    <row r="50" spans="1:12">
      <c r="A50" s="94">
        <f>A51-1</f>
        <v>2022</v>
      </c>
      <c r="B50" s="723">
        <f t="shared" si="4"/>
        <v>43661907</v>
      </c>
      <c r="C50" s="332">
        <f>(1+$D$27)*C51</f>
        <v>1.03</v>
      </c>
      <c r="D50" s="95">
        <f t="shared" si="2"/>
        <v>0.77779949852319896</v>
      </c>
      <c r="E50" s="240">
        <f t="shared" si="3"/>
        <v>588.85917704364226</v>
      </c>
      <c r="G50" s="3"/>
      <c r="H50" s="3"/>
      <c r="I50" s="3"/>
      <c r="J50" s="3"/>
      <c r="K50" s="3"/>
      <c r="L50" s="3"/>
    </row>
    <row r="51" spans="1:12">
      <c r="A51" s="107">
        <v>2023</v>
      </c>
      <c r="B51" s="724">
        <f t="shared" si="4"/>
        <v>46092453</v>
      </c>
      <c r="C51" s="335">
        <v>1</v>
      </c>
      <c r="D51" s="725"/>
      <c r="E51" s="382"/>
      <c r="G51" s="3"/>
      <c r="H51" s="3"/>
      <c r="I51" s="3"/>
      <c r="J51" s="3"/>
      <c r="K51" s="3"/>
      <c r="L51" s="3"/>
    </row>
    <row r="52" spans="1:12">
      <c r="A52" s="94"/>
      <c r="B52" s="726"/>
      <c r="C52" s="143" t="s">
        <v>336</v>
      </c>
      <c r="D52" s="112">
        <f>AVERAGE(D45:D50)</f>
        <v>0.82677313611135084</v>
      </c>
      <c r="E52" s="240">
        <f>AVERAGE(E45:E50)</f>
        <v>591.56359756156951</v>
      </c>
      <c r="G52" s="3"/>
      <c r="H52" s="3"/>
      <c r="I52" s="3"/>
      <c r="J52" s="3"/>
      <c r="K52" s="3"/>
      <c r="L52" s="3"/>
    </row>
    <row r="53" spans="1:12">
      <c r="A53" s="3"/>
      <c r="B53" s="3"/>
      <c r="G53" s="3"/>
      <c r="H53" s="3"/>
      <c r="I53" s="3"/>
      <c r="J53" s="3"/>
      <c r="K53" s="3"/>
      <c r="L53" s="3"/>
    </row>
    <row r="54" spans="1:12">
      <c r="A54" s="3"/>
      <c r="B54" s="3"/>
      <c r="C54" s="3"/>
      <c r="D54" s="560" t="s">
        <v>73</v>
      </c>
      <c r="E54" s="560" t="s">
        <v>75</v>
      </c>
      <c r="G54" s="3"/>
      <c r="H54" s="3"/>
      <c r="I54" s="3"/>
      <c r="J54" s="3"/>
      <c r="K54" s="3"/>
      <c r="L54" s="3"/>
    </row>
    <row r="55" spans="1:12">
      <c r="A55" s="3"/>
      <c r="B55" s="3"/>
      <c r="C55" s="143" t="s">
        <v>2620</v>
      </c>
      <c r="D55" s="723">
        <f>D52*D24</f>
        <v>46988824.417752512</v>
      </c>
      <c r="E55" s="723">
        <f>E52*C24</f>
        <v>44408679.26894702</v>
      </c>
      <c r="G55" s="3"/>
      <c r="H55" s="3"/>
      <c r="I55" s="3"/>
      <c r="J55" s="3"/>
      <c r="K55" s="3"/>
      <c r="L55" s="3"/>
    </row>
    <row r="57" spans="1:12">
      <c r="A57" s="17" t="s">
        <v>25</v>
      </c>
      <c r="B57" s="1" t="s">
        <v>2621</v>
      </c>
      <c r="C57" s="1"/>
      <c r="D57" s="1"/>
      <c r="E57" s="1"/>
      <c r="F57" s="1"/>
      <c r="G57" s="1"/>
      <c r="H57" s="1"/>
      <c r="I57" s="1"/>
      <c r="J57" s="1"/>
      <c r="K57" s="1"/>
      <c r="L57" s="1"/>
    </row>
    <row r="58" spans="1:12">
      <c r="A58" s="3"/>
      <c r="B58" s="3"/>
      <c r="C58" s="3"/>
      <c r="D58" s="3"/>
      <c r="E58" s="3"/>
      <c r="F58" s="3"/>
      <c r="G58" s="3"/>
      <c r="H58" s="3"/>
      <c r="I58" s="3"/>
      <c r="J58" s="3"/>
      <c r="K58" s="3"/>
      <c r="L58" s="3"/>
    </row>
    <row r="59" spans="1:12">
      <c r="A59" s="3" t="s">
        <v>20</v>
      </c>
      <c r="B59" s="3"/>
      <c r="C59" s="3"/>
      <c r="D59" s="3"/>
      <c r="E59" s="3"/>
      <c r="F59" s="3"/>
      <c r="G59" s="3"/>
      <c r="H59" s="3"/>
      <c r="I59" s="3"/>
      <c r="J59" s="3"/>
      <c r="K59" s="3"/>
      <c r="L59" s="3"/>
    </row>
    <row r="60" spans="1:12">
      <c r="A60" s="147"/>
      <c r="C60" s="151" t="s">
        <v>2622</v>
      </c>
      <c r="D60" s="296">
        <f>1/G24</f>
        <v>0.15701051970482022</v>
      </c>
    </row>
    <row r="61" spans="1:12">
      <c r="A61" s="147"/>
      <c r="C61" s="151" t="s">
        <v>2623</v>
      </c>
      <c r="D61" s="296">
        <f>1/G23</f>
        <v>0.26102845210127906</v>
      </c>
    </row>
    <row r="62" spans="1:12">
      <c r="A62" s="147"/>
      <c r="C62" s="151" t="s">
        <v>2624</v>
      </c>
      <c r="D62" s="296">
        <f>D61-D60</f>
        <v>0.10401793239645885</v>
      </c>
    </row>
    <row r="63" spans="1:12">
      <c r="A63" s="147"/>
      <c r="C63" s="151" t="s">
        <v>2625</v>
      </c>
      <c r="D63" s="727">
        <f>D62*E55</f>
        <v>4619298.9980133548</v>
      </c>
    </row>
  </sheetData>
  <mergeCells count="1">
    <mergeCell ref="B29:L30"/>
  </mergeCells>
  <hyperlinks>
    <hyperlink ref="O1" location="TOC!A1" display="Table of Contents" xr:uid="{8328D05D-B30D-49DB-A00C-136C020CE65E}"/>
  </hyperlinks>
  <pageMargins left="0.7" right="0.7" top="0.75" bottom="0.75" header="0.3" footer="0.3"/>
  <pageSetup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6F5DA-F8EB-449C-8A5A-C07BFA83246A}">
  <dimension ref="A1:R71"/>
  <sheetViews>
    <sheetView zoomScaleNormal="100" workbookViewId="0"/>
  </sheetViews>
  <sheetFormatPr defaultColWidth="8.88671875" defaultRowHeight="15.6"/>
  <cols>
    <col min="1" max="1" width="8.88671875" style="2" customWidth="1"/>
    <col min="2" max="5" width="16.6640625" style="2" customWidth="1"/>
    <col min="6" max="6" width="19.44140625" style="2" customWidth="1"/>
    <col min="7" max="7" width="8.88671875" style="2"/>
    <col min="8" max="8" width="8.88671875" style="2" customWidth="1"/>
    <col min="9" max="16384" width="8.88671875" style="2"/>
  </cols>
  <sheetData>
    <row r="1" spans="1:18" ht="17.399999999999999">
      <c r="A1" s="13" t="s">
        <v>2925</v>
      </c>
      <c r="B1" s="1"/>
      <c r="C1" s="1"/>
      <c r="D1" s="1" t="s">
        <v>216</v>
      </c>
      <c r="E1" s="1"/>
      <c r="F1" s="1"/>
      <c r="G1" s="1"/>
      <c r="H1" s="1"/>
      <c r="I1" s="1"/>
      <c r="J1" s="1"/>
      <c r="K1" s="1"/>
      <c r="L1" s="14"/>
      <c r="O1" s="21" t="s">
        <v>2927</v>
      </c>
    </row>
    <row r="2" spans="1:18">
      <c r="A2" s="1"/>
      <c r="B2" s="1"/>
      <c r="C2" s="1"/>
      <c r="D2" s="1"/>
      <c r="E2" s="1"/>
      <c r="F2" s="1"/>
      <c r="G2" s="1"/>
      <c r="H2" s="1"/>
      <c r="I2" s="1"/>
      <c r="J2" s="1"/>
      <c r="K2" s="1"/>
      <c r="L2" s="14"/>
    </row>
    <row r="3" spans="1:18">
      <c r="A3" s="831" t="s">
        <v>2626</v>
      </c>
      <c r="B3" s="831"/>
      <c r="C3" s="831"/>
      <c r="D3" s="831"/>
      <c r="E3" s="831"/>
      <c r="F3" s="831"/>
      <c r="G3" s="831"/>
      <c r="H3" s="831"/>
      <c r="I3" s="831"/>
      <c r="J3" s="831"/>
      <c r="K3" s="831"/>
      <c r="L3" s="14"/>
    </row>
    <row r="4" spans="1:18">
      <c r="A4" s="831"/>
      <c r="B4" s="831"/>
      <c r="C4" s="831"/>
      <c r="D4" s="831"/>
      <c r="E4" s="831"/>
      <c r="F4" s="831"/>
      <c r="G4" s="831"/>
      <c r="H4" s="831"/>
      <c r="I4" s="831"/>
      <c r="J4" s="831"/>
      <c r="K4" s="831"/>
      <c r="L4" s="1"/>
    </row>
    <row r="5" spans="1:18">
      <c r="A5" s="3"/>
      <c r="B5" s="3"/>
      <c r="C5" s="3"/>
      <c r="D5" s="3"/>
      <c r="E5" s="3"/>
      <c r="F5" s="3"/>
      <c r="G5" s="3"/>
      <c r="H5" s="3"/>
      <c r="I5" s="3"/>
      <c r="J5" s="3"/>
      <c r="K5" s="3"/>
      <c r="L5" s="3"/>
    </row>
    <row r="6" spans="1:18">
      <c r="A6" s="17" t="s">
        <v>91</v>
      </c>
      <c r="B6" s="1" t="s">
        <v>2627</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545" t="s">
        <v>978</v>
      </c>
      <c r="B10" s="3"/>
      <c r="C10" s="3"/>
      <c r="D10" s="3"/>
      <c r="E10" s="3"/>
      <c r="F10" s="3"/>
      <c r="G10" s="3"/>
      <c r="H10" s="3"/>
      <c r="I10" s="3"/>
      <c r="J10" s="3"/>
      <c r="K10" s="3"/>
      <c r="L10" s="3"/>
      <c r="M10" s="3"/>
      <c r="N10" s="9"/>
    </row>
    <row r="11" spans="1:18">
      <c r="A11" s="415" t="s">
        <v>2628</v>
      </c>
      <c r="B11" s="3"/>
      <c r="C11" s="3"/>
      <c r="D11" s="3"/>
      <c r="E11" s="3"/>
      <c r="F11" s="3"/>
      <c r="G11" s="3"/>
      <c r="H11" s="3"/>
      <c r="I11" s="3"/>
      <c r="J11" s="3"/>
      <c r="K11" s="3"/>
      <c r="L11" s="3"/>
      <c r="M11" s="3"/>
      <c r="N11" s="9"/>
    </row>
    <row r="12" spans="1:18">
      <c r="A12" s="3"/>
      <c r="B12" s="3"/>
      <c r="C12" s="3"/>
      <c r="D12" s="3"/>
      <c r="E12" s="3"/>
      <c r="F12" s="3"/>
      <c r="G12" s="3"/>
      <c r="H12" s="3"/>
      <c r="I12" s="3"/>
      <c r="J12" s="3"/>
      <c r="K12" s="3"/>
      <c r="L12" s="3"/>
      <c r="M12" s="3"/>
      <c r="N12" s="9"/>
    </row>
    <row r="13" spans="1:18">
      <c r="A13" s="3" t="s">
        <v>775</v>
      </c>
      <c r="B13" s="3"/>
      <c r="C13" s="3"/>
      <c r="D13" s="3"/>
      <c r="E13" s="3"/>
      <c r="F13" s="3"/>
      <c r="G13" s="3"/>
      <c r="H13" s="3"/>
      <c r="I13" s="3"/>
      <c r="J13" s="3"/>
      <c r="K13" s="3"/>
      <c r="L13" s="3"/>
      <c r="M13" s="3"/>
      <c r="N13" s="9"/>
    </row>
    <row r="14" spans="1:18">
      <c r="A14" s="100" t="s">
        <v>2629</v>
      </c>
      <c r="B14" s="3"/>
      <c r="C14" s="3"/>
      <c r="D14" s="3"/>
      <c r="E14" s="3"/>
      <c r="F14" s="3"/>
      <c r="G14" s="3"/>
      <c r="H14" s="3"/>
      <c r="I14" s="3"/>
      <c r="J14" s="3"/>
      <c r="K14" s="3"/>
      <c r="L14" s="3"/>
      <c r="M14" s="3"/>
      <c r="N14" s="9"/>
    </row>
    <row r="15" spans="1:18">
      <c r="A15" s="100" t="s">
        <v>2630</v>
      </c>
      <c r="B15" s="3"/>
      <c r="C15" s="3"/>
      <c r="D15" s="3"/>
      <c r="E15" s="3"/>
      <c r="F15" s="3"/>
      <c r="G15" s="3"/>
      <c r="H15" s="3"/>
      <c r="I15" s="3"/>
      <c r="J15" s="3"/>
      <c r="K15" s="3"/>
      <c r="L15" s="3"/>
      <c r="M15" s="3"/>
      <c r="N15" s="9"/>
    </row>
    <row r="16" spans="1:18">
      <c r="A16" s="100" t="s">
        <v>2631</v>
      </c>
      <c r="B16" s="3"/>
      <c r="C16" s="3"/>
      <c r="D16" s="3"/>
      <c r="E16" s="3"/>
      <c r="F16" s="3"/>
      <c r="G16" s="3"/>
      <c r="H16" s="3"/>
      <c r="I16" s="3"/>
      <c r="J16" s="3"/>
      <c r="K16" s="3"/>
      <c r="L16" s="3"/>
      <c r="M16" s="3"/>
      <c r="N16" s="9"/>
    </row>
    <row r="17" spans="1:14">
      <c r="A17" s="100" t="s">
        <v>2632</v>
      </c>
      <c r="B17" s="3"/>
      <c r="C17" s="3"/>
      <c r="D17" s="3"/>
      <c r="E17" s="3"/>
      <c r="F17" s="3"/>
      <c r="G17" s="3"/>
      <c r="H17" s="3"/>
      <c r="I17" s="3"/>
      <c r="J17" s="3"/>
      <c r="K17" s="3"/>
      <c r="L17" s="3"/>
      <c r="M17" s="3"/>
      <c r="N17" s="9"/>
    </row>
    <row r="18" spans="1:14">
      <c r="A18" s="60" t="s">
        <v>2633</v>
      </c>
      <c r="M18" s="9"/>
      <c r="N18" s="9"/>
    </row>
    <row r="19" spans="1:14">
      <c r="A19" s="60" t="s">
        <v>2634</v>
      </c>
      <c r="M19" s="9"/>
      <c r="N19" s="9"/>
    </row>
    <row r="20" spans="1:14">
      <c r="M20" s="9"/>
      <c r="N20" s="9"/>
    </row>
    <row r="21" spans="1:14">
      <c r="A21" s="1"/>
      <c r="B21" s="1"/>
      <c r="C21" s="1"/>
      <c r="D21" s="1"/>
      <c r="E21" s="1"/>
      <c r="F21" s="1"/>
      <c r="G21" s="1"/>
      <c r="H21" s="1"/>
      <c r="I21" s="1"/>
      <c r="J21" s="1"/>
      <c r="K21" s="1"/>
      <c r="L21" s="1"/>
    </row>
    <row r="22" spans="1:14">
      <c r="A22" s="831" t="s">
        <v>2635</v>
      </c>
      <c r="B22" s="831"/>
      <c r="C22" s="831"/>
      <c r="D22" s="831"/>
      <c r="E22" s="831"/>
      <c r="F22" s="831"/>
      <c r="G22" s="831"/>
      <c r="H22" s="831"/>
      <c r="I22" s="831"/>
      <c r="J22" s="831"/>
      <c r="K22" s="831"/>
      <c r="L22" s="1"/>
    </row>
    <row r="23" spans="1:14">
      <c r="A23" s="831"/>
      <c r="B23" s="831"/>
      <c r="C23" s="831"/>
      <c r="D23" s="831"/>
      <c r="E23" s="831"/>
      <c r="F23" s="831"/>
      <c r="G23" s="831"/>
      <c r="H23" s="831"/>
      <c r="I23" s="831"/>
      <c r="J23" s="831"/>
      <c r="K23" s="831"/>
      <c r="L23" s="1"/>
    </row>
    <row r="24" spans="1:14">
      <c r="A24" s="1"/>
      <c r="B24" s="1"/>
      <c r="C24" s="1"/>
      <c r="D24" s="1"/>
      <c r="E24" s="1"/>
      <c r="F24" s="1"/>
      <c r="G24" s="1"/>
      <c r="H24" s="1"/>
      <c r="I24" s="1"/>
      <c r="J24" s="1"/>
      <c r="K24" s="1"/>
      <c r="L24" s="1"/>
    </row>
    <row r="25" spans="1:14" ht="62.4">
      <c r="A25" s="1"/>
      <c r="B25" s="4" t="s">
        <v>49</v>
      </c>
      <c r="C25" s="4" t="s">
        <v>2636</v>
      </c>
      <c r="D25" s="4" t="s">
        <v>1983</v>
      </c>
      <c r="E25" s="1"/>
      <c r="F25" s="1"/>
      <c r="G25" s="1"/>
      <c r="H25" s="1"/>
      <c r="I25" s="1"/>
      <c r="J25" s="1"/>
      <c r="K25" s="1"/>
      <c r="L25" s="1"/>
    </row>
    <row r="26" spans="1:14">
      <c r="A26" s="1"/>
      <c r="B26" s="6">
        <v>2021</v>
      </c>
      <c r="C26" s="7">
        <v>4298400</v>
      </c>
      <c r="D26" s="7">
        <v>4483200</v>
      </c>
      <c r="E26" s="1"/>
      <c r="F26" s="1"/>
      <c r="G26" s="1"/>
      <c r="H26" s="1"/>
      <c r="I26" s="1"/>
      <c r="J26" s="1"/>
      <c r="K26" s="1"/>
      <c r="L26" s="1"/>
    </row>
    <row r="27" spans="1:14">
      <c r="A27" s="1"/>
      <c r="B27" s="6">
        <v>2022</v>
      </c>
      <c r="C27" s="7">
        <v>4368900</v>
      </c>
      <c r="D27" s="7">
        <v>4607900</v>
      </c>
      <c r="E27" s="1"/>
      <c r="F27" s="1"/>
      <c r="G27" s="1"/>
      <c r="H27" s="1"/>
      <c r="I27" s="1"/>
      <c r="J27" s="1"/>
      <c r="K27" s="1"/>
      <c r="L27" s="1"/>
    </row>
    <row r="28" spans="1:14">
      <c r="A28" s="1"/>
      <c r="B28" s="6">
        <v>2023</v>
      </c>
      <c r="C28" s="7">
        <v>4890200</v>
      </c>
      <c r="D28" s="7">
        <v>5097900</v>
      </c>
      <c r="E28" s="1"/>
      <c r="F28" s="1"/>
      <c r="G28" s="1"/>
      <c r="H28" s="1"/>
      <c r="I28" s="1"/>
      <c r="J28" s="1"/>
      <c r="K28" s="1"/>
      <c r="L28" s="1"/>
    </row>
    <row r="29" spans="1:14">
      <c r="A29" s="1"/>
      <c r="B29" s="1"/>
      <c r="C29" s="1"/>
      <c r="D29" s="1"/>
      <c r="E29" s="1"/>
      <c r="F29" s="1"/>
      <c r="G29" s="1"/>
      <c r="H29" s="1"/>
      <c r="I29" s="1"/>
      <c r="J29" s="1"/>
      <c r="K29" s="1"/>
      <c r="L29" s="1"/>
    </row>
    <row r="30" spans="1:14">
      <c r="A30" s="1"/>
      <c r="B30" s="829" t="s">
        <v>221</v>
      </c>
      <c r="C30" s="829"/>
      <c r="D30" s="5" t="s">
        <v>237</v>
      </c>
      <c r="E30" s="5" t="s">
        <v>657</v>
      </c>
      <c r="F30" s="1"/>
      <c r="G30" s="1"/>
      <c r="H30" s="1"/>
      <c r="I30" s="1"/>
      <c r="J30" s="1"/>
      <c r="K30" s="1"/>
      <c r="L30" s="1"/>
    </row>
    <row r="31" spans="1:14">
      <c r="A31" s="1"/>
      <c r="B31" s="825" t="s">
        <v>2637</v>
      </c>
      <c r="C31" s="825"/>
      <c r="D31" s="8">
        <v>7.0000000000000007E-2</v>
      </c>
      <c r="E31" s="8">
        <v>8.5999999999999993E-2</v>
      </c>
      <c r="F31" s="1"/>
      <c r="G31" s="1"/>
      <c r="H31" s="1"/>
      <c r="I31" s="1"/>
      <c r="J31" s="1"/>
      <c r="K31" s="1"/>
      <c r="L31" s="1"/>
    </row>
    <row r="32" spans="1:14">
      <c r="A32" s="1"/>
      <c r="B32" s="825" t="s">
        <v>2638</v>
      </c>
      <c r="C32" s="825"/>
      <c r="D32" s="8">
        <v>5.5E-2</v>
      </c>
      <c r="E32" s="8">
        <v>0.06</v>
      </c>
      <c r="F32" s="1"/>
      <c r="G32" s="1"/>
      <c r="H32" s="1"/>
      <c r="I32" s="1"/>
      <c r="J32" s="1"/>
      <c r="K32" s="1"/>
      <c r="L32" s="1"/>
    </row>
    <row r="33" spans="1:12">
      <c r="A33" s="1"/>
      <c r="B33" s="825" t="s">
        <v>2639</v>
      </c>
      <c r="C33" s="825"/>
      <c r="D33" s="156">
        <v>0.7</v>
      </c>
      <c r="E33" s="156">
        <v>0.5</v>
      </c>
      <c r="F33" s="1"/>
      <c r="G33" s="1"/>
      <c r="H33" s="1"/>
      <c r="I33" s="1"/>
      <c r="J33" s="1"/>
      <c r="K33" s="1"/>
      <c r="L33" s="1"/>
    </row>
    <row r="34" spans="1:12">
      <c r="A34" s="1"/>
      <c r="B34" s="825" t="s">
        <v>226</v>
      </c>
      <c r="C34" s="825"/>
      <c r="D34" s="8">
        <v>0.06</v>
      </c>
      <c r="E34" s="8">
        <v>7.0000000000000007E-2</v>
      </c>
      <c r="F34" s="1"/>
      <c r="G34" s="1"/>
      <c r="H34" s="1"/>
      <c r="I34" s="1"/>
      <c r="J34" s="1"/>
      <c r="K34" s="1"/>
      <c r="L34" s="1"/>
    </row>
    <row r="35" spans="1:12">
      <c r="A35" s="1"/>
      <c r="B35" s="825" t="s">
        <v>2640</v>
      </c>
      <c r="C35" s="825"/>
      <c r="D35" s="8">
        <v>0.04</v>
      </c>
      <c r="E35" s="8">
        <v>0.05</v>
      </c>
      <c r="F35" s="1"/>
      <c r="G35" s="1"/>
      <c r="H35" s="1"/>
      <c r="I35" s="1"/>
      <c r="J35" s="1"/>
      <c r="K35" s="1"/>
      <c r="L35" s="1"/>
    </row>
    <row r="36" spans="1:12">
      <c r="A36" s="1"/>
      <c r="B36" s="1"/>
      <c r="C36" s="1"/>
      <c r="D36" s="1"/>
      <c r="E36" s="1"/>
      <c r="F36" s="1"/>
      <c r="G36" s="1"/>
      <c r="H36" s="1"/>
      <c r="I36" s="1"/>
      <c r="J36" s="1"/>
      <c r="K36" s="1"/>
      <c r="L36" s="1"/>
    </row>
    <row r="37" spans="1:12">
      <c r="A37" s="1"/>
      <c r="B37" s="519" t="s">
        <v>2641</v>
      </c>
      <c r="C37" s="1"/>
      <c r="D37" s="1"/>
      <c r="E37" s="228">
        <v>32</v>
      </c>
      <c r="F37" s="1" t="s">
        <v>2642</v>
      </c>
      <c r="G37" s="1"/>
      <c r="H37" s="1"/>
      <c r="I37" s="1"/>
      <c r="J37" s="1"/>
      <c r="K37" s="1"/>
      <c r="L37" s="1"/>
    </row>
    <row r="38" spans="1:12">
      <c r="A38" s="1"/>
      <c r="B38" s="1"/>
      <c r="C38" s="1"/>
      <c r="D38" s="1"/>
      <c r="E38" s="1"/>
      <c r="F38" s="1"/>
      <c r="G38" s="1"/>
      <c r="H38" s="1"/>
      <c r="I38" s="1"/>
      <c r="J38" s="1"/>
      <c r="K38" s="1"/>
      <c r="L38" s="1"/>
    </row>
    <row r="39" spans="1:12">
      <c r="A39" s="1" t="s">
        <v>229</v>
      </c>
      <c r="B39" s="1"/>
      <c r="C39" s="1"/>
      <c r="D39" s="1"/>
      <c r="E39" s="1"/>
      <c r="F39" s="1"/>
      <c r="G39" s="1"/>
      <c r="H39" s="1"/>
      <c r="I39" s="1"/>
      <c r="J39" s="1"/>
      <c r="K39" s="1"/>
      <c r="L39" s="1"/>
    </row>
    <row r="40" spans="1:12">
      <c r="A40" s="1"/>
      <c r="B40" s="1"/>
      <c r="C40" s="1"/>
      <c r="D40" s="1"/>
      <c r="E40" s="1"/>
      <c r="F40" s="1"/>
      <c r="G40" s="1"/>
      <c r="H40" s="1"/>
      <c r="I40" s="1"/>
      <c r="J40" s="1"/>
      <c r="K40" s="1"/>
      <c r="L40" s="1"/>
    </row>
    <row r="41" spans="1:12" ht="31.2">
      <c r="A41" s="1"/>
      <c r="B41" s="4" t="s">
        <v>49</v>
      </c>
      <c r="C41" s="4" t="s">
        <v>230</v>
      </c>
      <c r="D41" s="1"/>
      <c r="E41" s="1"/>
      <c r="F41" s="1"/>
      <c r="G41" s="1"/>
      <c r="H41" s="1"/>
      <c r="I41" s="1"/>
      <c r="J41" s="1"/>
      <c r="K41" s="1"/>
      <c r="L41" s="1"/>
    </row>
    <row r="42" spans="1:12">
      <c r="A42" s="1"/>
      <c r="B42" s="6">
        <v>2021</v>
      </c>
      <c r="C42" s="728">
        <v>1.196</v>
      </c>
      <c r="D42" s="1"/>
      <c r="E42" s="1"/>
      <c r="F42" s="1"/>
      <c r="G42" s="1"/>
      <c r="H42" s="1"/>
      <c r="I42" s="1"/>
      <c r="J42" s="1"/>
      <c r="K42" s="1"/>
      <c r="L42" s="1"/>
    </row>
    <row r="43" spans="1:12">
      <c r="A43" s="1"/>
      <c r="B43" s="6">
        <v>2022</v>
      </c>
      <c r="C43" s="728">
        <v>1.165</v>
      </c>
      <c r="D43" s="1"/>
      <c r="E43" s="1"/>
      <c r="F43" s="1"/>
      <c r="G43" s="1"/>
      <c r="H43" s="1"/>
      <c r="I43" s="1"/>
      <c r="J43" s="1"/>
      <c r="K43" s="1"/>
      <c r="L43" s="1"/>
    </row>
    <row r="44" spans="1:12">
      <c r="A44" s="1"/>
      <c r="B44" s="6">
        <v>2023</v>
      </c>
      <c r="C44" s="728">
        <v>1.1850000000000001</v>
      </c>
      <c r="D44" s="1"/>
      <c r="E44" s="1"/>
      <c r="F44" s="1"/>
      <c r="G44" s="1"/>
      <c r="H44" s="1"/>
      <c r="I44" s="1"/>
      <c r="J44" s="1"/>
      <c r="K44" s="1"/>
      <c r="L44" s="1"/>
    </row>
    <row r="46" spans="1:12">
      <c r="A46" s="17" t="s">
        <v>133</v>
      </c>
      <c r="B46" s="1" t="s">
        <v>2643</v>
      </c>
      <c r="C46" s="1"/>
      <c r="D46" s="1"/>
      <c r="E46" s="1"/>
      <c r="F46" s="1"/>
      <c r="G46" s="1"/>
      <c r="H46" s="1"/>
      <c r="I46" s="1"/>
      <c r="J46" s="1"/>
      <c r="K46" s="1"/>
      <c r="L46" s="1"/>
    </row>
    <row r="47" spans="1:12">
      <c r="A47" s="3"/>
      <c r="B47" s="3"/>
      <c r="C47" s="3"/>
      <c r="D47" s="3"/>
      <c r="E47" s="3"/>
      <c r="F47" s="3"/>
      <c r="G47" s="3"/>
      <c r="H47" s="3"/>
      <c r="I47" s="3"/>
      <c r="J47" s="3"/>
      <c r="K47" s="3"/>
      <c r="L47" s="3"/>
    </row>
    <row r="48" spans="1:12">
      <c r="A48" s="3" t="s">
        <v>20</v>
      </c>
      <c r="B48" s="3"/>
      <c r="C48" s="3"/>
      <c r="D48" s="3"/>
      <c r="E48" s="3"/>
      <c r="F48" s="3"/>
      <c r="G48" s="3"/>
      <c r="H48" s="3"/>
      <c r="I48" s="3"/>
      <c r="J48" s="3"/>
      <c r="K48" s="3"/>
      <c r="L48" s="3"/>
    </row>
    <row r="49" spans="1:12">
      <c r="A49" s="3"/>
      <c r="B49" s="3"/>
      <c r="C49" s="3"/>
      <c r="D49" s="3"/>
      <c r="E49" s="3"/>
      <c r="F49" s="3"/>
      <c r="G49" s="3"/>
      <c r="H49" s="3"/>
      <c r="I49" s="3"/>
      <c r="J49" s="3"/>
      <c r="K49" s="3"/>
      <c r="L49" s="3"/>
    </row>
    <row r="50" spans="1:12">
      <c r="A50" s="2" t="s">
        <v>2644</v>
      </c>
      <c r="D50" s="257">
        <f>D31*D33+(1-D33)*D34</f>
        <v>6.7000000000000004E-2</v>
      </c>
      <c r="F50" s="257"/>
      <c r="G50" s="3"/>
      <c r="H50" s="3"/>
      <c r="I50" s="3"/>
      <c r="J50" s="3"/>
      <c r="K50" s="3"/>
      <c r="L50" s="3"/>
    </row>
    <row r="51" spans="1:12">
      <c r="A51" s="2" t="s">
        <v>2645</v>
      </c>
      <c r="D51" s="257">
        <f>E31*E33+(1-E33)*E34</f>
        <v>7.8E-2</v>
      </c>
      <c r="F51" s="18"/>
      <c r="G51" s="3"/>
      <c r="H51" s="3"/>
      <c r="I51" s="3"/>
      <c r="J51" s="3"/>
      <c r="K51" s="3"/>
      <c r="L51" s="3"/>
    </row>
    <row r="52" spans="1:12">
      <c r="E52" s="157"/>
      <c r="G52" s="3"/>
      <c r="H52" s="3"/>
      <c r="I52" s="3"/>
      <c r="J52" s="3"/>
      <c r="K52" s="3"/>
      <c r="L52" s="3"/>
    </row>
    <row r="53" spans="1:12">
      <c r="A53" s="729"/>
      <c r="B53" s="729"/>
      <c r="C53" s="730" t="s">
        <v>235</v>
      </c>
      <c r="D53" s="730"/>
      <c r="E53" s="730" t="s">
        <v>236</v>
      </c>
      <c r="F53" s="730"/>
      <c r="G53" s="3"/>
      <c r="H53" s="3"/>
      <c r="I53" s="3"/>
      <c r="J53" s="3"/>
      <c r="K53" s="3"/>
      <c r="L53" s="3"/>
    </row>
    <row r="54" spans="1:12" ht="31.2">
      <c r="A54" s="731" t="s">
        <v>49</v>
      </c>
      <c r="B54" s="731" t="s">
        <v>2646</v>
      </c>
      <c r="C54" s="256">
        <f>D50</f>
        <v>6.7000000000000004E-2</v>
      </c>
      <c r="D54" s="256">
        <f>D51</f>
        <v>7.8E-2</v>
      </c>
      <c r="E54" s="732" t="s">
        <v>237</v>
      </c>
      <c r="F54" s="732" t="s">
        <v>223</v>
      </c>
      <c r="G54" s="3"/>
      <c r="H54" s="3"/>
      <c r="I54" s="3"/>
      <c r="J54" s="3"/>
      <c r="K54" s="3"/>
      <c r="L54" s="3"/>
    </row>
    <row r="55" spans="1:12">
      <c r="A55" s="733">
        <f>B26</f>
        <v>2021</v>
      </c>
      <c r="B55" s="734">
        <f>B56+1</f>
        <v>4.6666666666666661</v>
      </c>
      <c r="C55" s="734">
        <f t="shared" ref="C55:D57" si="0">(1+C$54)^$B55</f>
        <v>1.353424261277882</v>
      </c>
      <c r="D55" s="734">
        <f t="shared" si="0"/>
        <v>1.4197794437855074</v>
      </c>
      <c r="E55" s="529">
        <f t="shared" ref="E55:F57" si="1">C26*C55</f>
        <v>5817558.8446768476</v>
      </c>
      <c r="F55" s="529">
        <f t="shared" si="1"/>
        <v>6365155.2023791866</v>
      </c>
      <c r="G55" s="3"/>
      <c r="H55" s="3"/>
      <c r="I55" s="3"/>
      <c r="J55" s="3"/>
      <c r="K55" s="3"/>
      <c r="L55" s="3"/>
    </row>
    <row r="56" spans="1:12">
      <c r="A56" s="526">
        <f t="shared" ref="A56:A57" si="2">B27</f>
        <v>2022</v>
      </c>
      <c r="B56" s="734">
        <f>B57+1</f>
        <v>3.6666666666666665</v>
      </c>
      <c r="C56" s="734">
        <f t="shared" si="0"/>
        <v>1.2684388578049504</v>
      </c>
      <c r="D56" s="734">
        <f t="shared" si="0"/>
        <v>1.3170495767954613</v>
      </c>
      <c r="E56" s="529">
        <f t="shared" si="1"/>
        <v>5541682.5258640479</v>
      </c>
      <c r="F56" s="529">
        <f t="shared" si="1"/>
        <v>6068832.7449158058</v>
      </c>
      <c r="G56" s="3"/>
      <c r="H56" s="3"/>
      <c r="I56" s="3"/>
      <c r="J56" s="3"/>
      <c r="K56" s="3"/>
      <c r="L56" s="3"/>
    </row>
    <row r="57" spans="1:12">
      <c r="A57" s="526">
        <f t="shared" si="2"/>
        <v>2023</v>
      </c>
      <c r="B57" s="734">
        <f>E37/12</f>
        <v>2.6666666666666665</v>
      </c>
      <c r="C57" s="734">
        <f t="shared" si="0"/>
        <v>1.1887899323382853</v>
      </c>
      <c r="D57" s="734">
        <f t="shared" si="0"/>
        <v>1.2217528541701868</v>
      </c>
      <c r="E57" s="529">
        <f t="shared" si="1"/>
        <v>5813420.5271206833</v>
      </c>
      <c r="F57" s="529">
        <f t="shared" si="1"/>
        <v>6228373.8752741953</v>
      </c>
      <c r="G57" s="3"/>
      <c r="H57" s="3"/>
      <c r="I57" s="3"/>
      <c r="J57" s="3"/>
      <c r="K57" s="3"/>
      <c r="L57" s="3"/>
    </row>
    <row r="58" spans="1:12">
      <c r="A58" s="34"/>
      <c r="G58" s="3"/>
      <c r="H58" s="3"/>
      <c r="I58" s="3"/>
      <c r="J58" s="3"/>
      <c r="K58" s="3"/>
      <c r="L58" s="3"/>
    </row>
    <row r="59" spans="1:12" ht="46.8">
      <c r="A59" s="732" t="s">
        <v>49</v>
      </c>
      <c r="B59" s="732" t="s">
        <v>238</v>
      </c>
      <c r="C59" s="732" t="s">
        <v>2647</v>
      </c>
      <c r="D59" s="732" t="s">
        <v>239</v>
      </c>
      <c r="G59" s="3"/>
      <c r="H59" s="3"/>
      <c r="I59" s="3"/>
      <c r="J59" s="3"/>
      <c r="K59" s="3"/>
      <c r="L59" s="3"/>
    </row>
    <row r="60" spans="1:12">
      <c r="A60" s="526">
        <f>A55</f>
        <v>2021</v>
      </c>
      <c r="B60" s="734">
        <f>F55/E55</f>
        <v>1.0941282026228918</v>
      </c>
      <c r="C60" s="735">
        <f>C42</f>
        <v>1.196</v>
      </c>
      <c r="D60" s="734">
        <f>B60*C60</f>
        <v>1.3085773303369785</v>
      </c>
      <c r="G60" s="3"/>
      <c r="H60" s="3"/>
      <c r="I60" s="3"/>
      <c r="J60" s="3"/>
      <c r="K60" s="3"/>
      <c r="L60" s="3"/>
    </row>
    <row r="61" spans="1:12">
      <c r="A61" s="526">
        <f>A56</f>
        <v>2022</v>
      </c>
      <c r="B61" s="734">
        <f>F56/E56</f>
        <v>1.0951245793297344</v>
      </c>
      <c r="C61" s="526">
        <f t="shared" ref="C61:C62" si="3">C43</f>
        <v>1.165</v>
      </c>
      <c r="D61" s="734">
        <f t="shared" ref="D61:D62" si="4">B61*C61</f>
        <v>1.2758201349191407</v>
      </c>
      <c r="G61" s="3"/>
      <c r="H61" s="3"/>
      <c r="I61" s="3"/>
      <c r="J61" s="3"/>
      <c r="K61" s="3"/>
      <c r="L61" s="3"/>
    </row>
    <row r="62" spans="1:12">
      <c r="A62" s="526">
        <f>A57</f>
        <v>2023</v>
      </c>
      <c r="B62" s="734">
        <f>F57/E57</f>
        <v>1.071378519103801</v>
      </c>
      <c r="C62" s="526">
        <f t="shared" si="3"/>
        <v>1.1850000000000001</v>
      </c>
      <c r="D62" s="734">
        <f t="shared" si="4"/>
        <v>1.2695835451380042</v>
      </c>
      <c r="G62" s="3"/>
      <c r="H62" s="3"/>
      <c r="I62" s="3"/>
      <c r="J62" s="3"/>
      <c r="K62" s="3"/>
      <c r="L62" s="3"/>
    </row>
    <row r="64" spans="1:12">
      <c r="A64" s="17" t="s">
        <v>18</v>
      </c>
      <c r="B64" s="1" t="s">
        <v>2648</v>
      </c>
      <c r="C64" s="1"/>
      <c r="D64" s="1"/>
      <c r="E64" s="1"/>
      <c r="F64" s="1"/>
      <c r="G64" s="1"/>
      <c r="H64" s="1"/>
      <c r="I64" s="1"/>
      <c r="J64" s="1"/>
      <c r="K64" s="1"/>
      <c r="L64" s="1"/>
    </row>
    <row r="65" spans="1:12">
      <c r="A65" s="3"/>
      <c r="B65" s="3"/>
      <c r="C65" s="3"/>
      <c r="D65" s="3"/>
      <c r="E65" s="3"/>
      <c r="F65" s="3"/>
      <c r="G65" s="3"/>
      <c r="H65" s="3"/>
      <c r="I65" s="3"/>
      <c r="J65" s="3"/>
      <c r="K65" s="3"/>
      <c r="L65" s="3"/>
    </row>
    <row r="66" spans="1:12">
      <c r="A66" s="3" t="s">
        <v>20</v>
      </c>
      <c r="B66" s="3"/>
      <c r="C66" s="3"/>
      <c r="D66" s="3"/>
      <c r="E66" s="3"/>
      <c r="F66" s="3"/>
      <c r="G66" s="3"/>
      <c r="H66" s="3"/>
      <c r="I66" s="3"/>
      <c r="J66" s="3"/>
      <c r="K66" s="3"/>
      <c r="L66" s="3"/>
    </row>
    <row r="68" spans="1:12">
      <c r="A68" s="3" t="s">
        <v>2649</v>
      </c>
      <c r="C68" s="736">
        <f>AVERAGE(D61:D62)</f>
        <v>1.2727018400285726</v>
      </c>
    </row>
    <row r="69" spans="1:12">
      <c r="A69" s="3" t="s">
        <v>496</v>
      </c>
      <c r="B69" s="3"/>
    </row>
    <row r="70" spans="1:12">
      <c r="A70" s="100" t="s">
        <v>2650</v>
      </c>
      <c r="B70" s="3"/>
    </row>
    <row r="71" spans="1:12">
      <c r="A71" s="100" t="s">
        <v>2651</v>
      </c>
      <c r="B71" s="3"/>
    </row>
  </sheetData>
  <mergeCells count="8">
    <mergeCell ref="B34:C34"/>
    <mergeCell ref="B35:C35"/>
    <mergeCell ref="A3:K4"/>
    <mergeCell ref="A22:K23"/>
    <mergeCell ref="B30:C30"/>
    <mergeCell ref="B31:C31"/>
    <mergeCell ref="B32:C32"/>
    <mergeCell ref="B33:C33"/>
  </mergeCells>
  <hyperlinks>
    <hyperlink ref="O1" location="TOC!A1" display="Table of Contents" xr:uid="{B9A6674A-32C5-4C6B-AFE2-FA0CFC5A2878}"/>
  </hyperlinks>
  <pageMargins left="0.7" right="0.7" top="0.75" bottom="0.75" header="0.3" footer="0.3"/>
  <pageSetup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9B96-EE85-41D5-9B94-A78371958845}">
  <dimension ref="A1:R124"/>
  <sheetViews>
    <sheetView zoomScaleNormal="100" workbookViewId="0"/>
  </sheetViews>
  <sheetFormatPr defaultColWidth="8.88671875" defaultRowHeight="15.6"/>
  <cols>
    <col min="1" max="1" width="14.109375" style="2" customWidth="1"/>
    <col min="2" max="5" width="14.6640625" style="2" customWidth="1"/>
    <col min="6" max="8" width="12.6640625" style="2" customWidth="1"/>
    <col min="9" max="16384" width="8.88671875" style="2"/>
  </cols>
  <sheetData>
    <row r="1" spans="1:15" ht="17.399999999999999">
      <c r="A1" s="13" t="s">
        <v>2924</v>
      </c>
      <c r="B1" s="1"/>
      <c r="C1" s="1"/>
      <c r="D1" s="1" t="s">
        <v>548</v>
      </c>
      <c r="E1" s="1"/>
      <c r="F1" s="1"/>
      <c r="G1" s="1"/>
      <c r="H1" s="1"/>
      <c r="I1" s="1"/>
      <c r="J1" s="1"/>
      <c r="K1" s="1"/>
      <c r="L1" s="14"/>
      <c r="O1" s="21" t="s">
        <v>2927</v>
      </c>
    </row>
    <row r="2" spans="1:15">
      <c r="A2" s="1"/>
      <c r="B2" s="1"/>
      <c r="C2" s="1"/>
      <c r="D2" s="1"/>
      <c r="E2" s="1"/>
      <c r="F2" s="1"/>
      <c r="G2" s="1"/>
      <c r="H2" s="1"/>
      <c r="I2" s="1"/>
      <c r="J2" s="1"/>
      <c r="K2" s="1"/>
      <c r="L2" s="14"/>
    </row>
    <row r="3" spans="1:15">
      <c r="A3" s="1" t="s">
        <v>2652</v>
      </c>
      <c r="B3" s="1"/>
      <c r="C3" s="1"/>
      <c r="D3" s="1"/>
      <c r="E3" s="1"/>
      <c r="F3" s="1"/>
      <c r="G3" s="1"/>
      <c r="H3" s="1"/>
      <c r="I3" s="1"/>
      <c r="J3" s="1"/>
      <c r="K3" s="1"/>
      <c r="L3" s="14"/>
    </row>
    <row r="4" spans="1:15">
      <c r="A4" s="43"/>
      <c r="B4" s="519" t="s">
        <v>2653</v>
      </c>
      <c r="C4" s="1"/>
      <c r="D4" s="1"/>
      <c r="E4" s="1"/>
      <c r="F4" s="1"/>
      <c r="G4" s="1"/>
      <c r="H4" s="1"/>
      <c r="I4" s="1"/>
      <c r="J4" s="1"/>
      <c r="K4" s="1"/>
      <c r="L4" s="1"/>
    </row>
    <row r="5" spans="1:15">
      <c r="A5" s="43"/>
      <c r="B5" s="519" t="s">
        <v>2654</v>
      </c>
      <c r="C5" s="1"/>
      <c r="D5" s="1"/>
      <c r="E5" s="1"/>
      <c r="F5" s="1"/>
      <c r="G5" s="1"/>
      <c r="H5" s="1"/>
      <c r="I5" s="1"/>
      <c r="J5" s="1"/>
      <c r="K5" s="1"/>
      <c r="L5" s="1"/>
    </row>
    <row r="6" spans="1:15">
      <c r="A6" s="43"/>
      <c r="B6" s="519" t="s">
        <v>2655</v>
      </c>
      <c r="C6" s="1"/>
      <c r="D6" s="228">
        <v>120</v>
      </c>
      <c r="E6" s="204" t="s">
        <v>2656</v>
      </c>
      <c r="F6" s="1"/>
      <c r="G6" s="1"/>
      <c r="H6" s="1"/>
      <c r="I6" s="1"/>
      <c r="J6" s="1"/>
      <c r="K6" s="1"/>
      <c r="L6" s="1"/>
    </row>
    <row r="7" spans="1:15">
      <c r="A7" s="43"/>
      <c r="B7" s="519" t="s">
        <v>2657</v>
      </c>
      <c r="C7" s="1"/>
      <c r="D7" s="1"/>
      <c r="E7" s="1"/>
      <c r="F7" s="1"/>
      <c r="G7" s="1"/>
      <c r="H7" s="1"/>
      <c r="I7" s="1"/>
      <c r="J7" s="1"/>
      <c r="K7" s="1"/>
      <c r="L7" s="1"/>
    </row>
    <row r="8" spans="1:15">
      <c r="A8" s="1"/>
      <c r="B8" s="519" t="s">
        <v>2658</v>
      </c>
      <c r="C8" s="1"/>
      <c r="D8" s="1"/>
      <c r="E8" s="1"/>
      <c r="F8" s="1"/>
      <c r="G8" s="1"/>
      <c r="H8" s="1"/>
      <c r="I8" s="1"/>
      <c r="J8" s="1"/>
      <c r="K8" s="1"/>
      <c r="L8" s="1"/>
    </row>
    <row r="9" spans="1:15">
      <c r="A9" s="1"/>
      <c r="B9" s="519" t="s">
        <v>2659</v>
      </c>
      <c r="C9" s="1"/>
      <c r="D9" s="1"/>
      <c r="E9" s="1"/>
      <c r="F9" s="1"/>
      <c r="G9" s="1"/>
      <c r="H9" s="1"/>
      <c r="I9" s="1"/>
      <c r="J9" s="1"/>
      <c r="K9" s="1"/>
      <c r="L9" s="1"/>
    </row>
    <row r="10" spans="1:15">
      <c r="A10" s="43"/>
      <c r="B10" s="519" t="s">
        <v>2660</v>
      </c>
      <c r="C10" s="1"/>
      <c r="D10" s="1"/>
      <c r="E10" s="1"/>
      <c r="F10" s="1"/>
      <c r="G10" s="1"/>
      <c r="H10" s="1"/>
      <c r="I10" s="1"/>
      <c r="J10" s="1"/>
      <c r="K10" s="1"/>
      <c r="L10" s="1"/>
    </row>
    <row r="11" spans="1:15">
      <c r="A11" s="1"/>
      <c r="B11" s="1"/>
      <c r="C11" s="1"/>
      <c r="D11" s="1"/>
      <c r="E11" s="1"/>
      <c r="F11" s="1"/>
      <c r="G11" s="1"/>
      <c r="H11" s="1"/>
      <c r="I11" s="1"/>
      <c r="J11" s="1"/>
      <c r="K11" s="1"/>
      <c r="L11" s="1"/>
    </row>
    <row r="12" spans="1:15" ht="31.2">
      <c r="A12" s="1"/>
      <c r="B12" s="4" t="s">
        <v>3</v>
      </c>
      <c r="C12" s="4" t="s">
        <v>47</v>
      </c>
      <c r="D12" s="1"/>
      <c r="E12" s="1"/>
      <c r="F12" s="1"/>
      <c r="G12" s="1"/>
      <c r="H12" s="1"/>
      <c r="I12" s="1"/>
      <c r="J12" s="1"/>
      <c r="K12" s="1"/>
      <c r="L12" s="1"/>
    </row>
    <row r="13" spans="1:15">
      <c r="A13" s="1"/>
      <c r="B13" s="32">
        <v>2021</v>
      </c>
      <c r="C13" s="32">
        <v>225</v>
      </c>
      <c r="D13" s="1"/>
      <c r="E13" s="1"/>
      <c r="F13" s="1"/>
      <c r="G13" s="1"/>
      <c r="H13" s="1"/>
      <c r="I13" s="1"/>
      <c r="J13" s="1"/>
      <c r="K13" s="1"/>
      <c r="L13" s="1"/>
    </row>
    <row r="14" spans="1:15">
      <c r="A14" s="1"/>
      <c r="B14" s="32">
        <v>2022</v>
      </c>
      <c r="C14" s="32">
        <v>930</v>
      </c>
      <c r="D14" s="1"/>
      <c r="E14" s="1"/>
      <c r="F14" s="1"/>
      <c r="G14" s="1"/>
      <c r="H14" s="1"/>
      <c r="I14" s="1"/>
      <c r="J14" s="1"/>
      <c r="K14" s="1"/>
      <c r="L14" s="1"/>
    </row>
    <row r="15" spans="1:15">
      <c r="A15" s="1"/>
      <c r="B15" s="32">
        <v>2023</v>
      </c>
      <c r="C15" s="92">
        <v>1425</v>
      </c>
      <c r="D15" s="1"/>
      <c r="E15" s="1"/>
      <c r="F15" s="1"/>
      <c r="G15" s="1"/>
      <c r="H15" s="1"/>
      <c r="I15" s="1"/>
      <c r="J15" s="1"/>
      <c r="K15" s="1"/>
      <c r="L15" s="1"/>
    </row>
    <row r="16" spans="1:15">
      <c r="A16" s="3"/>
      <c r="B16" s="3"/>
      <c r="C16" s="3"/>
      <c r="D16" s="3"/>
      <c r="E16" s="3"/>
      <c r="F16" s="3"/>
      <c r="G16" s="3"/>
      <c r="H16" s="3"/>
      <c r="I16" s="3"/>
      <c r="J16" s="3"/>
      <c r="K16" s="3"/>
      <c r="L16" s="3"/>
    </row>
    <row r="17" spans="1:18">
      <c r="A17" s="17" t="s">
        <v>91</v>
      </c>
      <c r="B17" s="1" t="s">
        <v>2661</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0" spans="1:18">
      <c r="A20" s="147"/>
      <c r="C20" s="816" t="s">
        <v>2662</v>
      </c>
      <c r="D20" s="816"/>
      <c r="E20" s="816"/>
      <c r="F20" s="816" t="s">
        <v>2663</v>
      </c>
      <c r="G20" s="816"/>
      <c r="H20" s="816"/>
      <c r="I20" s="3"/>
      <c r="J20" s="3"/>
      <c r="K20" s="3"/>
      <c r="L20" s="3"/>
      <c r="M20" s="3"/>
      <c r="N20" s="9"/>
    </row>
    <row r="21" spans="1:18" ht="31.2">
      <c r="A21" s="36" t="s">
        <v>2664</v>
      </c>
      <c r="B21" s="36" t="s">
        <v>1075</v>
      </c>
      <c r="C21" s="35">
        <v>2021</v>
      </c>
      <c r="D21" s="35">
        <f>C21+1</f>
        <v>2022</v>
      </c>
      <c r="E21" s="35">
        <f>D21+1</f>
        <v>2023</v>
      </c>
      <c r="F21" s="35">
        <v>2021</v>
      </c>
      <c r="G21" s="35">
        <f>F21+1</f>
        <v>2022</v>
      </c>
      <c r="H21" s="35">
        <f>G21+1</f>
        <v>2023</v>
      </c>
      <c r="M21" s="9"/>
      <c r="N21" s="9"/>
    </row>
    <row r="22" spans="1:18">
      <c r="A22" s="737">
        <v>44287</v>
      </c>
      <c r="B22" s="34">
        <f>$D$6</f>
        <v>120</v>
      </c>
      <c r="C22" s="34">
        <v>9</v>
      </c>
      <c r="D22" s="34">
        <v>12</v>
      </c>
      <c r="E22" s="34">
        <f>MIN(24-SUM(C22:D22),12)</f>
        <v>3</v>
      </c>
      <c r="F22" s="34">
        <f>C22/24*$B22</f>
        <v>45</v>
      </c>
      <c r="G22" s="34">
        <f t="shared" ref="G22:H57" si="0">D22/24*$B22</f>
        <v>60</v>
      </c>
      <c r="H22" s="34">
        <f t="shared" si="0"/>
        <v>15</v>
      </c>
      <c r="M22" s="9"/>
      <c r="N22" s="9"/>
    </row>
    <row r="23" spans="1:18">
      <c r="A23" s="738">
        <v>44317</v>
      </c>
      <c r="B23" s="34">
        <f t="shared" ref="B23:B57" si="1">$D$6</f>
        <v>120</v>
      </c>
      <c r="C23" s="34">
        <f>C22-1</f>
        <v>8</v>
      </c>
      <c r="D23" s="34">
        <v>12</v>
      </c>
      <c r="E23" s="34">
        <f t="shared" ref="E23:E43" si="2">MIN(24-SUM(C23:D23),12)</f>
        <v>4</v>
      </c>
      <c r="F23" s="34">
        <f t="shared" ref="F23:F57" si="3">C23/24*$B23</f>
        <v>40</v>
      </c>
      <c r="G23" s="34">
        <f t="shared" si="0"/>
        <v>60</v>
      </c>
      <c r="H23" s="34">
        <f t="shared" si="0"/>
        <v>20</v>
      </c>
      <c r="M23" s="9"/>
      <c r="N23" s="9"/>
    </row>
    <row r="24" spans="1:18">
      <c r="A24" s="738">
        <v>44348</v>
      </c>
      <c r="B24" s="34">
        <f t="shared" si="1"/>
        <v>120</v>
      </c>
      <c r="C24" s="34">
        <f t="shared" ref="C24:D39" si="4">C23-1</f>
        <v>7</v>
      </c>
      <c r="D24" s="34">
        <v>12</v>
      </c>
      <c r="E24" s="34">
        <f t="shared" si="2"/>
        <v>5</v>
      </c>
      <c r="F24" s="34">
        <f t="shared" si="3"/>
        <v>35</v>
      </c>
      <c r="G24" s="34">
        <f t="shared" si="0"/>
        <v>60</v>
      </c>
      <c r="H24" s="34">
        <f t="shared" si="0"/>
        <v>25</v>
      </c>
      <c r="M24" s="9"/>
      <c r="N24" s="9"/>
    </row>
    <row r="25" spans="1:18">
      <c r="A25" s="738">
        <v>44378</v>
      </c>
      <c r="B25" s="34">
        <f t="shared" si="1"/>
        <v>120</v>
      </c>
      <c r="C25" s="34">
        <f t="shared" si="4"/>
        <v>6</v>
      </c>
      <c r="D25" s="34">
        <v>12</v>
      </c>
      <c r="E25" s="34">
        <f t="shared" si="2"/>
        <v>6</v>
      </c>
      <c r="F25" s="34">
        <f t="shared" si="3"/>
        <v>30</v>
      </c>
      <c r="G25" s="34">
        <f t="shared" si="0"/>
        <v>60</v>
      </c>
      <c r="H25" s="34">
        <f t="shared" si="0"/>
        <v>30</v>
      </c>
      <c r="M25" s="9"/>
      <c r="N25" s="9"/>
    </row>
    <row r="26" spans="1:18">
      <c r="A26" s="738">
        <v>44409</v>
      </c>
      <c r="B26" s="34">
        <f t="shared" si="1"/>
        <v>120</v>
      </c>
      <c r="C26" s="34">
        <f t="shared" si="4"/>
        <v>5</v>
      </c>
      <c r="D26" s="34">
        <v>12</v>
      </c>
      <c r="E26" s="34">
        <f t="shared" si="2"/>
        <v>7</v>
      </c>
      <c r="F26" s="34">
        <f t="shared" si="3"/>
        <v>25</v>
      </c>
      <c r="G26" s="34">
        <f t="shared" si="0"/>
        <v>60</v>
      </c>
      <c r="H26" s="34">
        <f t="shared" si="0"/>
        <v>35</v>
      </c>
      <c r="M26" s="9"/>
      <c r="N26" s="9"/>
    </row>
    <row r="27" spans="1:18">
      <c r="A27" s="738">
        <v>44440</v>
      </c>
      <c r="B27" s="34">
        <f t="shared" si="1"/>
        <v>120</v>
      </c>
      <c r="C27" s="34">
        <f t="shared" si="4"/>
        <v>4</v>
      </c>
      <c r="D27" s="34">
        <v>12</v>
      </c>
      <c r="E27" s="34">
        <f t="shared" si="2"/>
        <v>8</v>
      </c>
      <c r="F27" s="34">
        <f t="shared" si="3"/>
        <v>20</v>
      </c>
      <c r="G27" s="34">
        <f t="shared" si="0"/>
        <v>60</v>
      </c>
      <c r="H27" s="34">
        <f t="shared" si="0"/>
        <v>40</v>
      </c>
      <c r="M27" s="9"/>
      <c r="N27" s="9"/>
    </row>
    <row r="28" spans="1:18">
      <c r="A28" s="738">
        <v>44470</v>
      </c>
      <c r="B28" s="34">
        <f t="shared" si="1"/>
        <v>120</v>
      </c>
      <c r="C28" s="34">
        <f t="shared" si="4"/>
        <v>3</v>
      </c>
      <c r="D28" s="34">
        <v>12</v>
      </c>
      <c r="E28" s="34">
        <f t="shared" si="2"/>
        <v>9</v>
      </c>
      <c r="F28" s="34">
        <f t="shared" si="3"/>
        <v>15</v>
      </c>
      <c r="G28" s="34">
        <f t="shared" si="0"/>
        <v>60</v>
      </c>
      <c r="H28" s="34">
        <f t="shared" si="0"/>
        <v>45</v>
      </c>
      <c r="M28" s="9"/>
      <c r="N28" s="9"/>
    </row>
    <row r="29" spans="1:18">
      <c r="A29" s="738">
        <v>44501</v>
      </c>
      <c r="B29" s="34">
        <f t="shared" si="1"/>
        <v>120</v>
      </c>
      <c r="C29" s="34">
        <f t="shared" si="4"/>
        <v>2</v>
      </c>
      <c r="D29" s="34">
        <v>12</v>
      </c>
      <c r="E29" s="34">
        <f t="shared" si="2"/>
        <v>10</v>
      </c>
      <c r="F29" s="34">
        <f t="shared" si="3"/>
        <v>10</v>
      </c>
      <c r="G29" s="34">
        <f t="shared" si="0"/>
        <v>60</v>
      </c>
      <c r="H29" s="34">
        <f t="shared" si="0"/>
        <v>50</v>
      </c>
      <c r="M29" s="9"/>
      <c r="N29" s="9"/>
    </row>
    <row r="30" spans="1:18">
      <c r="A30" s="738">
        <v>44531</v>
      </c>
      <c r="B30" s="34">
        <f t="shared" si="1"/>
        <v>120</v>
      </c>
      <c r="C30" s="34">
        <f t="shared" si="4"/>
        <v>1</v>
      </c>
      <c r="D30" s="34">
        <v>12</v>
      </c>
      <c r="E30" s="34">
        <f t="shared" si="2"/>
        <v>11</v>
      </c>
      <c r="F30" s="34">
        <f t="shared" si="3"/>
        <v>5</v>
      </c>
      <c r="G30" s="34">
        <f t="shared" si="0"/>
        <v>60</v>
      </c>
      <c r="H30" s="34">
        <f t="shared" si="0"/>
        <v>55</v>
      </c>
      <c r="M30" s="9"/>
      <c r="N30" s="9"/>
    </row>
    <row r="31" spans="1:18">
      <c r="A31" s="738">
        <v>44562</v>
      </c>
      <c r="B31" s="34">
        <f t="shared" si="1"/>
        <v>120</v>
      </c>
      <c r="C31" s="34">
        <v>0</v>
      </c>
      <c r="D31" s="34">
        <v>12</v>
      </c>
      <c r="E31" s="34">
        <f t="shared" si="2"/>
        <v>12</v>
      </c>
      <c r="F31" s="34">
        <f t="shared" si="3"/>
        <v>0</v>
      </c>
      <c r="G31" s="34">
        <f t="shared" si="0"/>
        <v>60</v>
      </c>
      <c r="H31" s="34">
        <f t="shared" si="0"/>
        <v>60</v>
      </c>
      <c r="M31" s="9"/>
      <c r="N31" s="9"/>
    </row>
    <row r="32" spans="1:18">
      <c r="A32" s="738">
        <v>44593</v>
      </c>
      <c r="B32" s="34">
        <f t="shared" si="1"/>
        <v>120</v>
      </c>
      <c r="C32" s="34">
        <v>0</v>
      </c>
      <c r="D32" s="34">
        <f t="shared" si="4"/>
        <v>11</v>
      </c>
      <c r="E32" s="34">
        <f t="shared" si="2"/>
        <v>12</v>
      </c>
      <c r="F32" s="34">
        <f t="shared" si="3"/>
        <v>0</v>
      </c>
      <c r="G32" s="34">
        <f t="shared" si="0"/>
        <v>55</v>
      </c>
      <c r="H32" s="34">
        <f t="shared" si="0"/>
        <v>60</v>
      </c>
      <c r="M32" s="9"/>
      <c r="N32" s="9"/>
    </row>
    <row r="33" spans="1:14">
      <c r="A33" s="738">
        <v>44621</v>
      </c>
      <c r="B33" s="34">
        <f t="shared" si="1"/>
        <v>120</v>
      </c>
      <c r="C33" s="34">
        <v>0</v>
      </c>
      <c r="D33" s="34">
        <f t="shared" si="4"/>
        <v>10</v>
      </c>
      <c r="E33" s="34">
        <f t="shared" si="2"/>
        <v>12</v>
      </c>
      <c r="F33" s="34">
        <f t="shared" si="3"/>
        <v>0</v>
      </c>
      <c r="G33" s="34">
        <f t="shared" si="0"/>
        <v>50</v>
      </c>
      <c r="H33" s="34">
        <f t="shared" si="0"/>
        <v>60</v>
      </c>
      <c r="M33" s="9"/>
      <c r="N33" s="9"/>
    </row>
    <row r="34" spans="1:14">
      <c r="A34" s="738">
        <v>44652</v>
      </c>
      <c r="B34" s="34">
        <f t="shared" si="1"/>
        <v>120</v>
      </c>
      <c r="C34" s="34">
        <v>0</v>
      </c>
      <c r="D34" s="34">
        <f t="shared" si="4"/>
        <v>9</v>
      </c>
      <c r="E34" s="34">
        <f t="shared" si="2"/>
        <v>12</v>
      </c>
      <c r="F34" s="34">
        <f t="shared" si="3"/>
        <v>0</v>
      </c>
      <c r="G34" s="34">
        <f t="shared" si="0"/>
        <v>45</v>
      </c>
      <c r="H34" s="34">
        <f t="shared" si="0"/>
        <v>60</v>
      </c>
      <c r="M34" s="9"/>
      <c r="N34" s="9"/>
    </row>
    <row r="35" spans="1:14">
      <c r="A35" s="738">
        <v>44682</v>
      </c>
      <c r="B35" s="34">
        <f t="shared" si="1"/>
        <v>120</v>
      </c>
      <c r="C35" s="34">
        <v>0</v>
      </c>
      <c r="D35" s="34">
        <f t="shared" si="4"/>
        <v>8</v>
      </c>
      <c r="E35" s="34">
        <f t="shared" si="2"/>
        <v>12</v>
      </c>
      <c r="F35" s="34">
        <f t="shared" si="3"/>
        <v>0</v>
      </c>
      <c r="G35" s="34">
        <f t="shared" si="0"/>
        <v>40</v>
      </c>
      <c r="H35" s="34">
        <f t="shared" si="0"/>
        <v>60</v>
      </c>
      <c r="M35" s="9"/>
      <c r="N35" s="9"/>
    </row>
    <row r="36" spans="1:14">
      <c r="A36" s="738">
        <v>44713</v>
      </c>
      <c r="B36" s="34">
        <f t="shared" si="1"/>
        <v>120</v>
      </c>
      <c r="C36" s="34">
        <v>0</v>
      </c>
      <c r="D36" s="34">
        <f t="shared" si="4"/>
        <v>7</v>
      </c>
      <c r="E36" s="34">
        <f t="shared" si="2"/>
        <v>12</v>
      </c>
      <c r="F36" s="34">
        <f t="shared" si="3"/>
        <v>0</v>
      </c>
      <c r="G36" s="34">
        <f t="shared" si="0"/>
        <v>35</v>
      </c>
      <c r="H36" s="34">
        <f t="shared" si="0"/>
        <v>60</v>
      </c>
      <c r="M36" s="9"/>
      <c r="N36" s="9"/>
    </row>
    <row r="37" spans="1:14">
      <c r="A37" s="738">
        <v>44743</v>
      </c>
      <c r="B37" s="34">
        <f t="shared" si="1"/>
        <v>120</v>
      </c>
      <c r="C37" s="34">
        <v>0</v>
      </c>
      <c r="D37" s="34">
        <f t="shared" si="4"/>
        <v>6</v>
      </c>
      <c r="E37" s="34">
        <f t="shared" si="2"/>
        <v>12</v>
      </c>
      <c r="F37" s="34">
        <f t="shared" si="3"/>
        <v>0</v>
      </c>
      <c r="G37" s="34">
        <f t="shared" si="0"/>
        <v>30</v>
      </c>
      <c r="H37" s="34">
        <f t="shared" si="0"/>
        <v>60</v>
      </c>
      <c r="M37" s="9"/>
      <c r="N37" s="9"/>
    </row>
    <row r="38" spans="1:14">
      <c r="A38" s="738">
        <v>44774</v>
      </c>
      <c r="B38" s="34">
        <f t="shared" si="1"/>
        <v>120</v>
      </c>
      <c r="C38" s="34">
        <v>0</v>
      </c>
      <c r="D38" s="34">
        <f t="shared" si="4"/>
        <v>5</v>
      </c>
      <c r="E38" s="34">
        <f t="shared" si="2"/>
        <v>12</v>
      </c>
      <c r="F38" s="34">
        <f t="shared" si="3"/>
        <v>0</v>
      </c>
      <c r="G38" s="34">
        <f t="shared" si="0"/>
        <v>25</v>
      </c>
      <c r="H38" s="34">
        <f t="shared" si="0"/>
        <v>60</v>
      </c>
      <c r="M38" s="9"/>
      <c r="N38" s="9"/>
    </row>
    <row r="39" spans="1:14">
      <c r="A39" s="738">
        <v>44805</v>
      </c>
      <c r="B39" s="34">
        <f t="shared" si="1"/>
        <v>120</v>
      </c>
      <c r="C39" s="34">
        <v>0</v>
      </c>
      <c r="D39" s="34">
        <f t="shared" si="4"/>
        <v>4</v>
      </c>
      <c r="E39" s="34">
        <f t="shared" si="2"/>
        <v>12</v>
      </c>
      <c r="F39" s="34">
        <f t="shared" si="3"/>
        <v>0</v>
      </c>
      <c r="G39" s="34">
        <f t="shared" si="0"/>
        <v>20</v>
      </c>
      <c r="H39" s="34">
        <f t="shared" si="0"/>
        <v>60</v>
      </c>
      <c r="M39" s="9"/>
      <c r="N39" s="9"/>
    </row>
    <row r="40" spans="1:14">
      <c r="A40" s="738">
        <v>44835</v>
      </c>
      <c r="B40" s="34">
        <f t="shared" si="1"/>
        <v>120</v>
      </c>
      <c r="C40" s="34">
        <v>0</v>
      </c>
      <c r="D40" s="34">
        <f t="shared" ref="D40:D42" si="5">D39-1</f>
        <v>3</v>
      </c>
      <c r="E40" s="34">
        <f t="shared" si="2"/>
        <v>12</v>
      </c>
      <c r="F40" s="34">
        <f t="shared" si="3"/>
        <v>0</v>
      </c>
      <c r="G40" s="34">
        <f t="shared" si="0"/>
        <v>15</v>
      </c>
      <c r="H40" s="34">
        <f t="shared" si="0"/>
        <v>60</v>
      </c>
      <c r="M40" s="9"/>
      <c r="N40" s="9"/>
    </row>
    <row r="41" spans="1:14">
      <c r="A41" s="738">
        <v>44866</v>
      </c>
      <c r="B41" s="34">
        <f t="shared" si="1"/>
        <v>120</v>
      </c>
      <c r="C41" s="34">
        <v>0</v>
      </c>
      <c r="D41" s="34">
        <f t="shared" si="5"/>
        <v>2</v>
      </c>
      <c r="E41" s="34">
        <f t="shared" si="2"/>
        <v>12</v>
      </c>
      <c r="F41" s="34">
        <f t="shared" si="3"/>
        <v>0</v>
      </c>
      <c r="G41" s="34">
        <f t="shared" si="0"/>
        <v>10</v>
      </c>
      <c r="H41" s="34">
        <f t="shared" si="0"/>
        <v>60</v>
      </c>
      <c r="M41" s="9"/>
      <c r="N41" s="9"/>
    </row>
    <row r="42" spans="1:14">
      <c r="A42" s="738">
        <v>44896</v>
      </c>
      <c r="B42" s="34">
        <f t="shared" si="1"/>
        <v>120</v>
      </c>
      <c r="C42" s="34">
        <v>0</v>
      </c>
      <c r="D42" s="34">
        <f t="shared" si="5"/>
        <v>1</v>
      </c>
      <c r="E42" s="34">
        <f t="shared" si="2"/>
        <v>12</v>
      </c>
      <c r="F42" s="34">
        <f t="shared" si="3"/>
        <v>0</v>
      </c>
      <c r="G42" s="34">
        <f t="shared" si="0"/>
        <v>5</v>
      </c>
      <c r="H42" s="34">
        <f t="shared" si="0"/>
        <v>60</v>
      </c>
      <c r="M42" s="9"/>
      <c r="N42" s="9"/>
    </row>
    <row r="43" spans="1:14">
      <c r="A43" s="738">
        <v>44927</v>
      </c>
      <c r="B43" s="34">
        <f t="shared" si="1"/>
        <v>120</v>
      </c>
      <c r="C43" s="34">
        <v>0</v>
      </c>
      <c r="D43" s="34">
        <v>0</v>
      </c>
      <c r="E43" s="34">
        <f t="shared" si="2"/>
        <v>12</v>
      </c>
      <c r="F43" s="34">
        <f t="shared" si="3"/>
        <v>0</v>
      </c>
      <c r="G43" s="34">
        <f t="shared" si="0"/>
        <v>0</v>
      </c>
      <c r="H43" s="34">
        <f t="shared" si="0"/>
        <v>60</v>
      </c>
      <c r="M43" s="9"/>
      <c r="N43" s="9"/>
    </row>
    <row r="44" spans="1:14">
      <c r="A44" s="738">
        <v>44958</v>
      </c>
      <c r="B44" s="34">
        <f t="shared" si="1"/>
        <v>120</v>
      </c>
      <c r="C44" s="34">
        <v>0</v>
      </c>
      <c r="D44" s="34">
        <v>0</v>
      </c>
      <c r="E44" s="34">
        <f>E43-1</f>
        <v>11</v>
      </c>
      <c r="F44" s="34">
        <f t="shared" si="3"/>
        <v>0</v>
      </c>
      <c r="G44" s="34">
        <f t="shared" si="0"/>
        <v>0</v>
      </c>
      <c r="H44" s="34">
        <f t="shared" si="0"/>
        <v>55</v>
      </c>
      <c r="M44" s="9"/>
      <c r="N44" s="9"/>
    </row>
    <row r="45" spans="1:14">
      <c r="A45" s="738">
        <v>44986</v>
      </c>
      <c r="B45" s="34">
        <f t="shared" si="1"/>
        <v>120</v>
      </c>
      <c r="C45" s="34">
        <v>0</v>
      </c>
      <c r="D45" s="34">
        <v>0</v>
      </c>
      <c r="E45" s="34">
        <f t="shared" ref="E45:E54" si="6">E44-1</f>
        <v>10</v>
      </c>
      <c r="F45" s="34">
        <f t="shared" si="3"/>
        <v>0</v>
      </c>
      <c r="G45" s="34">
        <f t="shared" si="0"/>
        <v>0</v>
      </c>
      <c r="H45" s="34">
        <f t="shared" si="0"/>
        <v>50</v>
      </c>
      <c r="M45" s="9"/>
      <c r="N45" s="9"/>
    </row>
    <row r="46" spans="1:14">
      <c r="A46" s="738">
        <v>45017</v>
      </c>
      <c r="B46" s="34">
        <f t="shared" si="1"/>
        <v>120</v>
      </c>
      <c r="C46" s="34">
        <v>0</v>
      </c>
      <c r="D46" s="34">
        <v>0</v>
      </c>
      <c r="E46" s="34">
        <f t="shared" si="6"/>
        <v>9</v>
      </c>
      <c r="F46" s="34">
        <f t="shared" si="3"/>
        <v>0</v>
      </c>
      <c r="G46" s="34">
        <f t="shared" si="0"/>
        <v>0</v>
      </c>
      <c r="H46" s="34">
        <f t="shared" si="0"/>
        <v>45</v>
      </c>
      <c r="M46" s="9"/>
      <c r="N46" s="9"/>
    </row>
    <row r="47" spans="1:14">
      <c r="A47" s="738">
        <v>45047</v>
      </c>
      <c r="B47" s="34">
        <f t="shared" si="1"/>
        <v>120</v>
      </c>
      <c r="C47" s="34">
        <v>0</v>
      </c>
      <c r="D47" s="34">
        <v>0</v>
      </c>
      <c r="E47" s="34">
        <f t="shared" si="6"/>
        <v>8</v>
      </c>
      <c r="F47" s="34">
        <f t="shared" si="3"/>
        <v>0</v>
      </c>
      <c r="G47" s="34">
        <f t="shared" si="0"/>
        <v>0</v>
      </c>
      <c r="H47" s="34">
        <f t="shared" si="0"/>
        <v>40</v>
      </c>
      <c r="M47" s="9"/>
      <c r="N47" s="9"/>
    </row>
    <row r="48" spans="1:14">
      <c r="A48" s="738">
        <v>45078</v>
      </c>
      <c r="B48" s="34">
        <f t="shared" si="1"/>
        <v>120</v>
      </c>
      <c r="C48" s="34">
        <v>0</v>
      </c>
      <c r="D48" s="34">
        <v>0</v>
      </c>
      <c r="E48" s="34">
        <f t="shared" si="6"/>
        <v>7</v>
      </c>
      <c r="F48" s="34">
        <f t="shared" si="3"/>
        <v>0</v>
      </c>
      <c r="G48" s="34">
        <f t="shared" si="0"/>
        <v>0</v>
      </c>
      <c r="H48" s="34">
        <f t="shared" si="0"/>
        <v>35</v>
      </c>
      <c r="M48" s="9"/>
      <c r="N48" s="9"/>
    </row>
    <row r="49" spans="1:14">
      <c r="A49" s="738">
        <v>45108</v>
      </c>
      <c r="B49" s="34">
        <f t="shared" si="1"/>
        <v>120</v>
      </c>
      <c r="C49" s="34">
        <v>0</v>
      </c>
      <c r="D49" s="34">
        <v>0</v>
      </c>
      <c r="E49" s="34">
        <f t="shared" si="6"/>
        <v>6</v>
      </c>
      <c r="F49" s="34">
        <f t="shared" si="3"/>
        <v>0</v>
      </c>
      <c r="G49" s="34">
        <f t="shared" si="0"/>
        <v>0</v>
      </c>
      <c r="H49" s="34">
        <f t="shared" si="0"/>
        <v>30</v>
      </c>
      <c r="M49" s="9"/>
      <c r="N49" s="9"/>
    </row>
    <row r="50" spans="1:14">
      <c r="A50" s="738">
        <v>45139</v>
      </c>
      <c r="B50" s="34">
        <f t="shared" si="1"/>
        <v>120</v>
      </c>
      <c r="C50" s="34">
        <v>0</v>
      </c>
      <c r="D50" s="34">
        <v>0</v>
      </c>
      <c r="E50" s="34">
        <f t="shared" si="6"/>
        <v>5</v>
      </c>
      <c r="F50" s="34">
        <f t="shared" si="3"/>
        <v>0</v>
      </c>
      <c r="G50" s="34">
        <f t="shared" si="0"/>
        <v>0</v>
      </c>
      <c r="H50" s="34">
        <f t="shared" si="0"/>
        <v>25</v>
      </c>
      <c r="M50" s="9"/>
      <c r="N50" s="9"/>
    </row>
    <row r="51" spans="1:14">
      <c r="A51" s="738">
        <v>45170</v>
      </c>
      <c r="B51" s="34">
        <f t="shared" si="1"/>
        <v>120</v>
      </c>
      <c r="C51" s="34">
        <v>0</v>
      </c>
      <c r="D51" s="34">
        <v>0</v>
      </c>
      <c r="E51" s="34">
        <f t="shared" si="6"/>
        <v>4</v>
      </c>
      <c r="F51" s="34">
        <f t="shared" si="3"/>
        <v>0</v>
      </c>
      <c r="G51" s="34">
        <f t="shared" si="0"/>
        <v>0</v>
      </c>
      <c r="H51" s="34">
        <f t="shared" si="0"/>
        <v>20</v>
      </c>
      <c r="M51" s="9"/>
      <c r="N51" s="9"/>
    </row>
    <row r="52" spans="1:14">
      <c r="A52" s="738">
        <v>45200</v>
      </c>
      <c r="B52" s="34">
        <f t="shared" si="1"/>
        <v>120</v>
      </c>
      <c r="C52" s="34">
        <v>0</v>
      </c>
      <c r="D52" s="34">
        <v>0</v>
      </c>
      <c r="E52" s="34">
        <f t="shared" si="6"/>
        <v>3</v>
      </c>
      <c r="F52" s="34">
        <f t="shared" si="3"/>
        <v>0</v>
      </c>
      <c r="G52" s="34">
        <f t="shared" si="0"/>
        <v>0</v>
      </c>
      <c r="H52" s="34">
        <f t="shared" si="0"/>
        <v>15</v>
      </c>
      <c r="M52" s="9"/>
      <c r="N52" s="9"/>
    </row>
    <row r="53" spans="1:14">
      <c r="A53" s="738">
        <v>45231</v>
      </c>
      <c r="B53" s="34">
        <f t="shared" si="1"/>
        <v>120</v>
      </c>
      <c r="C53" s="34">
        <v>0</v>
      </c>
      <c r="D53" s="34">
        <v>0</v>
      </c>
      <c r="E53" s="34">
        <f t="shared" si="6"/>
        <v>2</v>
      </c>
      <c r="F53" s="34">
        <f t="shared" si="3"/>
        <v>0</v>
      </c>
      <c r="G53" s="34">
        <f t="shared" si="0"/>
        <v>0</v>
      </c>
      <c r="H53" s="34">
        <f t="shared" si="0"/>
        <v>10</v>
      </c>
      <c r="M53" s="9"/>
      <c r="N53" s="9"/>
    </row>
    <row r="54" spans="1:14">
      <c r="A54" s="738">
        <v>45261</v>
      </c>
      <c r="B54" s="34">
        <f t="shared" si="1"/>
        <v>120</v>
      </c>
      <c r="C54" s="34">
        <v>0</v>
      </c>
      <c r="D54" s="34">
        <v>0</v>
      </c>
      <c r="E54" s="34">
        <f t="shared" si="6"/>
        <v>1</v>
      </c>
      <c r="F54" s="34">
        <f t="shared" si="3"/>
        <v>0</v>
      </c>
      <c r="G54" s="34">
        <f t="shared" si="0"/>
        <v>0</v>
      </c>
      <c r="H54" s="34">
        <f t="shared" si="0"/>
        <v>5</v>
      </c>
      <c r="M54" s="9"/>
      <c r="N54" s="9"/>
    </row>
    <row r="55" spans="1:14">
      <c r="A55" s="738">
        <v>45292</v>
      </c>
      <c r="B55" s="34">
        <f t="shared" si="1"/>
        <v>120</v>
      </c>
      <c r="C55" s="34">
        <v>0</v>
      </c>
      <c r="D55" s="34">
        <v>0</v>
      </c>
      <c r="E55" s="34">
        <v>0</v>
      </c>
      <c r="F55" s="34">
        <f t="shared" si="3"/>
        <v>0</v>
      </c>
      <c r="G55" s="34">
        <f t="shared" si="0"/>
        <v>0</v>
      </c>
      <c r="H55" s="34">
        <f t="shared" si="0"/>
        <v>0</v>
      </c>
      <c r="M55" s="9"/>
      <c r="N55" s="9"/>
    </row>
    <row r="56" spans="1:14">
      <c r="A56" s="738">
        <v>45323</v>
      </c>
      <c r="B56" s="34">
        <f t="shared" si="1"/>
        <v>120</v>
      </c>
      <c r="C56" s="34">
        <v>0</v>
      </c>
      <c r="D56" s="34">
        <v>0</v>
      </c>
      <c r="E56" s="34">
        <v>0</v>
      </c>
      <c r="F56" s="34">
        <f t="shared" si="3"/>
        <v>0</v>
      </c>
      <c r="G56" s="34">
        <f t="shared" si="0"/>
        <v>0</v>
      </c>
      <c r="H56" s="34">
        <f t="shared" si="0"/>
        <v>0</v>
      </c>
      <c r="M56" s="9"/>
      <c r="N56" s="9"/>
    </row>
    <row r="57" spans="1:14">
      <c r="A57" s="501">
        <v>45352</v>
      </c>
      <c r="B57" s="35">
        <f t="shared" si="1"/>
        <v>120</v>
      </c>
      <c r="C57" s="35">
        <v>0</v>
      </c>
      <c r="D57" s="35">
        <v>0</v>
      </c>
      <c r="E57" s="35">
        <v>0</v>
      </c>
      <c r="F57" s="35">
        <f t="shared" si="3"/>
        <v>0</v>
      </c>
      <c r="G57" s="35">
        <f t="shared" si="0"/>
        <v>0</v>
      </c>
      <c r="H57" s="35">
        <f t="shared" si="0"/>
        <v>0</v>
      </c>
      <c r="M57" s="9"/>
      <c r="N57" s="9"/>
    </row>
    <row r="58" spans="1:14">
      <c r="A58" s="739" t="s">
        <v>132</v>
      </c>
      <c r="C58" s="34"/>
      <c r="D58" s="34"/>
      <c r="E58" s="34"/>
      <c r="F58" s="83">
        <f>SUM(F22:F57)</f>
        <v>225</v>
      </c>
      <c r="G58" s="83">
        <f>SUM(G22:G57)</f>
        <v>930</v>
      </c>
      <c r="H58" s="83">
        <f>SUM(H22:H57)</f>
        <v>1425</v>
      </c>
      <c r="M58" s="9"/>
      <c r="N58" s="9"/>
    </row>
    <row r="60" spans="1:14">
      <c r="A60" s="17" t="s">
        <v>133</v>
      </c>
      <c r="B60" s="1" t="s">
        <v>2665</v>
      </c>
      <c r="C60" s="1"/>
      <c r="D60" s="1"/>
      <c r="E60" s="1"/>
      <c r="F60" s="1"/>
      <c r="G60" s="1"/>
      <c r="H60" s="1"/>
      <c r="I60" s="1"/>
      <c r="J60" s="1"/>
      <c r="K60" s="1"/>
      <c r="L60" s="1"/>
    </row>
    <row r="61" spans="1:14">
      <c r="A61" s="3"/>
      <c r="B61" s="3"/>
      <c r="C61" s="3"/>
      <c r="D61" s="3"/>
      <c r="E61" s="3"/>
      <c r="F61" s="3"/>
      <c r="G61" s="3"/>
      <c r="H61" s="3"/>
      <c r="I61" s="3"/>
      <c r="J61" s="3"/>
      <c r="K61" s="3"/>
      <c r="L61" s="3"/>
    </row>
    <row r="62" spans="1:14">
      <c r="A62" s="3" t="s">
        <v>20</v>
      </c>
      <c r="B62" s="3"/>
      <c r="C62" s="3"/>
      <c r="D62" s="3"/>
      <c r="E62" s="3"/>
      <c r="F62" s="3"/>
      <c r="G62" s="3"/>
      <c r="H62" s="3"/>
      <c r="I62" s="3"/>
      <c r="J62" s="3"/>
      <c r="K62" s="3"/>
      <c r="L62" s="3"/>
    </row>
    <row r="63" spans="1:14">
      <c r="A63" s="714"/>
      <c r="B63" s="3"/>
      <c r="C63" s="740">
        <v>44561</v>
      </c>
      <c r="D63" s="740">
        <f>DATE(1+YEAR(C63),12,31)</f>
        <v>44926</v>
      </c>
      <c r="E63" s="740">
        <f>DATE(1+YEAR(D63),12,31)</f>
        <v>45291</v>
      </c>
      <c r="F63" s="3"/>
      <c r="G63" s="3"/>
      <c r="H63" s="3"/>
      <c r="I63" s="3"/>
      <c r="J63" s="3"/>
      <c r="K63" s="3"/>
      <c r="L63" s="3"/>
    </row>
    <row r="64" spans="1:14">
      <c r="A64" s="714" t="s">
        <v>2666</v>
      </c>
      <c r="B64" s="3"/>
      <c r="C64" s="106">
        <f>F58</f>
        <v>225</v>
      </c>
      <c r="D64" s="106">
        <f t="shared" ref="D64:E64" si="7">G58</f>
        <v>930</v>
      </c>
      <c r="E64" s="106">
        <f t="shared" si="7"/>
        <v>1425</v>
      </c>
      <c r="F64" s="3"/>
      <c r="G64" s="3"/>
      <c r="H64" s="3"/>
      <c r="I64" s="3"/>
      <c r="J64" s="3"/>
      <c r="K64" s="3"/>
      <c r="L64" s="3"/>
    </row>
    <row r="65" spans="1:12">
      <c r="A65" s="714" t="s">
        <v>2667</v>
      </c>
      <c r="B65" s="3"/>
      <c r="C65" s="110">
        <f>9*$D$6</f>
        <v>1080</v>
      </c>
      <c r="D65" s="110">
        <f>12*$D$6</f>
        <v>1440</v>
      </c>
      <c r="E65" s="110">
        <f>D65</f>
        <v>1440</v>
      </c>
      <c r="F65" s="3"/>
      <c r="G65" s="3"/>
      <c r="H65" s="3"/>
      <c r="I65" s="3"/>
      <c r="J65" s="3"/>
      <c r="K65" s="3"/>
      <c r="L65" s="3"/>
    </row>
    <row r="66" spans="1:12">
      <c r="A66" s="714" t="s">
        <v>2668</v>
      </c>
      <c r="B66" s="3"/>
      <c r="C66" s="106">
        <f>C65-C64</f>
        <v>855</v>
      </c>
      <c r="D66" s="106">
        <f>D65-D64+C66</f>
        <v>1365</v>
      </c>
      <c r="E66" s="106">
        <f>E65-E64+D66</f>
        <v>1380</v>
      </c>
      <c r="F66" s="3"/>
      <c r="G66" s="3"/>
      <c r="H66" s="3"/>
      <c r="I66" s="3"/>
      <c r="J66" s="3"/>
      <c r="K66" s="3"/>
      <c r="L66" s="3"/>
    </row>
    <row r="68" spans="1:12">
      <c r="A68" s="17" t="s">
        <v>18</v>
      </c>
      <c r="B68" s="1" t="s">
        <v>2669</v>
      </c>
      <c r="C68" s="1"/>
      <c r="D68" s="1"/>
      <c r="E68" s="1"/>
      <c r="F68" s="1"/>
      <c r="G68" s="1"/>
      <c r="H68" s="1"/>
      <c r="I68" s="1"/>
      <c r="J68" s="1"/>
      <c r="K68" s="1"/>
      <c r="L68" s="1"/>
    </row>
    <row r="69" spans="1:12">
      <c r="A69" s="3"/>
      <c r="B69" s="3"/>
      <c r="C69" s="3"/>
      <c r="D69" s="3"/>
      <c r="E69" s="3"/>
      <c r="F69" s="3"/>
      <c r="G69" s="3"/>
      <c r="H69" s="3"/>
      <c r="I69" s="3"/>
      <c r="J69" s="3"/>
      <c r="K69" s="3"/>
      <c r="L69" s="3"/>
    </row>
    <row r="70" spans="1:12">
      <c r="A70" s="3" t="s">
        <v>20</v>
      </c>
      <c r="B70" s="3"/>
      <c r="C70" s="3"/>
      <c r="D70" s="3"/>
      <c r="E70" s="3"/>
      <c r="F70" s="3"/>
      <c r="G70" s="3"/>
      <c r="H70" s="3"/>
      <c r="I70" s="3"/>
      <c r="J70" s="3"/>
      <c r="K70" s="3"/>
      <c r="L70" s="3"/>
    </row>
    <row r="71" spans="1:12">
      <c r="A71" s="3"/>
      <c r="B71" s="3"/>
      <c r="C71" s="3"/>
      <c r="D71" s="3"/>
      <c r="E71" s="3"/>
      <c r="F71" s="3"/>
    </row>
    <row r="72" spans="1:12">
      <c r="A72" s="3" t="s">
        <v>2670</v>
      </c>
      <c r="B72" s="3"/>
      <c r="C72" s="3"/>
      <c r="D72" s="3"/>
      <c r="E72" s="3"/>
      <c r="F72" s="3"/>
    </row>
    <row r="73" spans="1:12">
      <c r="A73" s="3"/>
      <c r="B73" s="3"/>
      <c r="C73" s="3"/>
      <c r="D73" s="3"/>
      <c r="E73" s="3"/>
      <c r="F73" s="3"/>
    </row>
    <row r="74" spans="1:12">
      <c r="A74" s="3" t="s">
        <v>2671</v>
      </c>
      <c r="B74" s="3"/>
      <c r="C74" s="12">
        <f>24*$D$6</f>
        <v>2880</v>
      </c>
      <c r="D74" s="3"/>
      <c r="F74" s="3"/>
    </row>
    <row r="75" spans="1:12">
      <c r="A75" s="3"/>
      <c r="B75" s="3"/>
      <c r="C75" s="3"/>
      <c r="D75" s="3"/>
      <c r="E75" s="12"/>
      <c r="F75" s="3"/>
    </row>
    <row r="76" spans="1:12">
      <c r="A76" s="14"/>
      <c r="B76" s="14"/>
      <c r="C76" s="14"/>
      <c r="D76" s="14"/>
      <c r="E76" s="14"/>
      <c r="F76" s="14"/>
      <c r="G76" s="1"/>
      <c r="H76" s="1"/>
      <c r="I76" s="1"/>
      <c r="J76" s="1"/>
      <c r="K76" s="1"/>
      <c r="L76" s="1"/>
    </row>
    <row r="77" spans="1:12">
      <c r="A77" s="831" t="s">
        <v>2672</v>
      </c>
      <c r="B77" s="831"/>
      <c r="C77" s="831"/>
      <c r="D77" s="831"/>
      <c r="E77" s="831"/>
      <c r="F77" s="831"/>
      <c r="G77" s="831"/>
      <c r="H77" s="831"/>
      <c r="I77" s="831"/>
      <c r="J77" s="831"/>
      <c r="K77" s="831"/>
      <c r="L77" s="1"/>
    </row>
    <row r="78" spans="1:12">
      <c r="A78" s="831"/>
      <c r="B78" s="831"/>
      <c r="C78" s="831"/>
      <c r="D78" s="831"/>
      <c r="E78" s="831"/>
      <c r="F78" s="831"/>
      <c r="G78" s="831"/>
      <c r="H78" s="831"/>
      <c r="I78" s="831"/>
      <c r="J78" s="831"/>
      <c r="K78" s="831"/>
      <c r="L78" s="1"/>
    </row>
    <row r="80" spans="1:12">
      <c r="A80" s="17" t="s">
        <v>25</v>
      </c>
      <c r="B80" s="1" t="s">
        <v>2673</v>
      </c>
      <c r="C80" s="1"/>
      <c r="D80" s="1"/>
      <c r="E80" s="1"/>
      <c r="F80" s="1"/>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c r="A83" s="3"/>
      <c r="B83" s="3"/>
      <c r="C83" s="3"/>
      <c r="D83" s="3"/>
      <c r="E83" s="3"/>
      <c r="F83" s="3"/>
      <c r="G83" s="3"/>
      <c r="H83" s="3"/>
      <c r="I83" s="3"/>
      <c r="J83" s="3"/>
      <c r="K83" s="3"/>
      <c r="L83" s="3"/>
    </row>
    <row r="84" spans="1:12">
      <c r="A84" s="2" t="s">
        <v>2187</v>
      </c>
    </row>
    <row r="85" spans="1:12">
      <c r="A85" s="60" t="s">
        <v>2674</v>
      </c>
    </row>
    <row r="86" spans="1:12">
      <c r="A86" s="60" t="s">
        <v>2675</v>
      </c>
    </row>
    <row r="88" spans="1:12">
      <c r="A88" s="14"/>
      <c r="B88" s="14"/>
      <c r="C88" s="14"/>
      <c r="D88" s="14"/>
      <c r="E88" s="14"/>
      <c r="F88" s="14"/>
      <c r="G88" s="1"/>
      <c r="H88" s="1"/>
      <c r="I88" s="1"/>
      <c r="J88" s="1"/>
      <c r="K88" s="1"/>
      <c r="L88" s="1"/>
    </row>
    <row r="89" spans="1:12">
      <c r="A89" s="1" t="s">
        <v>2676</v>
      </c>
      <c r="B89" s="14"/>
      <c r="C89" s="14"/>
      <c r="D89" s="14"/>
      <c r="E89" s="14"/>
      <c r="F89" s="14"/>
      <c r="G89" s="1"/>
      <c r="H89" s="1"/>
      <c r="I89" s="1"/>
      <c r="J89" s="1"/>
      <c r="K89" s="1"/>
      <c r="L89" s="1"/>
    </row>
    <row r="90" spans="1:12">
      <c r="A90" s="14"/>
      <c r="B90" s="14"/>
      <c r="C90" s="14"/>
      <c r="D90" s="14"/>
      <c r="E90" s="14"/>
      <c r="F90" s="14"/>
      <c r="G90" s="1"/>
      <c r="H90" s="1"/>
      <c r="I90" s="1"/>
      <c r="J90" s="1"/>
      <c r="K90" s="1"/>
      <c r="L90" s="1"/>
    </row>
    <row r="91" spans="1:12">
      <c r="A91" s="14"/>
      <c r="B91" s="23" t="s">
        <v>53</v>
      </c>
      <c r="C91" s="813" t="s">
        <v>2677</v>
      </c>
      <c r="D91" s="829"/>
      <c r="E91" s="829"/>
      <c r="F91" s="14"/>
      <c r="G91" s="1"/>
      <c r="H91" s="1"/>
      <c r="I91" s="1"/>
      <c r="J91" s="1"/>
      <c r="K91" s="1"/>
      <c r="L91" s="1"/>
    </row>
    <row r="92" spans="1:12">
      <c r="A92" s="14"/>
      <c r="B92" s="24" t="s">
        <v>55</v>
      </c>
      <c r="C92" s="39">
        <v>12</v>
      </c>
      <c r="D92" s="5">
        <v>24</v>
      </c>
      <c r="E92" s="5">
        <v>36</v>
      </c>
      <c r="F92" s="14"/>
      <c r="G92" s="1"/>
      <c r="H92" s="1"/>
      <c r="I92" s="1"/>
      <c r="J92" s="1"/>
      <c r="K92" s="1"/>
      <c r="L92" s="1"/>
    </row>
    <row r="93" spans="1:12">
      <c r="A93" s="14"/>
      <c r="B93" s="25">
        <v>2021</v>
      </c>
      <c r="C93" s="6">
        <v>68</v>
      </c>
      <c r="D93" s="6">
        <v>108</v>
      </c>
      <c r="E93" s="6">
        <v>135</v>
      </c>
      <c r="F93" s="14"/>
      <c r="G93" s="1"/>
      <c r="H93" s="1"/>
      <c r="I93" s="1"/>
      <c r="J93" s="1"/>
      <c r="K93" s="1"/>
      <c r="L93" s="1"/>
    </row>
    <row r="94" spans="1:12">
      <c r="A94" s="14"/>
      <c r="B94" s="6">
        <v>2022</v>
      </c>
      <c r="C94" s="6">
        <v>279</v>
      </c>
      <c r="D94" s="6">
        <v>446</v>
      </c>
      <c r="E94" s="6"/>
      <c r="F94" s="14"/>
      <c r="G94" s="1"/>
      <c r="H94" s="1"/>
      <c r="I94" s="1"/>
      <c r="J94" s="1"/>
      <c r="K94" s="1"/>
      <c r="L94" s="1"/>
    </row>
    <row r="95" spans="1:12">
      <c r="A95" s="14"/>
      <c r="B95" s="6">
        <v>2023</v>
      </c>
      <c r="C95" s="6">
        <v>428</v>
      </c>
      <c r="D95" s="6"/>
      <c r="E95" s="6"/>
      <c r="F95" s="14"/>
      <c r="G95" s="1"/>
      <c r="H95" s="1"/>
      <c r="I95" s="1"/>
      <c r="J95" s="1"/>
      <c r="K95" s="1"/>
      <c r="L95" s="1"/>
    </row>
    <row r="97" spans="1:12">
      <c r="A97" s="17" t="s">
        <v>147</v>
      </c>
      <c r="B97" s="1" t="s">
        <v>2678</v>
      </c>
      <c r="C97" s="1"/>
      <c r="D97" s="1"/>
      <c r="E97" s="1"/>
      <c r="F97" s="1"/>
      <c r="G97" s="1"/>
      <c r="H97" s="1"/>
      <c r="I97" s="1"/>
      <c r="J97" s="1"/>
      <c r="K97" s="1"/>
      <c r="L97" s="1"/>
    </row>
    <row r="98" spans="1:12">
      <c r="A98" s="3"/>
      <c r="B98" s="3"/>
      <c r="C98" s="3"/>
      <c r="D98" s="3"/>
      <c r="E98" s="3"/>
      <c r="F98" s="3"/>
      <c r="G98" s="3"/>
      <c r="H98" s="3"/>
      <c r="I98" s="3"/>
      <c r="J98" s="3"/>
      <c r="K98" s="3"/>
      <c r="L98" s="3"/>
    </row>
    <row r="99" spans="1:12">
      <c r="A99" s="3" t="s">
        <v>20</v>
      </c>
      <c r="B99" s="3"/>
      <c r="C99" s="3"/>
      <c r="D99" s="3"/>
      <c r="E99" s="3"/>
      <c r="F99" s="3"/>
      <c r="G99" s="3"/>
      <c r="H99" s="3"/>
      <c r="I99" s="3"/>
      <c r="J99" s="3"/>
      <c r="K99" s="3"/>
      <c r="L99" s="3"/>
    </row>
    <row r="100" spans="1:12">
      <c r="A100" s="3" t="s">
        <v>2679</v>
      </c>
      <c r="B100" s="3"/>
      <c r="C100" s="3">
        <f>D93+C94-C93</f>
        <v>319</v>
      </c>
      <c r="D100" s="3"/>
      <c r="F100" s="3"/>
      <c r="G100" s="3"/>
      <c r="H100" s="3"/>
      <c r="I100" s="3"/>
      <c r="J100" s="3"/>
      <c r="K100" s="3"/>
      <c r="L100" s="3"/>
    </row>
    <row r="101" spans="1:12">
      <c r="A101" s="3" t="s">
        <v>2680</v>
      </c>
      <c r="B101" s="3"/>
      <c r="C101" s="3">
        <f>E93+D94+C95-D93-C94</f>
        <v>622</v>
      </c>
      <c r="D101" s="3"/>
      <c r="F101" s="3"/>
      <c r="G101" s="3"/>
      <c r="H101" s="3"/>
      <c r="I101" s="3"/>
      <c r="J101" s="3"/>
      <c r="K101" s="3"/>
      <c r="L101" s="3"/>
    </row>
    <row r="102" spans="1:12">
      <c r="A102" s="3"/>
      <c r="B102" s="3"/>
      <c r="C102" s="3"/>
      <c r="D102" s="3"/>
      <c r="F102" s="3"/>
      <c r="G102" s="3"/>
      <c r="H102" s="3"/>
      <c r="I102" s="3"/>
      <c r="J102" s="3"/>
      <c r="K102" s="3"/>
      <c r="L102" s="3"/>
    </row>
    <row r="103" spans="1:12">
      <c r="A103" s="3" t="s">
        <v>2681</v>
      </c>
      <c r="B103" s="3"/>
      <c r="C103" s="277">
        <f>C100/G58</f>
        <v>0.34301075268817205</v>
      </c>
      <c r="D103" s="3"/>
      <c r="F103" s="3"/>
      <c r="G103" s="3"/>
      <c r="H103" s="3"/>
      <c r="I103" s="3"/>
      <c r="J103" s="3"/>
      <c r="K103" s="3"/>
      <c r="L103" s="3"/>
    </row>
    <row r="104" spans="1:12">
      <c r="A104" s="3" t="s">
        <v>2682</v>
      </c>
      <c r="B104" s="3"/>
      <c r="C104" s="277">
        <f>C101/H58</f>
        <v>0.43649122807017543</v>
      </c>
      <c r="D104" s="3"/>
      <c r="F104" s="3"/>
      <c r="G104" s="3"/>
      <c r="H104" s="3"/>
      <c r="I104" s="3"/>
      <c r="J104" s="3"/>
      <c r="K104" s="3"/>
      <c r="L104" s="3"/>
    </row>
    <row r="106" spans="1:12">
      <c r="A106" s="14"/>
      <c r="B106" s="14"/>
      <c r="C106" s="14"/>
      <c r="D106" s="14"/>
      <c r="E106" s="14"/>
      <c r="F106" s="14"/>
      <c r="G106" s="1"/>
      <c r="H106" s="1"/>
      <c r="I106" s="1"/>
      <c r="J106" s="1"/>
      <c r="K106" s="1"/>
      <c r="L106" s="1"/>
    </row>
    <row r="107" spans="1:12">
      <c r="A107" s="260" t="s">
        <v>2683</v>
      </c>
      <c r="B107" s="1"/>
      <c r="C107" s="1"/>
      <c r="D107" s="1"/>
      <c r="E107" s="1"/>
      <c r="F107" s="1"/>
      <c r="G107" s="1"/>
      <c r="H107" s="1"/>
      <c r="I107" s="1"/>
      <c r="J107" s="1"/>
      <c r="K107" s="1"/>
      <c r="L107" s="1"/>
    </row>
    <row r="108" spans="1:12">
      <c r="A108" s="1"/>
      <c r="B108" s="1"/>
      <c r="C108" s="1"/>
      <c r="D108" s="1"/>
      <c r="E108" s="1"/>
      <c r="F108" s="1"/>
      <c r="G108" s="1"/>
      <c r="H108" s="1"/>
      <c r="I108" s="1"/>
      <c r="J108" s="1"/>
      <c r="K108" s="1"/>
      <c r="L108" s="1"/>
    </row>
    <row r="109" spans="1:12">
      <c r="A109" s="1"/>
      <c r="B109" s="519" t="s">
        <v>2684</v>
      </c>
      <c r="C109" s="1"/>
      <c r="D109" s="1"/>
      <c r="E109" s="1"/>
      <c r="F109" s="1"/>
      <c r="G109" s="1"/>
      <c r="H109" s="1"/>
      <c r="I109" s="1"/>
      <c r="J109" s="1"/>
      <c r="K109" s="1"/>
      <c r="L109" s="1"/>
    </row>
    <row r="110" spans="1:12">
      <c r="A110" s="1"/>
      <c r="B110" s="519" t="s">
        <v>2685</v>
      </c>
      <c r="C110" s="1"/>
      <c r="D110" s="1"/>
      <c r="E110" s="1"/>
      <c r="F110" s="1"/>
      <c r="G110" s="1"/>
      <c r="H110" s="1"/>
      <c r="I110" s="1"/>
      <c r="J110" s="1"/>
      <c r="K110" s="1"/>
      <c r="L110" s="1"/>
    </row>
    <row r="112" spans="1:12">
      <c r="A112" s="17" t="s">
        <v>545</v>
      </c>
      <c r="B112" s="1" t="s">
        <v>2686</v>
      </c>
      <c r="C112" s="1"/>
      <c r="D112" s="1"/>
      <c r="E112" s="1"/>
      <c r="F112" s="1"/>
      <c r="G112" s="1"/>
      <c r="H112" s="1"/>
      <c r="I112" s="1"/>
      <c r="J112" s="1"/>
      <c r="K112" s="1"/>
      <c r="L112" s="1"/>
    </row>
    <row r="113" spans="1:12">
      <c r="A113" s="3"/>
      <c r="B113" s="3"/>
      <c r="C113" s="3"/>
      <c r="D113" s="3"/>
      <c r="E113" s="3"/>
      <c r="F113" s="3"/>
      <c r="G113" s="3"/>
      <c r="H113" s="3"/>
      <c r="I113" s="3"/>
      <c r="J113" s="3"/>
      <c r="K113" s="3"/>
      <c r="L113" s="3"/>
    </row>
    <row r="114" spans="1:12">
      <c r="A114" s="3" t="s">
        <v>20</v>
      </c>
      <c r="B114" s="3"/>
      <c r="C114" s="3"/>
      <c r="D114" s="3"/>
      <c r="E114" s="3"/>
      <c r="F114" s="3"/>
      <c r="G114" s="3"/>
      <c r="H114" s="3"/>
      <c r="I114" s="3"/>
      <c r="J114" s="3"/>
      <c r="K114" s="3"/>
      <c r="L114" s="3"/>
    </row>
    <row r="115" spans="1:12">
      <c r="H115" s="3"/>
      <c r="I115" s="3"/>
      <c r="J115" s="3"/>
      <c r="K115" s="3"/>
      <c r="L115" s="3"/>
    </row>
    <row r="116" spans="1:12">
      <c r="A116" s="3" t="s">
        <v>2687</v>
      </c>
      <c r="B116" s="3"/>
      <c r="C116" s="3"/>
      <c r="D116" s="125">
        <f>E93/F58</f>
        <v>0.6</v>
      </c>
      <c r="E116" s="3"/>
      <c r="G116" s="3"/>
      <c r="H116" s="3"/>
      <c r="I116" s="3"/>
      <c r="J116" s="3"/>
      <c r="K116" s="3"/>
      <c r="L116" s="3"/>
    </row>
    <row r="117" spans="1:12">
      <c r="A117" s="3"/>
      <c r="B117" s="3"/>
      <c r="C117" s="3"/>
      <c r="D117" s="3"/>
      <c r="E117" s="3"/>
      <c r="F117" s="3"/>
      <c r="G117" s="3"/>
    </row>
    <row r="118" spans="1:12" ht="31.2">
      <c r="A118" s="107" t="s">
        <v>49</v>
      </c>
      <c r="B118" s="93" t="s">
        <v>47</v>
      </c>
      <c r="C118" s="93" t="s">
        <v>131</v>
      </c>
      <c r="D118" s="107" t="s">
        <v>15</v>
      </c>
      <c r="F118" s="3"/>
      <c r="G118" s="3"/>
    </row>
    <row r="119" spans="1:12">
      <c r="A119" s="94">
        <v>2022</v>
      </c>
      <c r="B119" s="106">
        <f>G58</f>
        <v>930</v>
      </c>
      <c r="C119" s="106">
        <f>$D$116*B119</f>
        <v>558</v>
      </c>
      <c r="D119" s="106">
        <f>C119-D94</f>
        <v>112</v>
      </c>
      <c r="G119" s="3"/>
    </row>
    <row r="120" spans="1:12">
      <c r="A120" s="94">
        <f>A119</f>
        <v>2022</v>
      </c>
      <c r="B120" s="106">
        <f>H58</f>
        <v>1425</v>
      </c>
      <c r="C120" s="106">
        <f>$D$116*B120</f>
        <v>855</v>
      </c>
      <c r="D120" s="106">
        <f>C120-C95</f>
        <v>427</v>
      </c>
      <c r="G120" s="3"/>
    </row>
    <row r="121" spans="1:12">
      <c r="A121" s="3"/>
      <c r="B121" s="3"/>
      <c r="C121" s="3"/>
      <c r="D121" s="3"/>
      <c r="E121" s="3"/>
      <c r="F121" s="3"/>
      <c r="G121" s="3"/>
    </row>
    <row r="122" spans="1:12">
      <c r="A122" s="18"/>
      <c r="B122" s="18"/>
      <c r="C122" s="18"/>
      <c r="D122" s="18"/>
      <c r="E122" s="18"/>
    </row>
    <row r="123" spans="1:12">
      <c r="A123" s="18"/>
      <c r="B123" s="18"/>
      <c r="C123" s="18"/>
      <c r="D123" s="18"/>
      <c r="E123" s="18"/>
    </row>
    <row r="124" spans="1:12">
      <c r="A124" s="18"/>
      <c r="B124" s="18"/>
      <c r="C124" s="18"/>
      <c r="D124" s="18"/>
      <c r="E124" s="18"/>
    </row>
  </sheetData>
  <mergeCells count="4">
    <mergeCell ref="C20:E20"/>
    <mergeCell ref="F20:H20"/>
    <mergeCell ref="A77:K78"/>
    <mergeCell ref="C91:E91"/>
  </mergeCells>
  <hyperlinks>
    <hyperlink ref="O1" location="TOC!A1" display="Table of Contents" xr:uid="{9D4B3B1F-F5D7-410B-983B-96AFA8EAA125}"/>
  </hyperlinks>
  <pageMargins left="0.7" right="0.7" top="0.75" bottom="0.75" header="0.3" footer="0.3"/>
  <pageSetup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2301-7AA3-405B-A5A5-6682436D4561}">
  <dimension ref="A1:R74"/>
  <sheetViews>
    <sheetView zoomScaleNormal="100" workbookViewId="0"/>
  </sheetViews>
  <sheetFormatPr defaultColWidth="8.88671875" defaultRowHeight="15.6"/>
  <cols>
    <col min="1" max="1" width="12.88671875" style="2" customWidth="1"/>
    <col min="2" max="2" width="14.6640625" style="2" customWidth="1"/>
    <col min="3" max="3" width="16.88671875" style="2" customWidth="1"/>
    <col min="4" max="4" width="14.6640625" style="2" customWidth="1"/>
    <col min="5" max="5" width="23.33203125" style="2" customWidth="1"/>
    <col min="6" max="7" width="14.6640625" style="2" customWidth="1"/>
    <col min="8" max="8" width="8.88671875" style="2" customWidth="1"/>
    <col min="9" max="16384" width="8.88671875" style="2"/>
  </cols>
  <sheetData>
    <row r="1" spans="1:15" ht="17.399999999999999">
      <c r="A1" s="13" t="s">
        <v>2923</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2688</v>
      </c>
      <c r="B3" s="1"/>
      <c r="C3" s="1"/>
      <c r="D3" s="1"/>
      <c r="E3" s="1"/>
      <c r="F3" s="1"/>
      <c r="G3" s="1"/>
      <c r="H3" s="1"/>
      <c r="I3" s="1"/>
      <c r="J3" s="1"/>
      <c r="K3" s="1"/>
      <c r="L3" s="14"/>
    </row>
    <row r="4" spans="1:15">
      <c r="A4" s="43"/>
      <c r="B4" s="1"/>
      <c r="C4" s="1"/>
      <c r="D4" s="1"/>
      <c r="E4" s="1"/>
      <c r="F4" s="1"/>
      <c r="G4" s="1"/>
      <c r="H4" s="1"/>
      <c r="I4" s="1"/>
      <c r="J4" s="1"/>
      <c r="K4" s="1"/>
      <c r="L4" s="1"/>
    </row>
    <row r="5" spans="1:15" ht="46.8">
      <c r="A5" s="43"/>
      <c r="B5" s="4" t="s">
        <v>49</v>
      </c>
      <c r="C5" s="4" t="s">
        <v>4</v>
      </c>
      <c r="D5" s="4" t="s">
        <v>47</v>
      </c>
      <c r="E5" s="4" t="s">
        <v>2689</v>
      </c>
      <c r="F5" s="4" t="s">
        <v>131</v>
      </c>
      <c r="G5" s="4" t="s">
        <v>587</v>
      </c>
      <c r="H5" s="1"/>
      <c r="I5" s="1"/>
      <c r="J5" s="1"/>
      <c r="K5" s="1"/>
      <c r="L5" s="1"/>
    </row>
    <row r="6" spans="1:15">
      <c r="A6" s="43"/>
      <c r="B6" s="32">
        <v>2019</v>
      </c>
      <c r="C6" s="92">
        <v>18640</v>
      </c>
      <c r="D6" s="92">
        <v>13086213</v>
      </c>
      <c r="E6" s="92">
        <v>14390080</v>
      </c>
      <c r="F6" s="92">
        <v>8091546</v>
      </c>
      <c r="G6" s="92">
        <v>10866820</v>
      </c>
      <c r="H6" s="1"/>
      <c r="I6" s="1"/>
      <c r="J6" s="1"/>
      <c r="K6" s="1"/>
      <c r="L6" s="1"/>
    </row>
    <row r="7" spans="1:15">
      <c r="A7" s="43"/>
      <c r="B7" s="32">
        <v>2020</v>
      </c>
      <c r="C7" s="92">
        <v>18240</v>
      </c>
      <c r="D7" s="92">
        <v>13193295</v>
      </c>
      <c r="E7" s="92">
        <v>14154240</v>
      </c>
      <c r="F7" s="92">
        <v>7568826</v>
      </c>
      <c r="G7" s="92">
        <v>9735481</v>
      </c>
      <c r="H7" s="1"/>
      <c r="I7" s="1"/>
      <c r="J7" s="1"/>
      <c r="K7" s="1"/>
      <c r="L7" s="1"/>
    </row>
    <row r="8" spans="1:15">
      <c r="A8" s="43"/>
      <c r="B8" s="32">
        <v>2021</v>
      </c>
      <c r="C8" s="92">
        <v>17061</v>
      </c>
      <c r="D8" s="92">
        <v>12668001</v>
      </c>
      <c r="E8" s="92">
        <v>13341702</v>
      </c>
      <c r="F8" s="92">
        <v>7496606</v>
      </c>
      <c r="G8" s="92">
        <v>9235310</v>
      </c>
      <c r="H8" s="1"/>
      <c r="I8" s="1"/>
      <c r="J8" s="1"/>
      <c r="K8" s="1"/>
      <c r="L8" s="1"/>
    </row>
    <row r="9" spans="1:15">
      <c r="A9" s="1"/>
      <c r="B9" s="32">
        <v>2022</v>
      </c>
      <c r="C9" s="92">
        <v>17992</v>
      </c>
      <c r="D9" s="92">
        <v>13202396</v>
      </c>
      <c r="E9" s="92">
        <v>13835848</v>
      </c>
      <c r="F9" s="92">
        <v>8275177</v>
      </c>
      <c r="G9" s="92">
        <v>9763870</v>
      </c>
      <c r="H9" s="1"/>
      <c r="I9" s="1"/>
      <c r="J9" s="1"/>
      <c r="K9" s="1"/>
      <c r="L9" s="1"/>
    </row>
    <row r="10" spans="1:15">
      <c r="A10" s="1"/>
      <c r="B10" s="32">
        <v>2023</v>
      </c>
      <c r="C10" s="92">
        <v>17931</v>
      </c>
      <c r="D10" s="92">
        <v>13491867</v>
      </c>
      <c r="E10" s="92">
        <v>13878594</v>
      </c>
      <c r="F10" s="92">
        <v>9018480</v>
      </c>
      <c r="G10" s="92">
        <v>10191450</v>
      </c>
      <c r="H10" s="1"/>
      <c r="I10" s="1"/>
      <c r="J10" s="1"/>
      <c r="K10" s="1"/>
      <c r="L10" s="1"/>
    </row>
    <row r="11" spans="1:15">
      <c r="A11" s="43"/>
      <c r="B11" s="1"/>
      <c r="C11" s="1"/>
      <c r="D11" s="1"/>
      <c r="E11" s="1"/>
      <c r="F11" s="1"/>
      <c r="G11" s="1"/>
      <c r="H11" s="1"/>
      <c r="I11" s="1"/>
      <c r="J11" s="1"/>
      <c r="K11" s="1"/>
      <c r="L11" s="1"/>
    </row>
    <row r="12" spans="1:15">
      <c r="A12" s="1"/>
      <c r="B12" s="519" t="s">
        <v>2690</v>
      </c>
      <c r="C12" s="1"/>
      <c r="D12" s="377">
        <v>0.08</v>
      </c>
      <c r="E12" s="519"/>
      <c r="F12" s="1"/>
      <c r="G12" s="1"/>
      <c r="H12" s="1"/>
      <c r="I12" s="1"/>
      <c r="J12" s="1"/>
      <c r="K12" s="1"/>
      <c r="L12" s="1"/>
    </row>
    <row r="13" spans="1:15">
      <c r="A13" s="1"/>
      <c r="B13" s="519" t="s">
        <v>2691</v>
      </c>
      <c r="C13" s="1"/>
      <c r="D13" s="1"/>
      <c r="E13" s="485">
        <v>7.4999999999999997E-2</v>
      </c>
      <c r="F13" s="204" t="s">
        <v>1479</v>
      </c>
      <c r="G13" s="1"/>
      <c r="H13" s="1"/>
      <c r="I13" s="1"/>
      <c r="J13" s="1"/>
      <c r="K13" s="1"/>
      <c r="L13" s="1"/>
    </row>
    <row r="14" spans="1:15">
      <c r="A14" s="1"/>
      <c r="B14" s="519" t="s">
        <v>2692</v>
      </c>
      <c r="C14" s="1"/>
      <c r="D14" s="1"/>
      <c r="E14" s="377">
        <v>0.15</v>
      </c>
      <c r="F14" s="204" t="s">
        <v>1479</v>
      </c>
      <c r="G14" s="1"/>
      <c r="H14" s="1"/>
      <c r="I14" s="1"/>
      <c r="J14" s="1"/>
      <c r="K14" s="1"/>
      <c r="L14" s="1"/>
    </row>
    <row r="15" spans="1:15">
      <c r="A15" s="1"/>
      <c r="B15" s="519" t="s">
        <v>2693</v>
      </c>
      <c r="C15" s="1"/>
      <c r="D15" s="46"/>
      <c r="E15" s="377">
        <v>0.05</v>
      </c>
      <c r="F15" s="204" t="s">
        <v>1479</v>
      </c>
      <c r="G15" s="1"/>
      <c r="H15" s="1"/>
      <c r="I15" s="1"/>
      <c r="J15" s="1"/>
      <c r="K15" s="1"/>
      <c r="L15" s="1"/>
    </row>
    <row r="16" spans="1:15">
      <c r="A16" s="1"/>
      <c r="B16" s="519" t="s">
        <v>2694</v>
      </c>
      <c r="C16" s="1"/>
      <c r="D16" s="1"/>
      <c r="E16" s="1"/>
      <c r="F16" s="1"/>
      <c r="G16" s="1"/>
      <c r="H16" s="1"/>
      <c r="I16" s="1"/>
      <c r="J16" s="1"/>
      <c r="K16" s="1"/>
      <c r="L16" s="1"/>
    </row>
    <row r="17" spans="1:18">
      <c r="A17" s="1"/>
      <c r="B17" s="519" t="s">
        <v>2695</v>
      </c>
      <c r="C17" s="1"/>
      <c r="D17" s="1"/>
      <c r="E17" s="1"/>
      <c r="F17" s="1"/>
      <c r="G17" s="1"/>
      <c r="H17" s="1"/>
      <c r="I17" s="1"/>
      <c r="J17" s="1"/>
      <c r="K17" s="1"/>
      <c r="L17" s="1"/>
    </row>
    <row r="18" spans="1:18">
      <c r="A18" s="1"/>
      <c r="B18" s="1"/>
      <c r="C18" s="1"/>
      <c r="D18" s="1"/>
      <c r="E18" s="1"/>
      <c r="F18" s="1"/>
      <c r="G18" s="1"/>
      <c r="H18" s="1"/>
      <c r="I18" s="1"/>
      <c r="J18" s="1"/>
      <c r="K18" s="1"/>
      <c r="L18" s="1"/>
    </row>
    <row r="19" spans="1:18">
      <c r="A19" s="1" t="s">
        <v>2696</v>
      </c>
      <c r="B19" s="1"/>
      <c r="C19" s="1"/>
      <c r="D19" s="1"/>
      <c r="E19" s="1"/>
      <c r="F19" s="1"/>
      <c r="G19" s="1"/>
      <c r="H19" s="1"/>
      <c r="I19" s="1"/>
      <c r="J19" s="1"/>
      <c r="K19" s="1"/>
      <c r="L19" s="1"/>
    </row>
    <row r="20" spans="1:18">
      <c r="A20" s="3"/>
      <c r="B20" s="3"/>
      <c r="C20" s="3"/>
      <c r="D20" s="3"/>
      <c r="E20" s="3"/>
      <c r="F20" s="3"/>
      <c r="G20" s="3"/>
      <c r="H20" s="3"/>
      <c r="I20" s="3"/>
      <c r="J20" s="3"/>
      <c r="K20" s="3"/>
      <c r="L20" s="3"/>
    </row>
    <row r="21" spans="1:18">
      <c r="A21" s="17" t="s">
        <v>91</v>
      </c>
      <c r="B21" s="1" t="s">
        <v>2697</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s="3"/>
      <c r="C24" s="3"/>
      <c r="D24" s="3"/>
      <c r="E24" s="3"/>
      <c r="F24" s="3"/>
      <c r="G24" s="3"/>
      <c r="H24" s="3"/>
      <c r="I24" s="3"/>
      <c r="J24" s="3"/>
      <c r="K24" s="3"/>
      <c r="L24" s="3"/>
      <c r="M24" s="3"/>
      <c r="N24" s="9"/>
    </row>
    <row r="25" spans="1:18" ht="31.2">
      <c r="A25" s="36" t="s">
        <v>49</v>
      </c>
      <c r="B25" s="36" t="s">
        <v>4</v>
      </c>
      <c r="C25" s="36" t="s">
        <v>587</v>
      </c>
      <c r="D25" s="36" t="s">
        <v>273</v>
      </c>
      <c r="E25" s="18"/>
      <c r="F25" s="3"/>
      <c r="G25" s="3"/>
      <c r="H25" s="3"/>
      <c r="I25" s="3"/>
      <c r="J25" s="3"/>
      <c r="K25" s="3"/>
      <c r="L25" s="3"/>
      <c r="M25" s="3"/>
      <c r="N25" s="9"/>
    </row>
    <row r="26" spans="1:18">
      <c r="A26" s="34">
        <f>B6</f>
        <v>2019</v>
      </c>
      <c r="B26" s="83">
        <f>C6</f>
        <v>18640</v>
      </c>
      <c r="C26" s="83">
        <f>G6</f>
        <v>10866820</v>
      </c>
      <c r="D26" s="176">
        <f>C26/B26</f>
        <v>582.98390557939911</v>
      </c>
      <c r="E26" s="18"/>
      <c r="F26" s="3"/>
      <c r="G26" s="3"/>
      <c r="H26" s="3"/>
      <c r="I26" s="3"/>
      <c r="J26" s="3"/>
      <c r="K26" s="3"/>
      <c r="L26" s="3"/>
      <c r="M26" s="3"/>
      <c r="N26" s="9"/>
    </row>
    <row r="27" spans="1:18">
      <c r="A27" s="34">
        <f t="shared" ref="A27:B30" si="0">B7</f>
        <v>2020</v>
      </c>
      <c r="B27" s="83">
        <f t="shared" si="0"/>
        <v>18240</v>
      </c>
      <c r="C27" s="83">
        <f t="shared" ref="C27:C30" si="1">G7</f>
        <v>9735481</v>
      </c>
      <c r="D27" s="176">
        <f t="shared" ref="D27:D30" si="2">C27/B27</f>
        <v>533.74347587719296</v>
      </c>
      <c r="E27" s="18"/>
      <c r="F27" s="3"/>
      <c r="G27" s="3"/>
      <c r="H27" s="3"/>
      <c r="I27" s="3"/>
      <c r="J27" s="3"/>
      <c r="K27" s="3"/>
      <c r="L27" s="3"/>
      <c r="M27" s="3"/>
      <c r="N27" s="9"/>
    </row>
    <row r="28" spans="1:18">
      <c r="A28" s="34">
        <f t="shared" si="0"/>
        <v>2021</v>
      </c>
      <c r="B28" s="83">
        <f t="shared" si="0"/>
        <v>17061</v>
      </c>
      <c r="C28" s="83">
        <f t="shared" si="1"/>
        <v>9235310</v>
      </c>
      <c r="D28" s="176">
        <f t="shared" si="2"/>
        <v>541.31117753941737</v>
      </c>
      <c r="E28" s="18"/>
      <c r="F28" s="3"/>
      <c r="G28" s="3"/>
      <c r="H28" s="3"/>
      <c r="I28" s="3"/>
      <c r="J28" s="3"/>
      <c r="K28" s="3"/>
      <c r="L28" s="3"/>
      <c r="M28" s="3"/>
      <c r="N28" s="9"/>
    </row>
    <row r="29" spans="1:18">
      <c r="A29" s="34">
        <f t="shared" si="0"/>
        <v>2022</v>
      </c>
      <c r="B29" s="83">
        <f t="shared" si="0"/>
        <v>17992</v>
      </c>
      <c r="C29" s="83">
        <f t="shared" si="1"/>
        <v>9763870</v>
      </c>
      <c r="D29" s="176">
        <f t="shared" si="2"/>
        <v>542.67841262783463</v>
      </c>
      <c r="E29" s="18"/>
      <c r="F29" s="3"/>
      <c r="G29" s="3"/>
      <c r="H29" s="3"/>
      <c r="I29" s="3"/>
      <c r="J29" s="3"/>
      <c r="K29" s="3"/>
      <c r="L29" s="3"/>
      <c r="M29" s="3"/>
      <c r="N29" s="9"/>
    </row>
    <row r="30" spans="1:18">
      <c r="A30" s="34">
        <f t="shared" si="0"/>
        <v>2023</v>
      </c>
      <c r="B30" s="83">
        <f t="shared" si="0"/>
        <v>17931</v>
      </c>
      <c r="C30" s="83">
        <f t="shared" si="1"/>
        <v>10191450</v>
      </c>
      <c r="D30" s="176">
        <f t="shared" si="2"/>
        <v>568.37041994311528</v>
      </c>
      <c r="E30" s="18"/>
      <c r="F30" s="3"/>
      <c r="G30" s="3"/>
      <c r="H30" s="3"/>
      <c r="I30" s="3"/>
      <c r="J30" s="3"/>
      <c r="K30" s="3"/>
      <c r="L30" s="3"/>
      <c r="M30" s="3"/>
      <c r="N30" s="9"/>
    </row>
    <row r="31" spans="1:18">
      <c r="F31" s="3"/>
      <c r="G31" s="3"/>
      <c r="H31" s="3"/>
      <c r="I31" s="3"/>
      <c r="J31" s="3"/>
      <c r="K31" s="3"/>
      <c r="L31" s="3"/>
      <c r="M31" s="3"/>
      <c r="N31" s="9"/>
    </row>
    <row r="32" spans="1:18">
      <c r="A32" s="2" t="s">
        <v>2698</v>
      </c>
      <c r="E32" s="176">
        <f>AVERAGE(D26:D30)</f>
        <v>553.81747831339192</v>
      </c>
      <c r="F32" s="3"/>
      <c r="G32" s="3"/>
      <c r="H32" s="3"/>
      <c r="I32" s="3"/>
      <c r="J32" s="3"/>
      <c r="K32" s="3"/>
      <c r="L32" s="3"/>
      <c r="M32" s="3"/>
      <c r="N32" s="9"/>
    </row>
    <row r="33" spans="1:14">
      <c r="A33" s="2" t="s">
        <v>292</v>
      </c>
      <c r="E33" s="96">
        <f>D12</f>
        <v>0.08</v>
      </c>
      <c r="F33" s="3"/>
      <c r="G33" s="3"/>
      <c r="H33" s="3"/>
      <c r="I33" s="3"/>
      <c r="J33" s="3"/>
      <c r="K33" s="3"/>
      <c r="L33" s="3"/>
      <c r="M33" s="3"/>
      <c r="N33" s="9"/>
    </row>
    <row r="34" spans="1:14">
      <c r="A34" s="2" t="s">
        <v>2699</v>
      </c>
      <c r="E34" s="94">
        <f>E13*E10/C10</f>
        <v>58.05</v>
      </c>
      <c r="F34" s="3"/>
      <c r="G34" s="741"/>
      <c r="H34" s="3"/>
      <c r="I34" s="3"/>
      <c r="J34" s="3"/>
      <c r="K34" s="3"/>
      <c r="L34" s="3"/>
      <c r="M34" s="3"/>
      <c r="N34" s="9"/>
    </row>
    <row r="35" spans="1:14">
      <c r="A35" s="2" t="s">
        <v>2700</v>
      </c>
      <c r="E35" s="176">
        <f>(E32*(1+E33)+E34)/(1-E14-E15)</f>
        <v>820.21609572307921</v>
      </c>
      <c r="F35" s="3"/>
      <c r="G35" s="3"/>
      <c r="H35" s="3"/>
      <c r="I35" s="3"/>
      <c r="J35" s="3"/>
      <c r="K35" s="3"/>
      <c r="L35" s="3"/>
      <c r="M35" s="3"/>
      <c r="N35" s="9"/>
    </row>
    <row r="36" spans="1:14">
      <c r="F36" s="3"/>
      <c r="G36" s="3"/>
      <c r="H36" s="3"/>
      <c r="I36" s="3"/>
      <c r="J36" s="3"/>
      <c r="K36" s="3"/>
      <c r="L36" s="3"/>
      <c r="M36" s="3"/>
      <c r="N36" s="9"/>
    </row>
    <row r="37" spans="1:14">
      <c r="A37" s="2" t="s">
        <v>2701</v>
      </c>
      <c r="E37" s="83">
        <f>E10</f>
        <v>13878594</v>
      </c>
      <c r="F37" s="3"/>
      <c r="G37" s="3"/>
      <c r="H37" s="3"/>
      <c r="I37" s="3"/>
      <c r="J37" s="3"/>
      <c r="K37" s="3"/>
      <c r="L37" s="3"/>
      <c r="M37" s="3"/>
      <c r="N37" s="9"/>
    </row>
    <row r="38" spans="1:14">
      <c r="A38" s="2" t="s">
        <v>2702</v>
      </c>
      <c r="E38" s="83">
        <f>C10</f>
        <v>17931</v>
      </c>
      <c r="F38" s="3"/>
      <c r="G38" s="3"/>
      <c r="H38" s="3"/>
      <c r="I38" s="3"/>
      <c r="J38" s="3"/>
      <c r="K38" s="3"/>
      <c r="L38" s="3"/>
      <c r="M38" s="3"/>
      <c r="N38" s="9"/>
    </row>
    <row r="39" spans="1:14">
      <c r="A39" s="2" t="s">
        <v>2703</v>
      </c>
      <c r="E39" s="176">
        <f>E37/E38</f>
        <v>774</v>
      </c>
      <c r="F39" s="3"/>
      <c r="G39" s="3"/>
      <c r="H39" s="3"/>
      <c r="I39" s="3"/>
      <c r="J39" s="3"/>
      <c r="K39" s="3"/>
      <c r="L39" s="3"/>
      <c r="M39" s="3"/>
      <c r="N39" s="9"/>
    </row>
    <row r="40" spans="1:14">
      <c r="A40" s="2" t="s">
        <v>2704</v>
      </c>
      <c r="E40" s="96">
        <f>E35/E39-1</f>
        <v>5.9710717988474382E-2</v>
      </c>
      <c r="F40" s="3"/>
      <c r="G40" s="3"/>
      <c r="H40" s="3"/>
      <c r="I40" s="3"/>
      <c r="J40" s="3"/>
      <c r="K40" s="3"/>
      <c r="L40" s="3"/>
      <c r="M40" s="3"/>
      <c r="N40" s="9"/>
    </row>
    <row r="41" spans="1:14">
      <c r="A41" s="3"/>
      <c r="B41" s="3"/>
      <c r="C41" s="3"/>
      <c r="D41" s="3"/>
      <c r="E41" s="3"/>
      <c r="F41" s="3"/>
      <c r="G41" s="3"/>
      <c r="H41" s="3"/>
      <c r="I41" s="3"/>
      <c r="J41" s="3"/>
      <c r="K41" s="3"/>
      <c r="L41" s="3"/>
      <c r="M41" s="3"/>
      <c r="N41" s="9"/>
    </row>
    <row r="42" spans="1:14">
      <c r="A42" s="3" t="s">
        <v>2705</v>
      </c>
      <c r="B42" s="3"/>
      <c r="C42" s="3"/>
      <c r="D42" s="3"/>
      <c r="E42" s="3"/>
      <c r="F42" s="3"/>
      <c r="G42" s="3"/>
      <c r="H42" s="3"/>
      <c r="I42" s="3"/>
      <c r="J42" s="3"/>
      <c r="K42" s="3"/>
      <c r="L42" s="3"/>
      <c r="M42" s="3"/>
      <c r="N42" s="9"/>
    </row>
    <row r="43" spans="1:14">
      <c r="M43" s="9"/>
      <c r="N43" s="9"/>
    </row>
    <row r="44" spans="1:14">
      <c r="A44" s="14"/>
      <c r="B44" s="14"/>
      <c r="C44" s="14"/>
      <c r="D44" s="14"/>
      <c r="E44" s="14"/>
      <c r="F44" s="14"/>
      <c r="G44" s="1"/>
      <c r="H44" s="1"/>
      <c r="I44" s="1"/>
      <c r="J44" s="1"/>
      <c r="K44" s="1"/>
      <c r="L44" s="1"/>
    </row>
    <row r="45" spans="1:14">
      <c r="A45" s="1" t="s">
        <v>2706</v>
      </c>
      <c r="B45" s="14"/>
      <c r="C45" s="14"/>
      <c r="D45" s="14"/>
      <c r="E45" s="14"/>
      <c r="F45" s="14"/>
      <c r="G45" s="1"/>
      <c r="H45" s="1"/>
      <c r="I45" s="1"/>
      <c r="J45" s="1"/>
      <c r="K45" s="1"/>
      <c r="L45" s="1"/>
    </row>
    <row r="47" spans="1:14">
      <c r="A47" s="17" t="s">
        <v>133</v>
      </c>
      <c r="B47" s="1" t="s">
        <v>2707</v>
      </c>
      <c r="C47" s="1"/>
      <c r="D47" s="1"/>
      <c r="E47" s="1"/>
      <c r="F47" s="1"/>
      <c r="G47" s="1"/>
      <c r="H47" s="1"/>
      <c r="I47" s="1"/>
      <c r="J47" s="1"/>
      <c r="K47" s="1"/>
      <c r="L47" s="1"/>
    </row>
    <row r="48" spans="1:14">
      <c r="A48" s="3"/>
      <c r="B48" s="3"/>
      <c r="C48" s="3"/>
      <c r="D48" s="3"/>
      <c r="E48" s="3"/>
      <c r="F48" s="3"/>
      <c r="G48" s="3"/>
      <c r="H48" s="3"/>
      <c r="I48" s="3"/>
      <c r="J48" s="3"/>
      <c r="K48" s="3"/>
      <c r="L48" s="3"/>
    </row>
    <row r="49" spans="1:12">
      <c r="A49" s="3" t="s">
        <v>20</v>
      </c>
      <c r="B49" s="3"/>
      <c r="C49" s="3"/>
      <c r="D49" s="3"/>
      <c r="E49" s="3"/>
      <c r="F49" s="3"/>
      <c r="G49" s="3"/>
      <c r="H49" s="3"/>
      <c r="I49" s="3"/>
      <c r="J49" s="3"/>
      <c r="K49" s="3"/>
      <c r="L49" s="3"/>
    </row>
    <row r="50" spans="1:12">
      <c r="A50" s="3"/>
      <c r="B50" s="3"/>
      <c r="C50" s="3"/>
      <c r="D50" s="3"/>
      <c r="E50" s="3"/>
      <c r="F50" s="3"/>
      <c r="G50" s="3"/>
      <c r="H50" s="3"/>
      <c r="I50" s="3"/>
      <c r="J50" s="3"/>
      <c r="K50" s="3"/>
      <c r="L50" s="3"/>
    </row>
    <row r="51" spans="1:12">
      <c r="A51" s="3" t="s">
        <v>2708</v>
      </c>
      <c r="B51" s="3"/>
      <c r="C51" s="3"/>
      <c r="D51" s="3"/>
      <c r="E51" s="3"/>
      <c r="F51" s="3"/>
      <c r="G51" s="3"/>
      <c r="H51" s="3"/>
      <c r="I51" s="3"/>
      <c r="J51" s="3"/>
      <c r="K51" s="3"/>
      <c r="L51" s="3"/>
    </row>
    <row r="53" spans="1:12">
      <c r="A53" s="14"/>
      <c r="B53" s="14"/>
      <c r="C53" s="14"/>
      <c r="D53" s="14"/>
      <c r="E53" s="14"/>
      <c r="F53" s="14"/>
      <c r="G53" s="1"/>
      <c r="H53" s="1"/>
      <c r="I53" s="1"/>
      <c r="J53" s="1"/>
      <c r="K53" s="1"/>
      <c r="L53" s="1"/>
    </row>
    <row r="54" spans="1:12">
      <c r="A54" s="1" t="s">
        <v>2709</v>
      </c>
      <c r="B54" s="14"/>
      <c r="C54" s="14"/>
      <c r="D54" s="14"/>
      <c r="E54" s="377">
        <v>0.02</v>
      </c>
      <c r="F54" s="470" t="s">
        <v>2710</v>
      </c>
      <c r="G54" s="398">
        <v>5.91E-2</v>
      </c>
      <c r="H54" s="1" t="s">
        <v>2711</v>
      </c>
      <c r="I54" s="1"/>
      <c r="J54" s="1"/>
      <c r="K54" s="1"/>
      <c r="L54" s="1"/>
    </row>
    <row r="56" spans="1:12">
      <c r="A56" s="17" t="s">
        <v>18</v>
      </c>
      <c r="B56" s="1" t="s">
        <v>2712</v>
      </c>
      <c r="C56" s="1"/>
      <c r="D56" s="1"/>
      <c r="E56" s="1"/>
      <c r="F56" s="1"/>
      <c r="G56" s="1"/>
      <c r="H56" s="1"/>
      <c r="I56" s="1"/>
      <c r="J56" s="1"/>
      <c r="K56" s="1"/>
      <c r="L56" s="1"/>
    </row>
    <row r="57" spans="1:12">
      <c r="A57" s="3"/>
      <c r="B57" s="3"/>
      <c r="C57" s="3"/>
      <c r="D57" s="3"/>
      <c r="E57" s="3"/>
      <c r="F57" s="3"/>
      <c r="G57" s="3"/>
      <c r="H57" s="3"/>
      <c r="I57" s="3"/>
      <c r="J57" s="3"/>
      <c r="K57" s="3"/>
      <c r="L57" s="3"/>
    </row>
    <row r="58" spans="1:12">
      <c r="A58" s="3" t="s">
        <v>20</v>
      </c>
      <c r="B58" s="3"/>
      <c r="C58" s="3"/>
      <c r="D58" s="3"/>
      <c r="E58" s="3"/>
      <c r="F58" s="3"/>
      <c r="G58" s="3"/>
      <c r="H58" s="3"/>
      <c r="I58" s="3"/>
      <c r="J58" s="3"/>
      <c r="K58" s="3"/>
      <c r="L58" s="3"/>
    </row>
    <row r="59" spans="1:12">
      <c r="A59" s="3"/>
      <c r="B59" s="3"/>
      <c r="C59" s="3"/>
      <c r="D59" s="3"/>
      <c r="E59" s="3"/>
      <c r="F59" s="3"/>
      <c r="G59" s="3"/>
      <c r="H59" s="3"/>
      <c r="I59" s="3"/>
      <c r="J59" s="3"/>
      <c r="K59" s="3"/>
      <c r="L59" s="3"/>
    </row>
    <row r="60" spans="1:12">
      <c r="A60" s="2" t="s">
        <v>2713</v>
      </c>
      <c r="B60" s="18"/>
      <c r="D60" s="18"/>
      <c r="F60" s="3"/>
      <c r="G60" s="3"/>
      <c r="H60" s="3"/>
      <c r="I60" s="3"/>
      <c r="J60" s="3"/>
      <c r="K60" s="3"/>
      <c r="L60" s="3"/>
    </row>
    <row r="61" spans="1:12">
      <c r="A61" s="2" t="s">
        <v>2714</v>
      </c>
      <c r="B61" s="96">
        <f>(1+G54)*(1-E14-E15)-E13</f>
        <v>0.77227999999999997</v>
      </c>
      <c r="D61" s="18"/>
      <c r="E61" s="18"/>
      <c r="F61" s="3"/>
      <c r="G61" s="3"/>
      <c r="H61" s="3"/>
      <c r="I61" s="3"/>
      <c r="J61" s="3"/>
      <c r="K61" s="3"/>
      <c r="L61" s="3"/>
    </row>
    <row r="62" spans="1:12">
      <c r="A62" s="2" t="s">
        <v>2715</v>
      </c>
      <c r="B62" s="18"/>
      <c r="D62" s="18"/>
      <c r="F62" s="3"/>
      <c r="G62" s="3"/>
      <c r="H62" s="3"/>
      <c r="I62" s="3"/>
      <c r="J62" s="3"/>
      <c r="K62" s="3"/>
      <c r="L62" s="3"/>
    </row>
    <row r="63" spans="1:12">
      <c r="A63" s="2" t="s">
        <v>2716</v>
      </c>
      <c r="B63" s="2" t="s">
        <v>2717</v>
      </c>
      <c r="D63" s="96">
        <f>1-E14-(B61+E13)/(1+E54)</f>
        <v>1.9333333333333425E-2</v>
      </c>
      <c r="F63" s="3"/>
      <c r="G63" s="3"/>
      <c r="H63" s="3"/>
      <c r="I63" s="3"/>
      <c r="J63" s="3"/>
      <c r="K63" s="3"/>
      <c r="L63" s="3"/>
    </row>
    <row r="65" spans="1:12">
      <c r="A65" s="14"/>
      <c r="B65" s="14"/>
      <c r="C65" s="14"/>
      <c r="D65" s="14"/>
      <c r="E65" s="14"/>
      <c r="F65" s="14"/>
      <c r="G65" s="1"/>
      <c r="H65" s="1"/>
      <c r="I65" s="1"/>
      <c r="J65" s="1"/>
      <c r="K65" s="1"/>
      <c r="L65" s="1"/>
    </row>
    <row r="66" spans="1:12">
      <c r="A66" s="1" t="s">
        <v>2718</v>
      </c>
      <c r="B66" s="14"/>
      <c r="C66" s="14"/>
      <c r="D66" s="14"/>
      <c r="E66" s="14"/>
      <c r="F66" s="14"/>
      <c r="G66" s="1"/>
      <c r="H66" s="1"/>
      <c r="I66" s="1"/>
      <c r="J66" s="1"/>
      <c r="K66" s="1"/>
      <c r="L66" s="1"/>
    </row>
    <row r="68" spans="1:12">
      <c r="A68" s="17" t="s">
        <v>25</v>
      </c>
      <c r="B68" s="831" t="s">
        <v>2719</v>
      </c>
      <c r="C68" s="831"/>
      <c r="D68" s="831"/>
      <c r="E68" s="831"/>
      <c r="F68" s="831"/>
      <c r="G68" s="831"/>
      <c r="H68" s="831"/>
      <c r="I68" s="831"/>
      <c r="J68" s="831"/>
      <c r="K68" s="831"/>
      <c r="L68" s="831"/>
    </row>
    <row r="69" spans="1:12">
      <c r="A69" s="17"/>
      <c r="B69" s="831"/>
      <c r="C69" s="831"/>
      <c r="D69" s="831"/>
      <c r="E69" s="831"/>
      <c r="F69" s="831"/>
      <c r="G69" s="831"/>
      <c r="H69" s="831"/>
      <c r="I69" s="831"/>
      <c r="J69" s="831"/>
      <c r="K69" s="831"/>
      <c r="L69" s="831"/>
    </row>
    <row r="70" spans="1:12">
      <c r="A70" s="3"/>
      <c r="B70" s="3"/>
      <c r="C70" s="3"/>
      <c r="D70" s="3"/>
      <c r="E70" s="3"/>
      <c r="F70" s="3"/>
      <c r="G70" s="3"/>
      <c r="H70" s="3"/>
      <c r="I70" s="3"/>
      <c r="J70" s="3"/>
      <c r="K70" s="3"/>
      <c r="L70" s="3"/>
    </row>
    <row r="71" spans="1:12">
      <c r="A71" s="3" t="s">
        <v>20</v>
      </c>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2" t="s">
        <v>2720</v>
      </c>
    </row>
    <row r="74" spans="1:12">
      <c r="A74" s="2" t="s">
        <v>2721</v>
      </c>
    </row>
  </sheetData>
  <mergeCells count="1">
    <mergeCell ref="B68:L69"/>
  </mergeCells>
  <hyperlinks>
    <hyperlink ref="O1" location="TOC!A1" display="Table of Contents" xr:uid="{025789E0-3C2C-44D7-8A27-1ECE2B30265C}"/>
  </hyperlinks>
  <pageMargins left="0.7" right="0.7" top="0.75" bottom="0.75" header="0.3" footer="0.3"/>
  <pageSetup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8CCFB-297C-44C5-BB1A-7945DE8F6441}">
  <dimension ref="A1:R63"/>
  <sheetViews>
    <sheetView zoomScaleNormal="100" workbookViewId="0"/>
  </sheetViews>
  <sheetFormatPr defaultColWidth="8.88671875" defaultRowHeight="15.6"/>
  <cols>
    <col min="1" max="1" width="8.88671875" style="2" customWidth="1"/>
    <col min="2" max="5" width="14.6640625" style="2" customWidth="1"/>
    <col min="6" max="6" width="18" style="2" customWidth="1"/>
    <col min="7" max="7" width="14.6640625" style="2" customWidth="1"/>
    <col min="8" max="8" width="8.88671875" style="2" customWidth="1"/>
    <col min="9" max="16384" width="8.88671875" style="2"/>
  </cols>
  <sheetData>
    <row r="1" spans="1:15" ht="17.399999999999999">
      <c r="A1" s="13" t="s">
        <v>2922</v>
      </c>
      <c r="B1" s="1"/>
      <c r="C1" s="1"/>
      <c r="D1" s="1" t="s">
        <v>0</v>
      </c>
      <c r="E1" s="1"/>
      <c r="F1" s="1"/>
      <c r="G1" s="1"/>
      <c r="H1" s="1"/>
      <c r="I1" s="1"/>
      <c r="J1" s="1"/>
      <c r="K1" s="1"/>
      <c r="L1" s="14"/>
      <c r="O1" s="21" t="s">
        <v>2927</v>
      </c>
    </row>
    <row r="2" spans="1:15">
      <c r="A2" s="1"/>
      <c r="B2" s="1"/>
      <c r="C2" s="1"/>
      <c r="D2" s="1"/>
      <c r="E2" s="1"/>
      <c r="F2" s="1"/>
      <c r="G2" s="1"/>
      <c r="H2" s="1"/>
      <c r="I2" s="1"/>
      <c r="J2" s="1"/>
      <c r="K2" s="1"/>
      <c r="L2" s="14"/>
    </row>
    <row r="3" spans="1:15">
      <c r="A3" s="1" t="s">
        <v>2688</v>
      </c>
      <c r="B3" s="1"/>
      <c r="C3" s="1"/>
      <c r="D3" s="1"/>
      <c r="E3" s="1"/>
      <c r="F3" s="1"/>
      <c r="G3" s="1"/>
      <c r="H3" s="1"/>
      <c r="I3" s="1"/>
      <c r="J3" s="1"/>
      <c r="K3" s="1"/>
      <c r="L3" s="14"/>
    </row>
    <row r="4" spans="1:15">
      <c r="A4" s="43"/>
      <c r="B4" s="1"/>
      <c r="C4" s="1"/>
      <c r="D4" s="1"/>
      <c r="E4" s="1"/>
      <c r="F4" s="1"/>
      <c r="G4" s="1"/>
      <c r="H4" s="1"/>
      <c r="I4" s="1"/>
      <c r="J4" s="1"/>
      <c r="K4" s="1"/>
      <c r="L4" s="1"/>
    </row>
    <row r="5" spans="1:15" ht="46.8">
      <c r="A5" s="43"/>
      <c r="B5" s="4" t="s">
        <v>3</v>
      </c>
      <c r="C5" s="4" t="s">
        <v>4</v>
      </c>
      <c r="D5" s="4" t="s">
        <v>1037</v>
      </c>
      <c r="E5" s="4" t="s">
        <v>694</v>
      </c>
      <c r="F5" s="4" t="s">
        <v>1038</v>
      </c>
      <c r="G5" s="4" t="s">
        <v>1039</v>
      </c>
      <c r="H5" s="1"/>
      <c r="I5" s="1"/>
      <c r="J5" s="1"/>
      <c r="K5" s="1"/>
      <c r="L5" s="1"/>
    </row>
    <row r="6" spans="1:15">
      <c r="A6" s="43"/>
      <c r="B6" s="32">
        <v>2019</v>
      </c>
      <c r="C6" s="92">
        <v>25800</v>
      </c>
      <c r="D6" s="92">
        <v>19350000</v>
      </c>
      <c r="E6" s="92">
        <v>18990120</v>
      </c>
      <c r="F6" s="92">
        <v>2515500</v>
      </c>
      <c r="G6" s="92">
        <v>1450000</v>
      </c>
      <c r="H6" s="1"/>
      <c r="I6" s="1"/>
      <c r="J6" s="1"/>
      <c r="K6" s="1"/>
      <c r="L6" s="1"/>
    </row>
    <row r="7" spans="1:15">
      <c r="A7" s="43"/>
      <c r="B7" s="32">
        <v>2020</v>
      </c>
      <c r="C7" s="92">
        <v>24500</v>
      </c>
      <c r="D7" s="92">
        <v>19042510</v>
      </c>
      <c r="E7" s="92">
        <v>18724770</v>
      </c>
      <c r="F7" s="92">
        <v>2475500</v>
      </c>
      <c r="G7" s="92">
        <v>1420000</v>
      </c>
      <c r="H7" s="1"/>
      <c r="I7" s="1"/>
      <c r="J7" s="1"/>
      <c r="K7" s="1"/>
      <c r="L7" s="1"/>
    </row>
    <row r="8" spans="1:15">
      <c r="A8" s="43"/>
      <c r="B8" s="32">
        <v>2021</v>
      </c>
      <c r="C8" s="92">
        <v>23100</v>
      </c>
      <c r="D8" s="92">
        <v>18507860</v>
      </c>
      <c r="E8" s="92">
        <v>18240290</v>
      </c>
      <c r="F8" s="92">
        <v>2313500</v>
      </c>
      <c r="G8" s="92">
        <v>1440000</v>
      </c>
      <c r="H8" s="1"/>
      <c r="I8" s="1"/>
      <c r="J8" s="1"/>
      <c r="K8" s="1"/>
      <c r="L8" s="1"/>
    </row>
    <row r="9" spans="1:15">
      <c r="A9" s="1"/>
      <c r="B9" s="32">
        <v>2022</v>
      </c>
      <c r="C9" s="92">
        <v>21900</v>
      </c>
      <c r="D9" s="92">
        <v>18094650</v>
      </c>
      <c r="E9" s="92">
        <v>17753030</v>
      </c>
      <c r="F9" s="92">
        <v>2171400</v>
      </c>
      <c r="G9" s="92">
        <v>1420000</v>
      </c>
      <c r="H9" s="1"/>
      <c r="I9" s="1"/>
      <c r="J9" s="1"/>
      <c r="K9" s="1"/>
      <c r="L9" s="1"/>
    </row>
    <row r="10" spans="1:15">
      <c r="A10" s="1"/>
      <c r="B10" s="32">
        <v>2023</v>
      </c>
      <c r="C10" s="92">
        <v>20750</v>
      </c>
      <c r="D10" s="92">
        <v>17771250</v>
      </c>
      <c r="E10" s="92">
        <v>17447750</v>
      </c>
      <c r="F10" s="92">
        <v>2132600</v>
      </c>
      <c r="G10" s="92">
        <v>1390000</v>
      </c>
      <c r="H10" s="1"/>
      <c r="I10" s="1"/>
      <c r="J10" s="1"/>
      <c r="K10" s="1"/>
      <c r="L10" s="1"/>
    </row>
    <row r="11" spans="1:15">
      <c r="A11" s="43"/>
      <c r="B11" s="1"/>
      <c r="C11" s="1"/>
      <c r="D11" s="1"/>
      <c r="E11" s="1"/>
      <c r="F11" s="1"/>
      <c r="G11" s="1"/>
      <c r="H11" s="1"/>
      <c r="I11" s="1"/>
      <c r="J11" s="1"/>
      <c r="K11" s="1"/>
      <c r="L11" s="1"/>
    </row>
    <row r="12" spans="1:15">
      <c r="A12" s="1"/>
      <c r="B12" s="519" t="s">
        <v>2722</v>
      </c>
      <c r="C12" s="1"/>
      <c r="D12" s="377">
        <v>0.4</v>
      </c>
      <c r="E12" s="204" t="s">
        <v>1738</v>
      </c>
      <c r="F12" s="1"/>
      <c r="G12" s="1"/>
      <c r="H12" s="1"/>
      <c r="I12" s="1"/>
      <c r="J12" s="1"/>
      <c r="K12" s="1"/>
      <c r="L12" s="1"/>
    </row>
    <row r="13" spans="1:15">
      <c r="A13" s="1"/>
      <c r="B13" s="519" t="s">
        <v>2723</v>
      </c>
      <c r="C13" s="1"/>
      <c r="D13" s="1"/>
      <c r="E13" s="377">
        <v>0.02</v>
      </c>
      <c r="F13" s="1"/>
      <c r="G13" s="1"/>
      <c r="H13" s="1"/>
      <c r="I13" s="1"/>
      <c r="J13" s="1"/>
      <c r="K13" s="1"/>
      <c r="L13" s="1"/>
    </row>
    <row r="14" spans="1:15">
      <c r="A14" s="1"/>
      <c r="B14" s="519" t="s">
        <v>2724</v>
      </c>
      <c r="C14" s="1"/>
      <c r="D14" s="1"/>
      <c r="E14" s="1"/>
      <c r="F14" s="1"/>
      <c r="G14" s="1"/>
      <c r="H14" s="1"/>
      <c r="I14" s="1"/>
      <c r="J14" s="1"/>
      <c r="K14" s="1"/>
      <c r="L14" s="1"/>
    </row>
    <row r="15" spans="1:15">
      <c r="A15" s="1"/>
      <c r="B15" s="519" t="s">
        <v>1763</v>
      </c>
      <c r="C15" s="1"/>
      <c r="D15" s="1"/>
      <c r="E15" s="1"/>
      <c r="F15" s="1"/>
      <c r="G15" s="1"/>
      <c r="H15" s="1"/>
      <c r="I15" s="1"/>
      <c r="J15" s="1"/>
      <c r="K15" s="1"/>
      <c r="L15" s="1"/>
    </row>
    <row r="16" spans="1:15">
      <c r="A16" s="1"/>
      <c r="B16" s="519" t="s">
        <v>2725</v>
      </c>
      <c r="C16" s="1"/>
      <c r="D16" s="1"/>
      <c r="E16" s="1"/>
      <c r="F16" s="1"/>
      <c r="G16" s="1"/>
      <c r="H16" s="1"/>
      <c r="I16" s="1"/>
      <c r="J16" s="1"/>
      <c r="K16" s="1"/>
      <c r="L16" s="1"/>
    </row>
    <row r="17" spans="1:18">
      <c r="A17" s="1"/>
      <c r="B17" s="519" t="s">
        <v>1293</v>
      </c>
      <c r="C17" s="1"/>
      <c r="D17" s="474">
        <v>45839</v>
      </c>
      <c r="E17" s="204" t="s">
        <v>1322</v>
      </c>
      <c r="F17" s="1"/>
      <c r="G17" s="1"/>
      <c r="H17" s="1"/>
      <c r="I17" s="1"/>
      <c r="J17" s="1"/>
      <c r="K17" s="1"/>
      <c r="L17" s="1"/>
    </row>
    <row r="18" spans="1:18">
      <c r="A18" s="3"/>
      <c r="B18" s="3"/>
      <c r="C18" s="3"/>
      <c r="D18" s="3"/>
      <c r="E18" s="3"/>
      <c r="F18" s="3"/>
      <c r="G18" s="3"/>
      <c r="H18" s="3"/>
      <c r="I18" s="3"/>
      <c r="J18" s="3"/>
      <c r="K18" s="3"/>
      <c r="L18" s="3"/>
    </row>
    <row r="19" spans="1:18">
      <c r="A19" s="17" t="s">
        <v>91</v>
      </c>
      <c r="B19" s="1" t="s">
        <v>2726</v>
      </c>
      <c r="C19" s="1"/>
      <c r="D19" s="1"/>
      <c r="E19" s="1"/>
      <c r="F19" s="1"/>
      <c r="G19" s="1"/>
      <c r="H19" s="1"/>
      <c r="I19" s="1"/>
      <c r="J19" s="1"/>
      <c r="K19" s="1"/>
      <c r="L19" s="1"/>
      <c r="M19" s="9"/>
      <c r="N19" s="9"/>
      <c r="O19" s="9"/>
      <c r="P19" s="9"/>
      <c r="Q19" s="9"/>
      <c r="R19" s="9"/>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2" spans="1:18">
      <c r="A22" s="3"/>
      <c r="C22" s="173" t="s">
        <v>1039</v>
      </c>
      <c r="D22" s="173"/>
      <c r="G22" s="3"/>
      <c r="H22" s="3"/>
      <c r="I22" s="3"/>
      <c r="J22" s="3"/>
      <c r="K22" s="3"/>
      <c r="L22" s="3"/>
      <c r="M22" s="3"/>
      <c r="N22" s="9"/>
    </row>
    <row r="23" spans="1:18" ht="62.4">
      <c r="A23" s="3"/>
      <c r="B23" s="36" t="s">
        <v>3</v>
      </c>
      <c r="C23" s="36" t="s">
        <v>1049</v>
      </c>
      <c r="D23" s="36" t="s">
        <v>1050</v>
      </c>
      <c r="E23" s="36" t="s">
        <v>1048</v>
      </c>
      <c r="F23" s="36" t="s">
        <v>1051</v>
      </c>
      <c r="G23" s="3"/>
      <c r="H23" s="3"/>
      <c r="I23" s="3"/>
      <c r="J23" s="3"/>
      <c r="K23" s="3"/>
      <c r="L23" s="3"/>
      <c r="M23" s="3"/>
      <c r="N23" s="9"/>
    </row>
    <row r="24" spans="1:18">
      <c r="A24" s="3"/>
      <c r="B24" s="34">
        <f>B6</f>
        <v>2019</v>
      </c>
      <c r="C24" s="83">
        <f>G6*(1-$D$12)</f>
        <v>870000</v>
      </c>
      <c r="D24" s="177">
        <f>C24/E6</f>
        <v>4.5813296598441716E-2</v>
      </c>
      <c r="E24" s="296">
        <f>F6/D6</f>
        <v>0.13</v>
      </c>
      <c r="F24" s="177">
        <f>D24+E24</f>
        <v>0.17581329659844172</v>
      </c>
      <c r="G24" s="3"/>
      <c r="H24" s="3"/>
      <c r="I24" s="3"/>
      <c r="J24" s="3"/>
      <c r="K24" s="3"/>
      <c r="L24" s="3"/>
      <c r="M24" s="3"/>
      <c r="N24" s="9"/>
    </row>
    <row r="25" spans="1:18">
      <c r="A25" s="3"/>
      <c r="B25" s="34">
        <f>B24+1</f>
        <v>2020</v>
      </c>
      <c r="C25" s="83">
        <f t="shared" ref="C25:C28" si="0">G7*(1-$D$12)</f>
        <v>852000</v>
      </c>
      <c r="D25" s="177">
        <f>C25/E7</f>
        <v>4.5501226450311537E-2</v>
      </c>
      <c r="E25" s="296">
        <f>F7/D7</f>
        <v>0.12999861887954897</v>
      </c>
      <c r="F25" s="177">
        <f t="shared" ref="F25:F28" si="1">D25+E25</f>
        <v>0.17549984532986052</v>
      </c>
      <c r="G25" s="3"/>
      <c r="H25" s="3"/>
      <c r="I25" s="3"/>
      <c r="J25" s="3"/>
      <c r="K25" s="3"/>
      <c r="L25" s="3"/>
      <c r="M25" s="3"/>
      <c r="N25" s="9"/>
    </row>
    <row r="26" spans="1:18">
      <c r="A26" s="3"/>
      <c r="B26" s="34">
        <f>B25+1</f>
        <v>2021</v>
      </c>
      <c r="C26" s="83">
        <f t="shared" si="0"/>
        <v>864000</v>
      </c>
      <c r="D26" s="177">
        <f>C26/E8</f>
        <v>4.7367667948261791E-2</v>
      </c>
      <c r="E26" s="296">
        <f>F8/D8</f>
        <v>0.12500094554421742</v>
      </c>
      <c r="F26" s="177">
        <f t="shared" si="1"/>
        <v>0.17236861349247923</v>
      </c>
      <c r="G26" s="3"/>
      <c r="H26" s="3"/>
      <c r="I26" s="3"/>
      <c r="J26" s="3"/>
      <c r="K26" s="3"/>
      <c r="L26" s="3"/>
      <c r="M26" s="3"/>
      <c r="N26" s="9"/>
    </row>
    <row r="27" spans="1:18">
      <c r="A27" s="3"/>
      <c r="B27" s="34">
        <f t="shared" ref="B27:B28" si="2">B26+1</f>
        <v>2022</v>
      </c>
      <c r="C27" s="83">
        <f t="shared" si="0"/>
        <v>852000</v>
      </c>
      <c r="D27" s="177">
        <f>C27/E9</f>
        <v>4.7991807595661136E-2</v>
      </c>
      <c r="E27" s="296">
        <f>F9/D9</f>
        <v>0.12000232112806825</v>
      </c>
      <c r="F27" s="177">
        <f t="shared" si="1"/>
        <v>0.16799412872372937</v>
      </c>
      <c r="G27" s="3"/>
      <c r="H27" s="3"/>
      <c r="I27" s="3"/>
      <c r="J27" s="3"/>
      <c r="K27" s="3"/>
      <c r="L27" s="3"/>
      <c r="M27" s="3"/>
      <c r="N27" s="9"/>
    </row>
    <row r="28" spans="1:18">
      <c r="A28" s="3"/>
      <c r="B28" s="34">
        <f t="shared" si="2"/>
        <v>2023</v>
      </c>
      <c r="C28" s="83">
        <f t="shared" si="0"/>
        <v>834000</v>
      </c>
      <c r="D28" s="177">
        <f>C28/E10</f>
        <v>4.7799859580748234E-2</v>
      </c>
      <c r="E28" s="296">
        <f>F10/D10</f>
        <v>0.12000281353309418</v>
      </c>
      <c r="F28" s="177">
        <f t="shared" si="1"/>
        <v>0.16780267311384242</v>
      </c>
      <c r="G28" s="3"/>
      <c r="H28" s="3"/>
      <c r="I28" s="3"/>
      <c r="J28" s="3"/>
      <c r="K28" s="3"/>
      <c r="L28" s="3"/>
      <c r="M28" s="3"/>
      <c r="N28" s="9"/>
    </row>
    <row r="30" spans="1:18">
      <c r="A30" s="17" t="s">
        <v>133</v>
      </c>
      <c r="B30" s="1" t="s">
        <v>1052</v>
      </c>
      <c r="C30" s="1"/>
      <c r="D30" s="1"/>
      <c r="E30" s="1"/>
      <c r="F30" s="1"/>
      <c r="G30" s="1"/>
      <c r="H30" s="1"/>
      <c r="I30" s="1"/>
      <c r="J30" s="1"/>
      <c r="K30" s="1"/>
      <c r="L30" s="1"/>
    </row>
    <row r="31" spans="1:18">
      <c r="A31" s="3"/>
      <c r="B31" s="3"/>
      <c r="C31" s="3"/>
      <c r="D31" s="3"/>
      <c r="E31" s="3"/>
      <c r="F31" s="3"/>
      <c r="G31" s="3"/>
      <c r="H31" s="3"/>
      <c r="I31" s="3"/>
      <c r="J31" s="3"/>
      <c r="K31" s="3"/>
      <c r="L31" s="3"/>
    </row>
    <row r="32" spans="1:18">
      <c r="A32" s="3" t="s">
        <v>20</v>
      </c>
      <c r="B32" s="3"/>
      <c r="C32" s="3"/>
      <c r="D32" s="3"/>
      <c r="E32" s="3"/>
      <c r="F32" s="3"/>
      <c r="G32" s="3"/>
      <c r="H32" s="3"/>
      <c r="I32" s="3"/>
      <c r="J32" s="3"/>
      <c r="K32" s="3"/>
      <c r="L32" s="3"/>
    </row>
    <row r="33" spans="1:12" ht="62.4">
      <c r="A33" s="3"/>
      <c r="B33" s="36" t="s">
        <v>3</v>
      </c>
      <c r="C33" s="36" t="s">
        <v>1053</v>
      </c>
      <c r="D33" s="36" t="s">
        <v>1048</v>
      </c>
      <c r="E33" s="36" t="s">
        <v>1051</v>
      </c>
      <c r="G33" s="3"/>
      <c r="H33" s="3"/>
      <c r="I33" s="3"/>
      <c r="J33" s="3"/>
      <c r="K33" s="3"/>
      <c r="L33" s="3"/>
    </row>
    <row r="34" spans="1:12">
      <c r="B34" s="34">
        <f>B6</f>
        <v>2019</v>
      </c>
      <c r="C34" s="177">
        <f t="shared" ref="C34:E38" si="3">D24</f>
        <v>4.5813296598441716E-2</v>
      </c>
      <c r="D34" s="177">
        <f t="shared" si="3"/>
        <v>0.13</v>
      </c>
      <c r="E34" s="177">
        <f t="shared" si="3"/>
        <v>0.17581329659844172</v>
      </c>
    </row>
    <row r="35" spans="1:12">
      <c r="B35" s="34">
        <f>B7</f>
        <v>2020</v>
      </c>
      <c r="C35" s="177">
        <f t="shared" si="3"/>
        <v>4.5501226450311537E-2</v>
      </c>
      <c r="D35" s="177">
        <f t="shared" si="3"/>
        <v>0.12999861887954897</v>
      </c>
      <c r="E35" s="177">
        <f t="shared" si="3"/>
        <v>0.17549984532986052</v>
      </c>
    </row>
    <row r="36" spans="1:12">
      <c r="B36" s="34">
        <f>B8</f>
        <v>2021</v>
      </c>
      <c r="C36" s="177">
        <f t="shared" si="3"/>
        <v>4.7367667948261791E-2</v>
      </c>
      <c r="D36" s="177">
        <f t="shared" si="3"/>
        <v>0.12500094554421742</v>
      </c>
      <c r="E36" s="177">
        <f t="shared" si="3"/>
        <v>0.17236861349247923</v>
      </c>
    </row>
    <row r="37" spans="1:12">
      <c r="B37" s="34">
        <f>B9</f>
        <v>2022</v>
      </c>
      <c r="C37" s="177">
        <f t="shared" si="3"/>
        <v>4.7991807595661136E-2</v>
      </c>
      <c r="D37" s="177">
        <f t="shared" si="3"/>
        <v>0.12000232112806825</v>
      </c>
      <c r="E37" s="177">
        <f t="shared" si="3"/>
        <v>0.16799412872372937</v>
      </c>
    </row>
    <row r="38" spans="1:12">
      <c r="B38" s="35">
        <f>B10</f>
        <v>2023</v>
      </c>
      <c r="C38" s="179">
        <f t="shared" si="3"/>
        <v>4.7799859580748234E-2</v>
      </c>
      <c r="D38" s="179">
        <f t="shared" si="3"/>
        <v>0.12000281353309418</v>
      </c>
      <c r="E38" s="179">
        <f t="shared" si="3"/>
        <v>0.16780267311384242</v>
      </c>
    </row>
    <row r="39" spans="1:12">
      <c r="B39" s="2" t="s">
        <v>175</v>
      </c>
      <c r="C39" s="177">
        <f>AVERAGE(C34:C38)</f>
        <v>4.6894771634684883E-2</v>
      </c>
      <c r="D39" s="177">
        <f t="shared" ref="D39:E39" si="4">AVERAGE(D34:D38)</f>
        <v>0.12500093981698576</v>
      </c>
      <c r="E39" s="177">
        <f t="shared" si="4"/>
        <v>0.17189571145167065</v>
      </c>
    </row>
    <row r="41" spans="1:12">
      <c r="B41" s="2" t="s">
        <v>722</v>
      </c>
      <c r="C41" s="177">
        <f>AVERAGE(C36:C38)</f>
        <v>4.7719778374890387E-2</v>
      </c>
      <c r="D41" s="177">
        <f>D38</f>
        <v>0.12000281353309418</v>
      </c>
      <c r="E41" s="177">
        <f>C41+D41</f>
        <v>0.16772259190798455</v>
      </c>
    </row>
    <row r="43" spans="1:12">
      <c r="B43" s="2" t="s">
        <v>496</v>
      </c>
      <c r="C43" s="2" t="s">
        <v>2727</v>
      </c>
    </row>
    <row r="44" spans="1:12">
      <c r="C44" s="2" t="s">
        <v>2728</v>
      </c>
    </row>
    <row r="46" spans="1:12">
      <c r="A46" s="17" t="s">
        <v>18</v>
      </c>
      <c r="B46" s="1" t="s">
        <v>2729</v>
      </c>
      <c r="C46" s="1"/>
      <c r="D46" s="1"/>
      <c r="E46" s="1"/>
      <c r="F46" s="1"/>
      <c r="G46" s="1"/>
      <c r="H46" s="1"/>
      <c r="I46" s="1"/>
      <c r="J46" s="1"/>
      <c r="K46" s="1"/>
      <c r="L46" s="1"/>
    </row>
    <row r="47" spans="1:12">
      <c r="A47" s="3"/>
      <c r="B47" s="3"/>
      <c r="C47" s="3"/>
      <c r="D47" s="3"/>
      <c r="E47" s="3"/>
      <c r="F47" s="3"/>
      <c r="G47" s="3"/>
      <c r="H47" s="3"/>
      <c r="I47" s="3"/>
      <c r="J47" s="3"/>
      <c r="K47" s="3"/>
      <c r="L47" s="3"/>
    </row>
    <row r="48" spans="1:12">
      <c r="A48" s="3" t="s">
        <v>20</v>
      </c>
      <c r="B48" s="3"/>
      <c r="C48" s="3"/>
      <c r="D48" s="3"/>
      <c r="E48" s="3"/>
      <c r="F48" s="3"/>
      <c r="G48" s="3"/>
      <c r="H48" s="3"/>
      <c r="I48" s="3"/>
      <c r="J48" s="3"/>
      <c r="K48" s="3"/>
      <c r="L48" s="3"/>
    </row>
    <row r="49" spans="2:8">
      <c r="B49" s="2" t="s">
        <v>2730</v>
      </c>
      <c r="D49" s="742"/>
    </row>
    <row r="50" spans="2:8">
      <c r="B50" s="2" t="s">
        <v>2731</v>
      </c>
      <c r="D50" s="742"/>
    </row>
    <row r="51" spans="2:8">
      <c r="B51" s="2" t="s">
        <v>2732</v>
      </c>
      <c r="D51" s="742"/>
      <c r="E51" s="443">
        <v>45108</v>
      </c>
    </row>
    <row r="52" spans="2:8">
      <c r="B52" s="2" t="s">
        <v>2352</v>
      </c>
      <c r="D52" s="742"/>
      <c r="E52" s="443">
        <v>46023</v>
      </c>
    </row>
    <row r="53" spans="2:8">
      <c r="B53" s="2" t="s">
        <v>2733</v>
      </c>
      <c r="E53" s="34">
        <f>DATEDIF(E51,E52,"M")/12</f>
        <v>2.5</v>
      </c>
      <c r="F53" s="2" t="s">
        <v>2154</v>
      </c>
      <c r="G53" s="34"/>
    </row>
    <row r="54" spans="2:8">
      <c r="C54" s="552"/>
      <c r="D54" s="552"/>
      <c r="E54" s="552"/>
      <c r="F54" s="552"/>
      <c r="G54" s="552"/>
    </row>
    <row r="55" spans="2:8" ht="46.8">
      <c r="B55" s="36" t="s">
        <v>3</v>
      </c>
      <c r="C55" s="36" t="s">
        <v>2734</v>
      </c>
      <c r="D55" s="36" t="s">
        <v>1059</v>
      </c>
      <c r="E55" s="36" t="s">
        <v>2735</v>
      </c>
      <c r="F55" s="36" t="s">
        <v>2736</v>
      </c>
      <c r="G55" s="36" t="s">
        <v>174</v>
      </c>
    </row>
    <row r="56" spans="2:8">
      <c r="B56" s="34">
        <f>B6</f>
        <v>2019</v>
      </c>
      <c r="C56" s="83">
        <f>G6*$D$12</f>
        <v>580000</v>
      </c>
      <c r="D56" s="176">
        <f>C56/C6</f>
        <v>22.480620155038761</v>
      </c>
      <c r="E56" s="34">
        <f t="shared" ref="E56:E58" si="5">E57+1</f>
        <v>6.5</v>
      </c>
      <c r="F56" s="132">
        <f>(1+$E$13)^E56</f>
        <v>1.1373682914754555</v>
      </c>
      <c r="G56" s="176">
        <f>F56*D56</f>
        <v>25.568744537045124</v>
      </c>
    </row>
    <row r="57" spans="2:8">
      <c r="B57" s="34">
        <f>B7</f>
        <v>2020</v>
      </c>
      <c r="C57" s="83">
        <f t="shared" ref="C57:C60" si="6">G7*$D$12</f>
        <v>568000</v>
      </c>
      <c r="D57" s="176">
        <f>C57/C7</f>
        <v>23.183673469387756</v>
      </c>
      <c r="E57" s="34">
        <f t="shared" si="5"/>
        <v>5.5</v>
      </c>
      <c r="F57" s="132">
        <f t="shared" ref="F57:F60" si="7">(1+$E$13)^E57</f>
        <v>1.115066952426917</v>
      </c>
      <c r="G57" s="176">
        <f t="shared" ref="G57:G60" si="8">F57*D57</f>
        <v>25.851348121570975</v>
      </c>
    </row>
    <row r="58" spans="2:8">
      <c r="B58" s="34">
        <f>B8</f>
        <v>2021</v>
      </c>
      <c r="C58" s="83">
        <f t="shared" si="6"/>
        <v>576000</v>
      </c>
      <c r="D58" s="176">
        <f>C58/C8</f>
        <v>24.935064935064936</v>
      </c>
      <c r="E58" s="34">
        <f t="shared" si="5"/>
        <v>4.5</v>
      </c>
      <c r="F58" s="132">
        <f t="shared" si="7"/>
        <v>1.0932028945361931</v>
      </c>
      <c r="G58" s="176">
        <f t="shared" si="8"/>
        <v>27.25908516246092</v>
      </c>
      <c r="H58" s="60"/>
    </row>
    <row r="59" spans="2:8">
      <c r="B59" s="34">
        <f>B9</f>
        <v>2022</v>
      </c>
      <c r="C59" s="83">
        <f t="shared" si="6"/>
        <v>568000</v>
      </c>
      <c r="D59" s="176">
        <f>C59/C9</f>
        <v>25.93607305936073</v>
      </c>
      <c r="E59" s="34">
        <f>E60+1</f>
        <v>3.5</v>
      </c>
      <c r="F59" s="132">
        <f t="shared" si="7"/>
        <v>1.0717675436629344</v>
      </c>
      <c r="G59" s="176">
        <f t="shared" si="8"/>
        <v>27.797441315093458</v>
      </c>
      <c r="H59" s="60"/>
    </row>
    <row r="60" spans="2:8">
      <c r="B60" s="34">
        <f>B10</f>
        <v>2023</v>
      </c>
      <c r="C60" s="83">
        <f t="shared" si="6"/>
        <v>556000</v>
      </c>
      <c r="D60" s="176">
        <f>C60/C10</f>
        <v>26.795180722891565</v>
      </c>
      <c r="E60" s="34">
        <f>E53</f>
        <v>2.5</v>
      </c>
      <c r="F60" s="132">
        <f t="shared" si="7"/>
        <v>1.0507524937871906</v>
      </c>
      <c r="G60" s="176">
        <f t="shared" si="8"/>
        <v>28.15510296605677</v>
      </c>
      <c r="H60" s="60"/>
    </row>
    <row r="62" spans="2:8">
      <c r="B62" s="98" t="s">
        <v>722</v>
      </c>
      <c r="G62" s="176">
        <f>AVERAGE(G58:G60)</f>
        <v>27.737209814537049</v>
      </c>
    </row>
    <row r="63" spans="2:8">
      <c r="B63" s="2" t="s">
        <v>2737</v>
      </c>
    </row>
  </sheetData>
  <hyperlinks>
    <hyperlink ref="O1" location="TOC!A1" display="Table of Contents" xr:uid="{428E295B-D3A6-49A5-AD16-01763E7426B8}"/>
  </hyperlinks>
  <pageMargins left="0.7" right="0.7" top="0.75" bottom="0.75" header="0.3" footer="0.3"/>
  <pageSetup orientation="portrait" verticalDpi="0" r:id="rId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1C57-A353-4B31-9223-E30C97526AF8}">
  <dimension ref="A1:R52"/>
  <sheetViews>
    <sheetView zoomScaleNormal="100" workbookViewId="0"/>
  </sheetViews>
  <sheetFormatPr defaultColWidth="8.88671875" defaultRowHeight="15.6"/>
  <cols>
    <col min="1" max="1" width="8.88671875" style="2" customWidth="1"/>
    <col min="2" max="12" width="10.6640625" style="2" customWidth="1"/>
    <col min="13" max="16384" width="8.88671875" style="2"/>
  </cols>
  <sheetData>
    <row r="1" spans="1:18" ht="17.399999999999999">
      <c r="A1" s="13" t="s">
        <v>2921</v>
      </c>
      <c r="B1" s="1"/>
      <c r="C1" s="1"/>
      <c r="D1" s="1" t="s">
        <v>0</v>
      </c>
      <c r="E1" s="1"/>
      <c r="F1" s="1"/>
      <c r="G1" s="1"/>
      <c r="H1" s="1"/>
      <c r="I1" s="1"/>
      <c r="J1" s="1"/>
      <c r="K1" s="1"/>
      <c r="L1" s="14"/>
      <c r="O1" s="21" t="s">
        <v>2927</v>
      </c>
    </row>
    <row r="2" spans="1:18">
      <c r="A2" s="1"/>
      <c r="B2" s="1"/>
      <c r="C2" s="1"/>
      <c r="D2" s="1"/>
      <c r="E2" s="1"/>
      <c r="F2" s="1"/>
      <c r="G2" s="1"/>
      <c r="H2" s="1"/>
      <c r="I2" s="1"/>
      <c r="J2" s="1"/>
      <c r="K2" s="1"/>
      <c r="L2" s="14"/>
    </row>
    <row r="3" spans="1:18">
      <c r="A3" s="1" t="s">
        <v>2738</v>
      </c>
      <c r="B3" s="1"/>
      <c r="C3" s="1"/>
      <c r="D3" s="1"/>
      <c r="E3" s="1"/>
      <c r="F3" s="1"/>
      <c r="G3" s="1"/>
      <c r="H3" s="1"/>
      <c r="I3" s="1"/>
      <c r="J3" s="1"/>
      <c r="K3" s="1"/>
      <c r="L3" s="14"/>
    </row>
    <row r="4" spans="1:18">
      <c r="A4" s="3"/>
      <c r="B4" s="3"/>
      <c r="C4" s="3"/>
      <c r="D4" s="3"/>
      <c r="E4" s="3"/>
      <c r="F4" s="3"/>
      <c r="G4" s="3"/>
      <c r="H4" s="3"/>
      <c r="I4" s="3"/>
      <c r="J4" s="3"/>
      <c r="K4" s="3"/>
      <c r="L4" s="3"/>
    </row>
    <row r="5" spans="1:18">
      <c r="A5" s="17" t="s">
        <v>91</v>
      </c>
      <c r="B5" s="1" t="s">
        <v>2739</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2740</v>
      </c>
      <c r="B9" s="3"/>
      <c r="C9" s="3"/>
      <c r="D9" s="3"/>
      <c r="E9" s="3"/>
      <c r="F9" s="3"/>
      <c r="G9" s="3"/>
      <c r="H9" s="3"/>
      <c r="I9" s="3"/>
      <c r="J9" s="3"/>
      <c r="K9" s="3"/>
      <c r="L9" s="3"/>
      <c r="M9" s="3"/>
      <c r="N9" s="9"/>
    </row>
    <row r="11" spans="1:18">
      <c r="A11" s="17" t="s">
        <v>133</v>
      </c>
      <c r="B11" s="1" t="s">
        <v>2741</v>
      </c>
      <c r="C11" s="1"/>
      <c r="D11" s="1"/>
      <c r="E11" s="1"/>
      <c r="F11" s="1"/>
      <c r="G11" s="1"/>
      <c r="H11" s="1"/>
      <c r="I11" s="1"/>
      <c r="J11" s="1"/>
      <c r="K11" s="1"/>
      <c r="L11" s="1"/>
    </row>
    <row r="12" spans="1:18">
      <c r="A12" s="3"/>
      <c r="B12" s="3"/>
      <c r="C12" s="3"/>
      <c r="D12" s="3"/>
      <c r="E12" s="3"/>
      <c r="F12" s="3"/>
      <c r="G12" s="3"/>
      <c r="H12" s="3"/>
      <c r="I12" s="3"/>
      <c r="J12" s="3"/>
      <c r="K12" s="3"/>
      <c r="L12" s="3"/>
    </row>
    <row r="13" spans="1:18">
      <c r="A13" s="3" t="s">
        <v>20</v>
      </c>
      <c r="B13" s="3"/>
      <c r="C13" s="3"/>
      <c r="D13" s="3"/>
      <c r="E13" s="3"/>
      <c r="F13" s="3"/>
      <c r="G13" s="3"/>
      <c r="H13" s="3"/>
      <c r="I13" s="3"/>
      <c r="J13" s="3"/>
      <c r="K13" s="3"/>
      <c r="L13" s="3"/>
    </row>
    <row r="14" spans="1:18">
      <c r="A14" s="3"/>
      <c r="B14" s="3"/>
      <c r="C14" s="3"/>
      <c r="D14" s="3"/>
      <c r="E14" s="3"/>
      <c r="F14" s="3"/>
      <c r="G14" s="3"/>
      <c r="H14" s="3"/>
      <c r="I14" s="3"/>
      <c r="J14" s="3"/>
      <c r="K14" s="3"/>
      <c r="L14" s="3"/>
    </row>
    <row r="15" spans="1:18">
      <c r="A15" s="3" t="s">
        <v>2742</v>
      </c>
      <c r="B15" s="3"/>
      <c r="C15" s="3"/>
      <c r="D15" s="3"/>
      <c r="E15" s="3"/>
      <c r="F15" s="3"/>
      <c r="G15" s="3"/>
      <c r="H15" s="3"/>
      <c r="I15" s="3"/>
      <c r="J15" s="3"/>
      <c r="K15" s="3"/>
      <c r="L15" s="3"/>
    </row>
    <row r="17" spans="1:12">
      <c r="A17" s="17" t="s">
        <v>18</v>
      </c>
      <c r="B17" s="1" t="s">
        <v>2743</v>
      </c>
      <c r="C17" s="1"/>
      <c r="D17" s="1"/>
      <c r="E17" s="1"/>
      <c r="F17" s="1"/>
      <c r="G17" s="1"/>
      <c r="H17" s="1"/>
      <c r="I17" s="1"/>
      <c r="J17" s="1"/>
      <c r="K17" s="1"/>
      <c r="L17" s="1"/>
    </row>
    <row r="18" spans="1:12">
      <c r="A18" s="3"/>
      <c r="B18" s="3"/>
      <c r="C18" s="3"/>
      <c r="D18" s="3"/>
      <c r="E18" s="3"/>
      <c r="F18" s="3"/>
      <c r="G18" s="3"/>
      <c r="H18" s="3"/>
      <c r="I18" s="3"/>
      <c r="J18" s="3"/>
      <c r="K18" s="3"/>
      <c r="L18" s="3"/>
    </row>
    <row r="19" spans="1:12">
      <c r="A19" s="3" t="s">
        <v>20</v>
      </c>
      <c r="B19" s="3"/>
      <c r="C19" s="3"/>
      <c r="D19" s="3"/>
      <c r="E19" s="3"/>
      <c r="F19" s="3"/>
      <c r="G19" s="3"/>
      <c r="H19" s="3"/>
      <c r="I19" s="3"/>
      <c r="J19" s="3"/>
      <c r="K19" s="3"/>
      <c r="L19" s="3"/>
    </row>
    <row r="20" spans="1:12">
      <c r="A20" s="3"/>
      <c r="B20" s="3"/>
      <c r="C20" s="3"/>
      <c r="D20" s="3"/>
      <c r="E20" s="3"/>
      <c r="F20" s="3"/>
      <c r="G20" s="3"/>
      <c r="H20" s="3"/>
      <c r="I20" s="3"/>
      <c r="J20" s="3"/>
      <c r="K20" s="3"/>
      <c r="L20" s="3"/>
    </row>
    <row r="21" spans="1:12">
      <c r="A21" s="3" t="s">
        <v>775</v>
      </c>
      <c r="B21" s="3"/>
      <c r="C21" s="3"/>
      <c r="D21" s="3"/>
      <c r="E21" s="3"/>
      <c r="F21" s="3"/>
      <c r="G21" s="3"/>
      <c r="H21" s="3"/>
      <c r="I21" s="3"/>
      <c r="J21" s="3"/>
      <c r="K21" s="3"/>
      <c r="L21" s="3"/>
    </row>
    <row r="22" spans="1:12">
      <c r="A22" s="100" t="s">
        <v>2744</v>
      </c>
      <c r="B22" s="3"/>
      <c r="C22" s="3"/>
      <c r="D22" s="3"/>
      <c r="E22" s="3"/>
      <c r="F22" s="3"/>
      <c r="G22" s="3"/>
      <c r="H22" s="3"/>
      <c r="I22" s="3"/>
      <c r="J22" s="3"/>
      <c r="K22" s="3"/>
      <c r="L22" s="3"/>
    </row>
    <row r="23" spans="1:12">
      <c r="A23" s="100" t="s">
        <v>2745</v>
      </c>
      <c r="B23" s="3"/>
      <c r="C23" s="3"/>
      <c r="D23" s="3"/>
      <c r="E23" s="3"/>
      <c r="F23" s="3"/>
      <c r="G23" s="3"/>
      <c r="H23" s="3"/>
      <c r="I23" s="3"/>
      <c r="J23" s="3"/>
      <c r="K23" s="3"/>
      <c r="L23" s="3"/>
    </row>
    <row r="24" spans="1:12">
      <c r="A24" s="100" t="s">
        <v>2746</v>
      </c>
      <c r="B24" s="3"/>
      <c r="C24" s="3"/>
      <c r="D24" s="3"/>
      <c r="E24" s="3"/>
      <c r="F24" s="3"/>
      <c r="G24" s="3"/>
      <c r="H24" s="3"/>
      <c r="I24" s="3"/>
      <c r="J24" s="3"/>
      <c r="K24" s="3"/>
      <c r="L24" s="3"/>
    </row>
    <row r="25" spans="1:12">
      <c r="A25" s="100" t="s">
        <v>2747</v>
      </c>
      <c r="B25" s="3"/>
      <c r="C25" s="3"/>
      <c r="D25" s="3"/>
      <c r="E25" s="3"/>
      <c r="F25" s="3"/>
      <c r="G25" s="3"/>
      <c r="H25" s="3"/>
      <c r="I25" s="3"/>
      <c r="J25" s="3"/>
      <c r="K25" s="3"/>
      <c r="L25" s="3"/>
    </row>
    <row r="26" spans="1:12">
      <c r="A26" s="100" t="s">
        <v>2748</v>
      </c>
      <c r="B26" s="3"/>
      <c r="C26" s="3"/>
      <c r="D26" s="3"/>
      <c r="E26" s="3"/>
      <c r="F26" s="3"/>
      <c r="G26" s="3"/>
      <c r="H26" s="3"/>
      <c r="I26" s="3"/>
      <c r="J26" s="3"/>
      <c r="K26" s="3"/>
      <c r="L26" s="3"/>
    </row>
    <row r="27" spans="1:12">
      <c r="A27" s="100" t="s">
        <v>2749</v>
      </c>
      <c r="B27" s="3"/>
      <c r="C27" s="3"/>
      <c r="D27" s="3"/>
      <c r="E27" s="3"/>
      <c r="F27" s="3"/>
      <c r="G27" s="3"/>
      <c r="H27" s="3"/>
      <c r="I27" s="3"/>
      <c r="J27" s="3"/>
      <c r="K27" s="3"/>
      <c r="L27" s="3"/>
    </row>
    <row r="28" spans="1:12">
      <c r="A28" s="100" t="s">
        <v>2750</v>
      </c>
      <c r="B28" s="3"/>
      <c r="C28" s="3"/>
      <c r="D28" s="3"/>
      <c r="E28" s="3"/>
      <c r="F28" s="3"/>
      <c r="G28" s="3"/>
      <c r="H28" s="3"/>
      <c r="I28" s="3"/>
      <c r="J28" s="3"/>
      <c r="K28" s="3"/>
      <c r="L28" s="3"/>
    </row>
    <row r="30" spans="1:12">
      <c r="A30" s="14"/>
      <c r="B30" s="14"/>
      <c r="C30" s="14"/>
      <c r="D30" s="14"/>
      <c r="E30" s="14"/>
      <c r="F30" s="14"/>
      <c r="G30" s="1"/>
      <c r="H30" s="1"/>
      <c r="I30" s="1"/>
      <c r="J30" s="1"/>
      <c r="K30" s="1"/>
      <c r="L30" s="1"/>
    </row>
    <row r="31" spans="1:12">
      <c r="A31" s="260" t="s">
        <v>2751</v>
      </c>
      <c r="B31" s="1"/>
      <c r="C31" s="1"/>
      <c r="D31" s="1"/>
      <c r="E31" s="1"/>
      <c r="F31" s="1"/>
      <c r="G31" s="1"/>
      <c r="H31" s="1"/>
      <c r="I31" s="1"/>
      <c r="J31" s="1"/>
      <c r="K31" s="1"/>
      <c r="L31" s="1"/>
    </row>
    <row r="32" spans="1:12">
      <c r="A32" s="1"/>
      <c r="B32" s="1"/>
      <c r="C32" s="1"/>
      <c r="D32" s="1"/>
      <c r="E32" s="1"/>
      <c r="F32" s="1"/>
      <c r="G32" s="1"/>
      <c r="H32" s="1"/>
      <c r="I32" s="1"/>
      <c r="J32" s="1"/>
      <c r="K32" s="1"/>
      <c r="L32" s="1"/>
    </row>
    <row r="33" spans="1:12">
      <c r="A33" s="1"/>
      <c r="B33" s="519" t="s">
        <v>2752</v>
      </c>
      <c r="C33" s="1"/>
      <c r="D33" s="1"/>
      <c r="E33" s="1"/>
      <c r="F33" s="1"/>
      <c r="G33" s="1"/>
      <c r="H33" s="1"/>
      <c r="I33" s="1"/>
      <c r="J33" s="1"/>
      <c r="K33" s="1"/>
      <c r="L33" s="1"/>
    </row>
    <row r="34" spans="1:12">
      <c r="A34" s="1"/>
      <c r="B34" s="519" t="s">
        <v>2753</v>
      </c>
      <c r="C34" s="1"/>
      <c r="D34" s="1"/>
      <c r="E34" s="1"/>
      <c r="F34" s="1"/>
      <c r="G34" s="1"/>
      <c r="H34" s="1"/>
      <c r="I34" s="1"/>
      <c r="J34" s="1"/>
      <c r="K34" s="1"/>
      <c r="L34" s="1"/>
    </row>
    <row r="35" spans="1:12">
      <c r="A35" s="1"/>
      <c r="B35" s="519" t="s">
        <v>2754</v>
      </c>
      <c r="C35" s="1"/>
      <c r="D35" s="1"/>
      <c r="E35" s="1"/>
      <c r="F35" s="1"/>
      <c r="G35" s="1"/>
      <c r="H35" s="1"/>
      <c r="I35" s="1"/>
      <c r="J35" s="1"/>
      <c r="K35" s="1"/>
      <c r="L35" s="1"/>
    </row>
    <row r="36" spans="1:12">
      <c r="A36" s="1"/>
      <c r="B36" s="519" t="s">
        <v>2755</v>
      </c>
      <c r="C36" s="1"/>
      <c r="D36" s="1"/>
      <c r="E36" s="1"/>
      <c r="F36" s="1"/>
      <c r="G36" s="1"/>
      <c r="H36" s="1"/>
      <c r="I36" s="1"/>
      <c r="J36" s="1"/>
      <c r="K36" s="1"/>
      <c r="L36" s="1"/>
    </row>
    <row r="37" spans="1:12">
      <c r="A37" s="1"/>
      <c r="B37" s="1"/>
      <c r="C37" s="1"/>
      <c r="D37" s="1"/>
      <c r="E37" s="1"/>
      <c r="F37" s="1"/>
      <c r="G37" s="1"/>
      <c r="H37" s="1"/>
      <c r="I37" s="1"/>
      <c r="J37" s="1"/>
      <c r="K37" s="1"/>
      <c r="L37" s="1"/>
    </row>
    <row r="38" spans="1:12">
      <c r="A38" s="1"/>
      <c r="B38" s="1"/>
      <c r="C38" s="705" t="s">
        <v>2756</v>
      </c>
      <c r="D38" s="1"/>
      <c r="E38" s="46"/>
      <c r="F38" s="1"/>
      <c r="G38" s="1"/>
      <c r="H38" s="1"/>
      <c r="I38" s="1"/>
      <c r="J38" s="1"/>
      <c r="K38" s="1"/>
      <c r="L38" s="1"/>
    </row>
    <row r="39" spans="1:12">
      <c r="A39" s="1"/>
      <c r="B39" s="1"/>
      <c r="C39" s="705"/>
      <c r="D39" s="1"/>
      <c r="E39" s="1"/>
      <c r="F39" s="1"/>
      <c r="G39" s="1"/>
      <c r="H39" s="1"/>
      <c r="I39" s="1"/>
      <c r="J39" s="1"/>
      <c r="K39" s="1"/>
      <c r="L39" s="1"/>
    </row>
    <row r="40" spans="1:12">
      <c r="A40" s="1"/>
      <c r="B40" s="1"/>
      <c r="C40" s="705" t="s">
        <v>2757</v>
      </c>
      <c r="D40" s="1"/>
      <c r="E40" s="46"/>
      <c r="F40" s="1"/>
      <c r="G40" s="1"/>
      <c r="H40" s="1"/>
      <c r="I40" s="1"/>
      <c r="J40" s="1"/>
      <c r="K40" s="1"/>
      <c r="L40" s="1"/>
    </row>
    <row r="41" spans="1:12">
      <c r="A41" s="1"/>
      <c r="B41" s="1"/>
      <c r="C41" s="1"/>
      <c r="D41" s="1"/>
      <c r="E41" s="1"/>
      <c r="F41" s="1"/>
      <c r="G41" s="1"/>
      <c r="H41" s="1"/>
      <c r="I41" s="1"/>
      <c r="J41" s="1"/>
      <c r="K41" s="1"/>
      <c r="L41" s="1"/>
    </row>
    <row r="43" spans="1:12">
      <c r="A43" s="17" t="s">
        <v>25</v>
      </c>
      <c r="B43" s="1" t="s">
        <v>2758</v>
      </c>
      <c r="C43" s="1"/>
      <c r="D43" s="1"/>
      <c r="E43" s="1"/>
      <c r="F43" s="1"/>
      <c r="G43" s="1"/>
      <c r="H43" s="1"/>
      <c r="I43" s="1"/>
      <c r="J43" s="1"/>
      <c r="K43" s="1"/>
      <c r="L43" s="1"/>
    </row>
    <row r="44" spans="1:12">
      <c r="A44" s="3"/>
      <c r="B44" s="3"/>
      <c r="C44" s="3"/>
      <c r="D44" s="3"/>
      <c r="E44" s="3"/>
      <c r="F44" s="3"/>
      <c r="G44" s="3"/>
      <c r="H44" s="3"/>
      <c r="I44" s="3"/>
      <c r="J44" s="3"/>
      <c r="K44" s="3"/>
      <c r="L44" s="3"/>
    </row>
    <row r="45" spans="1:12">
      <c r="A45" s="3" t="s">
        <v>20</v>
      </c>
      <c r="B45" s="3"/>
      <c r="C45" s="3"/>
      <c r="D45" s="3"/>
      <c r="E45" s="3"/>
      <c r="F45" s="3"/>
      <c r="G45" s="3"/>
      <c r="H45" s="3"/>
      <c r="I45" s="3"/>
      <c r="J45" s="3"/>
      <c r="K45" s="3"/>
      <c r="L45" s="3"/>
    </row>
    <row r="47" spans="1:12">
      <c r="A47" s="2" t="s">
        <v>2759</v>
      </c>
      <c r="E47" s="743"/>
    </row>
    <row r="48" spans="1:12">
      <c r="B48" s="3" t="s">
        <v>2760</v>
      </c>
      <c r="C48" s="3"/>
      <c r="D48" s="3"/>
      <c r="E48" s="3">
        <v>45</v>
      </c>
      <c r="F48" s="3"/>
    </row>
    <row r="49" spans="1:6">
      <c r="B49" s="3" t="s">
        <v>2761</v>
      </c>
      <c r="C49" s="3"/>
      <c r="D49" s="3"/>
      <c r="E49" s="3">
        <f>E48-3</f>
        <v>42</v>
      </c>
      <c r="F49" s="100" t="s">
        <v>2762</v>
      </c>
    </row>
    <row r="50" spans="1:6">
      <c r="B50" s="2" t="s">
        <v>2763</v>
      </c>
      <c r="E50" s="2">
        <f>0.6*E49+0.4*E48</f>
        <v>43.2</v>
      </c>
    </row>
    <row r="51" spans="1:6">
      <c r="A51" s="2" t="s">
        <v>2764</v>
      </c>
      <c r="E51" s="2">
        <f>E50/6</f>
        <v>7.2</v>
      </c>
    </row>
    <row r="52" spans="1:6">
      <c r="A52" s="2" t="s">
        <v>2765</v>
      </c>
      <c r="E52" s="744">
        <f>EXP(0.045*E51)*EXP(-0.007*E51)</f>
        <v>1.3146888215209858</v>
      </c>
    </row>
  </sheetData>
  <hyperlinks>
    <hyperlink ref="O1" location="TOC!A1" display="Table of Contents" xr:uid="{D08CDBA3-D569-4C21-9D66-68075F6C91E6}"/>
  </hyperlinks>
  <pageMargins left="0.7" right="0.7" top="0.75" bottom="0.75" header="0.3" footer="0.3"/>
  <pageSetup orientation="portrait" verticalDpi="0" r:id="rId1"/>
  <drawing r:id="rId2"/>
  <legacyDrawing r:id="rId3"/>
  <oleObjects>
    <mc:AlternateContent xmlns:mc="http://schemas.openxmlformats.org/markup-compatibility/2006">
      <mc:Choice Requires="x14">
        <oleObject progId="Equation.DSMT4" shapeId="13313" r:id="rId4">
          <objectPr defaultSize="0" autoPict="0" r:id="rId5">
            <anchor moveWithCells="1" sizeWithCells="1">
              <from>
                <xdr:col>3</xdr:col>
                <xdr:colOff>670560</xdr:colOff>
                <xdr:row>36</xdr:row>
                <xdr:rowOff>175260</xdr:rowOff>
              </from>
              <to>
                <xdr:col>5</xdr:col>
                <xdr:colOff>381000</xdr:colOff>
                <xdr:row>38</xdr:row>
                <xdr:rowOff>45720</xdr:rowOff>
              </to>
            </anchor>
          </objectPr>
        </oleObject>
      </mc:Choice>
      <mc:Fallback>
        <oleObject progId="Equation.DSMT4" shapeId="13313" r:id="rId4"/>
      </mc:Fallback>
    </mc:AlternateContent>
    <mc:AlternateContent xmlns:mc="http://schemas.openxmlformats.org/markup-compatibility/2006">
      <mc:Choice Requires="x14">
        <oleObject progId="Equation.DSMT4" shapeId="13314" r:id="rId6">
          <objectPr defaultSize="0" autoPict="0" r:id="rId7">
            <anchor moveWithCells="1" sizeWithCells="1">
              <from>
                <xdr:col>3</xdr:col>
                <xdr:colOff>632460</xdr:colOff>
                <xdr:row>38</xdr:row>
                <xdr:rowOff>175260</xdr:rowOff>
              </from>
              <to>
                <xdr:col>5</xdr:col>
                <xdr:colOff>342900</xdr:colOff>
                <xdr:row>40</xdr:row>
                <xdr:rowOff>45720</xdr:rowOff>
              </to>
            </anchor>
          </objectPr>
        </oleObject>
      </mc:Choice>
      <mc:Fallback>
        <oleObject progId="Equation.DSMT4" shapeId="13314" r:id="rId6"/>
      </mc:Fallback>
    </mc:AlternateContent>
  </oleObjec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72936-768F-4AE7-BB9D-D2C924A485C3}">
  <dimension ref="A1:R116"/>
  <sheetViews>
    <sheetView zoomScaleNormal="100" workbookViewId="0"/>
  </sheetViews>
  <sheetFormatPr defaultColWidth="8.88671875" defaultRowHeight="15.6"/>
  <cols>
    <col min="1" max="2" width="17.33203125" style="2" customWidth="1"/>
    <col min="3" max="5" width="14.6640625" style="2" customWidth="1"/>
    <col min="6" max="6" width="15.33203125" style="2" customWidth="1"/>
    <col min="7" max="9" width="12.6640625" style="2" customWidth="1"/>
    <col min="10" max="16384" width="8.88671875" style="2"/>
  </cols>
  <sheetData>
    <row r="1" spans="1:18" ht="17.399999999999999">
      <c r="A1" s="13" t="s">
        <v>2920</v>
      </c>
      <c r="B1" s="1"/>
      <c r="C1" s="1"/>
      <c r="D1" s="1" t="s">
        <v>240</v>
      </c>
      <c r="E1" s="1"/>
      <c r="F1" s="1"/>
      <c r="G1" s="1"/>
      <c r="H1" s="1"/>
      <c r="I1" s="1"/>
      <c r="J1" s="1"/>
      <c r="K1" s="1"/>
      <c r="L1" s="14"/>
      <c r="O1" s="21" t="s">
        <v>2927</v>
      </c>
    </row>
    <row r="2" spans="1:18">
      <c r="A2" s="1"/>
      <c r="B2" s="1"/>
      <c r="C2" s="1"/>
      <c r="D2" s="1"/>
      <c r="E2" s="1"/>
      <c r="F2" s="1"/>
      <c r="G2" s="1"/>
      <c r="H2" s="1"/>
      <c r="I2" s="1"/>
      <c r="J2" s="1"/>
      <c r="K2" s="1"/>
      <c r="L2" s="14"/>
    </row>
    <row r="3" spans="1:18">
      <c r="A3" s="3"/>
      <c r="B3" s="3"/>
      <c r="C3" s="3"/>
      <c r="D3" s="3"/>
      <c r="E3" s="3"/>
      <c r="F3" s="3"/>
      <c r="G3" s="3"/>
      <c r="H3" s="3"/>
      <c r="I3" s="3"/>
      <c r="J3" s="3"/>
      <c r="K3" s="3"/>
      <c r="L3" s="3"/>
    </row>
    <row r="4" spans="1:18">
      <c r="A4" s="17" t="s">
        <v>91</v>
      </c>
      <c r="B4" s="1" t="s">
        <v>2766</v>
      </c>
      <c r="C4" s="1"/>
      <c r="D4" s="1"/>
      <c r="E4" s="1"/>
      <c r="F4" s="1"/>
      <c r="G4" s="1"/>
      <c r="H4" s="1"/>
      <c r="I4" s="1"/>
      <c r="J4" s="1"/>
      <c r="K4" s="1"/>
      <c r="L4" s="1"/>
      <c r="M4" s="9"/>
      <c r="N4" s="9"/>
      <c r="O4" s="9"/>
      <c r="P4" s="9"/>
      <c r="Q4" s="9"/>
      <c r="R4" s="9"/>
    </row>
    <row r="5" spans="1:18">
      <c r="A5" s="3"/>
      <c r="B5" s="3"/>
      <c r="C5" s="3"/>
      <c r="D5" s="3"/>
      <c r="E5" s="3"/>
      <c r="F5" s="3"/>
      <c r="G5" s="3"/>
      <c r="H5" s="3"/>
      <c r="I5" s="3"/>
      <c r="J5" s="3"/>
      <c r="K5" s="3"/>
      <c r="L5" s="3"/>
      <c r="M5" s="3"/>
    </row>
    <row r="6" spans="1:18">
      <c r="A6" s="3" t="s">
        <v>20</v>
      </c>
      <c r="B6" s="3"/>
      <c r="C6" s="3"/>
      <c r="D6" s="3"/>
      <c r="E6" s="3"/>
      <c r="F6" s="3"/>
      <c r="G6" s="3"/>
      <c r="H6" s="3"/>
      <c r="I6" s="3"/>
      <c r="J6" s="3"/>
      <c r="K6" s="3"/>
      <c r="L6" s="3"/>
      <c r="M6" s="3"/>
      <c r="N6" s="9"/>
    </row>
    <row r="7" spans="1:18">
      <c r="A7" s="3"/>
      <c r="B7" s="3"/>
      <c r="C7" s="3"/>
      <c r="D7" s="3"/>
      <c r="E7" s="3"/>
      <c r="F7" s="3"/>
      <c r="G7" s="3"/>
      <c r="H7" s="3"/>
      <c r="I7" s="3"/>
      <c r="J7" s="3"/>
      <c r="K7" s="3"/>
      <c r="L7" s="3"/>
      <c r="M7" s="3"/>
      <c r="N7" s="9"/>
    </row>
    <row r="8" spans="1:18">
      <c r="A8" s="3" t="s">
        <v>2767</v>
      </c>
      <c r="B8" s="3"/>
      <c r="C8" s="3"/>
      <c r="D8" s="3"/>
      <c r="E8" s="3"/>
      <c r="F8" s="3"/>
      <c r="G8" s="3"/>
      <c r="H8" s="3"/>
      <c r="I8" s="3"/>
      <c r="J8" s="3"/>
      <c r="K8" s="3"/>
      <c r="L8" s="3"/>
      <c r="M8" s="3"/>
      <c r="N8" s="9"/>
    </row>
    <row r="10" spans="1:18">
      <c r="A10" s="17" t="s">
        <v>133</v>
      </c>
      <c r="B10" s="1" t="s">
        <v>2768</v>
      </c>
      <c r="C10" s="1"/>
      <c r="D10" s="1"/>
      <c r="E10" s="1"/>
      <c r="F10" s="1"/>
      <c r="G10" s="1"/>
      <c r="H10" s="1"/>
      <c r="I10" s="1"/>
      <c r="J10" s="1"/>
      <c r="K10" s="1"/>
      <c r="L10" s="1"/>
    </row>
    <row r="11" spans="1:18">
      <c r="A11" s="3"/>
      <c r="B11" s="3"/>
      <c r="C11" s="3"/>
      <c r="D11" s="3"/>
      <c r="E11" s="3"/>
      <c r="F11" s="3"/>
      <c r="G11" s="3"/>
      <c r="H11" s="3"/>
      <c r="I11" s="3"/>
      <c r="J11" s="3"/>
      <c r="K11" s="3"/>
      <c r="L11" s="3"/>
    </row>
    <row r="12" spans="1:18">
      <c r="A12" s="3" t="s">
        <v>20</v>
      </c>
      <c r="B12" s="3"/>
      <c r="C12" s="3"/>
      <c r="D12" s="3"/>
      <c r="E12" s="3"/>
      <c r="F12" s="3"/>
      <c r="G12" s="3"/>
      <c r="H12" s="3"/>
      <c r="I12" s="3"/>
      <c r="J12" s="3"/>
      <c r="K12" s="3"/>
      <c r="L12" s="3"/>
    </row>
    <row r="13" spans="1:18">
      <c r="A13" s="3"/>
      <c r="B13" s="3"/>
      <c r="C13" s="3"/>
      <c r="D13" s="3"/>
      <c r="E13" s="3"/>
      <c r="F13" s="3"/>
      <c r="G13" s="3"/>
      <c r="H13" s="3"/>
      <c r="I13" s="3"/>
      <c r="J13" s="3"/>
      <c r="K13" s="3"/>
      <c r="L13" s="3"/>
    </row>
    <row r="14" spans="1:18">
      <c r="A14" s="3" t="s">
        <v>2769</v>
      </c>
      <c r="B14" s="3"/>
      <c r="C14" s="3"/>
      <c r="D14" s="3"/>
      <c r="E14" s="3"/>
      <c r="F14" s="3"/>
      <c r="G14" s="3"/>
      <c r="H14" s="3"/>
      <c r="I14" s="3"/>
      <c r="J14" s="3"/>
      <c r="K14" s="3"/>
      <c r="L14" s="3"/>
    </row>
    <row r="16" spans="1:18">
      <c r="A16" s="14"/>
      <c r="B16" s="14"/>
      <c r="C16" s="14"/>
      <c r="D16" s="14"/>
      <c r="E16" s="14"/>
      <c r="F16" s="14"/>
      <c r="G16" s="1"/>
      <c r="H16" s="1"/>
      <c r="I16" s="1"/>
      <c r="J16" s="1"/>
      <c r="K16" s="1"/>
      <c r="L16" s="1"/>
    </row>
    <row r="17" spans="1:12">
      <c r="A17" s="1" t="s">
        <v>2770</v>
      </c>
      <c r="B17" s="14"/>
      <c r="C17" s="14"/>
      <c r="D17" s="14"/>
      <c r="E17" s="14"/>
      <c r="F17" s="14"/>
      <c r="G17" s="1"/>
      <c r="H17" s="1"/>
      <c r="I17" s="1"/>
      <c r="J17" s="1"/>
      <c r="K17" s="1"/>
      <c r="L17" s="1"/>
    </row>
    <row r="19" spans="1:12">
      <c r="A19" s="17" t="s">
        <v>18</v>
      </c>
      <c r="B19" s="1" t="s">
        <v>2771</v>
      </c>
      <c r="C19" s="1"/>
      <c r="D19" s="1"/>
      <c r="E19" s="1"/>
      <c r="F19" s="1"/>
      <c r="G19" s="1"/>
      <c r="H19" s="1"/>
      <c r="I19" s="1"/>
      <c r="J19" s="1"/>
      <c r="K19" s="1"/>
      <c r="L19" s="1"/>
    </row>
    <row r="20" spans="1:12">
      <c r="A20" s="3"/>
      <c r="B20" s="3"/>
      <c r="C20" s="3"/>
      <c r="D20" s="3"/>
      <c r="E20" s="3"/>
      <c r="F20" s="3"/>
      <c r="G20" s="3"/>
      <c r="H20" s="3"/>
      <c r="I20" s="3"/>
      <c r="J20" s="3"/>
      <c r="K20" s="3"/>
      <c r="L20" s="3"/>
    </row>
    <row r="21" spans="1:12">
      <c r="A21" s="3" t="s">
        <v>20</v>
      </c>
      <c r="B21" s="3"/>
      <c r="C21" s="3"/>
      <c r="D21" s="3"/>
      <c r="E21" s="3"/>
      <c r="F21" s="3"/>
      <c r="G21" s="3"/>
      <c r="H21" s="3"/>
      <c r="I21" s="3"/>
      <c r="J21" s="3"/>
      <c r="K21" s="3"/>
      <c r="L21" s="3"/>
    </row>
    <row r="22" spans="1:12">
      <c r="A22" s="3"/>
      <c r="B22" s="3"/>
      <c r="C22" s="3"/>
      <c r="D22" s="3"/>
      <c r="E22" s="3"/>
      <c r="F22" s="3"/>
      <c r="G22" s="3"/>
      <c r="H22" s="3"/>
      <c r="I22" s="3"/>
      <c r="J22" s="3"/>
      <c r="K22" s="3"/>
      <c r="L22" s="3"/>
    </row>
    <row r="23" spans="1:12">
      <c r="A23" s="3" t="s">
        <v>2772</v>
      </c>
      <c r="B23" s="3"/>
      <c r="C23" s="3"/>
      <c r="D23" s="3"/>
      <c r="E23" s="3"/>
      <c r="F23" s="3"/>
      <c r="G23" s="3"/>
      <c r="H23" s="3"/>
      <c r="I23" s="3"/>
      <c r="J23" s="3"/>
      <c r="K23" s="3"/>
      <c r="L23" s="3"/>
    </row>
    <row r="24" spans="1:12">
      <c r="A24" s="3"/>
      <c r="B24" s="3"/>
      <c r="C24" s="3"/>
      <c r="D24" s="3"/>
      <c r="E24" s="3"/>
      <c r="F24" s="3"/>
      <c r="G24" s="3"/>
      <c r="H24" s="3"/>
      <c r="I24" s="3"/>
      <c r="J24" s="3"/>
      <c r="K24" s="3"/>
      <c r="L24" s="3"/>
    </row>
    <row r="25" spans="1:12">
      <c r="A25" s="3" t="s">
        <v>2773</v>
      </c>
      <c r="B25" s="3"/>
      <c r="C25" s="3"/>
      <c r="D25" s="3"/>
      <c r="E25" s="3"/>
      <c r="F25" s="3"/>
      <c r="G25" s="3"/>
      <c r="H25" s="3"/>
      <c r="I25" s="3"/>
      <c r="J25" s="3"/>
      <c r="K25" s="3"/>
      <c r="L25" s="3"/>
    </row>
    <row r="27" spans="1:12">
      <c r="A27" s="14"/>
      <c r="B27" s="14"/>
      <c r="C27" s="14"/>
      <c r="D27" s="14"/>
      <c r="E27" s="14"/>
      <c r="F27" s="14"/>
      <c r="G27" s="1"/>
      <c r="H27" s="1"/>
      <c r="I27" s="1"/>
      <c r="J27" s="1"/>
      <c r="K27" s="1"/>
      <c r="L27" s="1"/>
    </row>
    <row r="28" spans="1:12">
      <c r="A28" s="260" t="s">
        <v>2774</v>
      </c>
      <c r="B28" s="1"/>
      <c r="C28" s="1"/>
      <c r="D28" s="1"/>
      <c r="E28" s="1"/>
      <c r="F28" s="1"/>
      <c r="G28" s="1"/>
      <c r="H28" s="1"/>
      <c r="I28" s="1"/>
      <c r="J28" s="1"/>
      <c r="K28" s="1"/>
      <c r="L28" s="1"/>
    </row>
    <row r="29" spans="1:12">
      <c r="A29" s="1"/>
      <c r="B29" s="1"/>
      <c r="C29" s="1"/>
      <c r="D29" s="1"/>
      <c r="E29" s="1"/>
      <c r="F29" s="1"/>
      <c r="G29" s="1"/>
      <c r="H29" s="1"/>
      <c r="I29" s="1"/>
      <c r="J29" s="1"/>
      <c r="K29" s="1"/>
      <c r="L29" s="1"/>
    </row>
    <row r="30" spans="1:12">
      <c r="A30" s="1"/>
      <c r="B30" s="163" t="s">
        <v>1170</v>
      </c>
      <c r="C30" s="163" t="s">
        <v>66</v>
      </c>
      <c r="D30" s="163" t="s">
        <v>66</v>
      </c>
      <c r="E30" s="1"/>
      <c r="F30" s="1"/>
      <c r="G30" s="1"/>
      <c r="H30" s="1"/>
      <c r="I30" s="1"/>
      <c r="J30" s="1"/>
      <c r="K30" s="1"/>
      <c r="L30" s="1"/>
    </row>
    <row r="31" spans="1:12">
      <c r="A31" s="1"/>
      <c r="B31" s="166" t="s">
        <v>55</v>
      </c>
      <c r="C31" s="166" t="s">
        <v>124</v>
      </c>
      <c r="D31" s="166" t="s">
        <v>1172</v>
      </c>
      <c r="E31" s="1"/>
      <c r="F31" s="1"/>
      <c r="G31" s="1"/>
      <c r="H31" s="1"/>
      <c r="I31" s="1"/>
      <c r="J31" s="1"/>
      <c r="K31" s="1"/>
      <c r="L31" s="1"/>
    </row>
    <row r="32" spans="1:12">
      <c r="A32" s="1"/>
      <c r="B32" s="197">
        <v>2021</v>
      </c>
      <c r="C32" s="92">
        <v>30400000</v>
      </c>
      <c r="D32" s="92">
        <v>1489600</v>
      </c>
      <c r="E32" s="1"/>
      <c r="F32" s="1"/>
      <c r="G32" s="1"/>
      <c r="H32" s="1"/>
      <c r="I32" s="1"/>
      <c r="J32" s="1"/>
      <c r="K32" s="1"/>
      <c r="L32" s="1"/>
    </row>
    <row r="33" spans="1:12">
      <c r="A33" s="1"/>
      <c r="B33" s="32">
        <v>2022</v>
      </c>
      <c r="C33" s="92">
        <v>31698113</v>
      </c>
      <c r="D33" s="92">
        <v>1680000</v>
      </c>
      <c r="E33" s="1"/>
      <c r="F33" s="1"/>
      <c r="G33" s="1"/>
      <c r="H33" s="1"/>
      <c r="I33" s="1"/>
      <c r="J33" s="1"/>
      <c r="K33" s="1"/>
      <c r="L33" s="1"/>
    </row>
    <row r="34" spans="1:12">
      <c r="A34" s="1"/>
      <c r="B34" s="32">
        <v>2023</v>
      </c>
      <c r="C34" s="92">
        <v>28000000</v>
      </c>
      <c r="D34" s="92">
        <v>1596000</v>
      </c>
      <c r="E34" s="1"/>
      <c r="F34" s="1"/>
      <c r="G34" s="1"/>
      <c r="H34" s="1"/>
      <c r="I34" s="1"/>
      <c r="J34" s="1"/>
      <c r="K34" s="1"/>
      <c r="L34" s="1"/>
    </row>
    <row r="35" spans="1:12">
      <c r="A35" s="1"/>
      <c r="B35" s="1"/>
      <c r="C35" s="1"/>
      <c r="D35" s="1"/>
      <c r="E35" s="1"/>
      <c r="F35" s="1"/>
      <c r="G35" s="1"/>
      <c r="H35" s="1"/>
      <c r="I35" s="1"/>
      <c r="J35" s="1"/>
      <c r="K35" s="1"/>
      <c r="L35" s="1"/>
    </row>
    <row r="36" spans="1:12">
      <c r="A36" s="1"/>
      <c r="B36" s="163"/>
      <c r="C36" s="163" t="s">
        <v>2775</v>
      </c>
      <c r="D36" s="1"/>
      <c r="E36" s="1"/>
      <c r="F36" s="1"/>
      <c r="G36" s="1"/>
      <c r="H36" s="1"/>
      <c r="I36" s="1"/>
      <c r="J36" s="1"/>
      <c r="K36" s="1"/>
      <c r="L36" s="1"/>
    </row>
    <row r="37" spans="1:12">
      <c r="A37" s="1"/>
      <c r="B37" s="166"/>
      <c r="C37" s="166" t="s">
        <v>2776</v>
      </c>
      <c r="D37" s="14"/>
      <c r="E37" s="1"/>
      <c r="F37" s="1"/>
      <c r="G37" s="1"/>
      <c r="H37" s="1"/>
      <c r="I37" s="1"/>
      <c r="J37" s="1"/>
      <c r="K37" s="1"/>
      <c r="L37" s="1"/>
    </row>
    <row r="38" spans="1:12">
      <c r="A38" s="1"/>
      <c r="B38" s="359" t="s">
        <v>14</v>
      </c>
      <c r="C38" s="92">
        <v>19507585</v>
      </c>
      <c r="D38" s="14"/>
      <c r="E38" s="1"/>
      <c r="F38" s="1"/>
      <c r="G38" s="1"/>
      <c r="H38" s="1"/>
      <c r="I38" s="1"/>
      <c r="J38" s="1"/>
      <c r="K38" s="1"/>
      <c r="L38" s="1"/>
    </row>
    <row r="39" spans="1:12">
      <c r="A39" s="1"/>
      <c r="B39" s="359" t="s">
        <v>2777</v>
      </c>
      <c r="C39" s="92">
        <v>7861668</v>
      </c>
      <c r="D39" s="14"/>
      <c r="E39" s="1"/>
      <c r="F39" s="1"/>
      <c r="G39" s="1"/>
      <c r="H39" s="1"/>
      <c r="I39" s="1"/>
      <c r="J39" s="1"/>
      <c r="K39" s="1"/>
      <c r="L39" s="1"/>
    </row>
    <row r="40" spans="1:12">
      <c r="A40" s="1"/>
      <c r="B40" s="359" t="s">
        <v>2778</v>
      </c>
      <c r="C40" s="92">
        <v>4812040</v>
      </c>
      <c r="D40" s="14"/>
      <c r="E40" s="1"/>
      <c r="F40" s="1"/>
      <c r="G40" s="1"/>
      <c r="H40" s="1"/>
      <c r="I40" s="1"/>
      <c r="J40" s="1"/>
      <c r="K40" s="1"/>
      <c r="L40" s="1"/>
    </row>
    <row r="41" spans="1:12">
      <c r="A41" s="1"/>
      <c r="B41" s="1"/>
      <c r="C41" s="1"/>
      <c r="D41" s="1"/>
      <c r="E41" s="1"/>
      <c r="F41" s="1"/>
      <c r="G41" s="1"/>
      <c r="H41" s="1"/>
      <c r="I41" s="1"/>
      <c r="J41" s="1"/>
      <c r="K41" s="1"/>
      <c r="L41" s="1"/>
    </row>
    <row r="42" spans="1:12">
      <c r="A42" s="1"/>
      <c r="B42" s="519" t="s">
        <v>2779</v>
      </c>
      <c r="C42" s="377">
        <v>0.25</v>
      </c>
      <c r="D42" s="204" t="s">
        <v>2780</v>
      </c>
      <c r="E42" s="14"/>
      <c r="F42" s="1"/>
      <c r="G42" s="1"/>
      <c r="H42" s="1"/>
      <c r="I42" s="377">
        <v>0.75</v>
      </c>
      <c r="J42" s="204" t="s">
        <v>2781</v>
      </c>
      <c r="K42" s="1"/>
      <c r="L42" s="1"/>
    </row>
    <row r="43" spans="1:12">
      <c r="A43" s="1"/>
      <c r="B43" s="204" t="s">
        <v>2782</v>
      </c>
      <c r="C43" s="1"/>
      <c r="D43" s="1"/>
      <c r="E43" s="1"/>
      <c r="F43" s="1"/>
      <c r="G43" s="1"/>
      <c r="H43" s="1"/>
      <c r="I43" s="1"/>
      <c r="J43" s="1"/>
      <c r="K43" s="1"/>
      <c r="L43" s="1"/>
    </row>
    <row r="45" spans="1:12">
      <c r="A45" s="17" t="s">
        <v>25</v>
      </c>
      <c r="B45" s="1" t="s">
        <v>2783</v>
      </c>
      <c r="C45" s="1"/>
      <c r="D45" s="1"/>
      <c r="E45" s="1"/>
      <c r="F45" s="1"/>
      <c r="G45" s="1"/>
      <c r="H45" s="1"/>
      <c r="I45" s="1"/>
      <c r="J45" s="1"/>
      <c r="K45" s="1"/>
      <c r="L45" s="1"/>
    </row>
    <row r="46" spans="1:12">
      <c r="A46" s="3"/>
      <c r="B46" s="3"/>
      <c r="C46" s="3"/>
      <c r="D46" s="3"/>
      <c r="E46" s="3"/>
      <c r="F46" s="3"/>
      <c r="G46" s="3"/>
      <c r="H46" s="3"/>
      <c r="I46" s="3"/>
      <c r="J46" s="3"/>
      <c r="K46" s="3"/>
      <c r="L46" s="3"/>
    </row>
    <row r="47" spans="1:12">
      <c r="A47" s="3" t="s">
        <v>20</v>
      </c>
      <c r="B47" s="3"/>
      <c r="C47" s="3"/>
      <c r="D47" s="3"/>
      <c r="E47" s="3"/>
      <c r="F47" s="3"/>
      <c r="G47" s="3"/>
      <c r="H47" s="3"/>
      <c r="I47" s="3"/>
      <c r="J47" s="3"/>
      <c r="K47" s="3"/>
      <c r="L47" s="3"/>
    </row>
    <row r="48" spans="1:12">
      <c r="A48" s="3"/>
      <c r="B48" s="3"/>
      <c r="C48" s="3"/>
      <c r="D48" s="3"/>
      <c r="E48" s="3"/>
      <c r="F48" s="3"/>
      <c r="G48" s="3"/>
      <c r="H48" s="3"/>
      <c r="I48" s="3"/>
      <c r="J48" s="3"/>
      <c r="K48" s="3"/>
      <c r="L48" s="3"/>
    </row>
    <row r="49" spans="1:5">
      <c r="A49" s="94"/>
      <c r="B49" s="94"/>
      <c r="C49" s="94"/>
      <c r="D49" s="94" t="s">
        <v>2784</v>
      </c>
    </row>
    <row r="50" spans="1:5">
      <c r="A50" s="94" t="s">
        <v>1170</v>
      </c>
      <c r="B50" s="94" t="s">
        <v>66</v>
      </c>
      <c r="C50" s="94" t="s">
        <v>66</v>
      </c>
      <c r="D50" s="94" t="s">
        <v>1172</v>
      </c>
    </row>
    <row r="51" spans="1:5">
      <c r="A51" s="107" t="s">
        <v>55</v>
      </c>
      <c r="B51" s="107" t="s">
        <v>124</v>
      </c>
      <c r="C51" s="107" t="s">
        <v>1172</v>
      </c>
      <c r="D51" s="107" t="s">
        <v>281</v>
      </c>
    </row>
    <row r="52" spans="1:5">
      <c r="A52" s="94">
        <v>2021</v>
      </c>
      <c r="B52" s="745">
        <f>C32</f>
        <v>30400000</v>
      </c>
      <c r="C52" s="745">
        <f t="shared" ref="C52:C54" si="0">D32</f>
        <v>1489600</v>
      </c>
      <c r="D52" s="136">
        <f>C52/B52</f>
        <v>4.9000000000000002E-2</v>
      </c>
    </row>
    <row r="53" spans="1:5">
      <c r="A53" s="94">
        <v>2022</v>
      </c>
      <c r="B53" s="745">
        <f t="shared" ref="B53:B54" si="1">C33</f>
        <v>31698113</v>
      </c>
      <c r="C53" s="745">
        <f t="shared" si="0"/>
        <v>1680000</v>
      </c>
      <c r="D53" s="136">
        <f t="shared" ref="D53:D55" si="2">C53/B53</f>
        <v>5.3000000347023811E-2</v>
      </c>
    </row>
    <row r="54" spans="1:5">
      <c r="A54" s="107">
        <v>2023</v>
      </c>
      <c r="B54" s="746">
        <f t="shared" si="1"/>
        <v>28000000</v>
      </c>
      <c r="C54" s="746">
        <f t="shared" si="0"/>
        <v>1596000</v>
      </c>
      <c r="D54" s="136">
        <f t="shared" si="2"/>
        <v>5.7000000000000002E-2</v>
      </c>
    </row>
    <row r="55" spans="1:5">
      <c r="A55" s="94"/>
      <c r="B55" s="305">
        <v>90098113.207547173</v>
      </c>
      <c r="C55" s="305">
        <v>4765600</v>
      </c>
      <c r="D55" s="747">
        <f t="shared" si="2"/>
        <v>5.2893449489026634E-2</v>
      </c>
    </row>
    <row r="56" spans="1:5">
      <c r="A56" s="34"/>
      <c r="E56" s="18"/>
    </row>
    <row r="57" spans="1:5">
      <c r="A57" s="34"/>
      <c r="C57" s="34" t="s">
        <v>1732</v>
      </c>
      <c r="D57" s="136">
        <f>AVERAGE(D53:D54)</f>
        <v>5.5000000173511907E-2</v>
      </c>
      <c r="E57" s="18"/>
    </row>
    <row r="58" spans="1:5" ht="16.2">
      <c r="A58" s="3"/>
      <c r="B58" s="3"/>
      <c r="C58" s="3"/>
      <c r="D58" s="748"/>
    </row>
    <row r="59" spans="1:5">
      <c r="A59" s="3"/>
      <c r="B59" s="94" t="s">
        <v>2775</v>
      </c>
      <c r="C59" s="94" t="s">
        <v>2785</v>
      </c>
      <c r="D59" s="94" t="s">
        <v>323</v>
      </c>
    </row>
    <row r="60" spans="1:5">
      <c r="A60" s="749"/>
      <c r="B60" s="750" t="s">
        <v>2776</v>
      </c>
      <c r="C60" s="107" t="s">
        <v>2786</v>
      </c>
      <c r="D60" s="107" t="s">
        <v>1172</v>
      </c>
    </row>
    <row r="61" spans="1:5">
      <c r="A61" s="143" t="s">
        <v>2787</v>
      </c>
      <c r="B61" s="745">
        <f>C38</f>
        <v>19507585</v>
      </c>
      <c r="C61" s="751">
        <f>I42</f>
        <v>0.75</v>
      </c>
      <c r="D61" s="745">
        <f>B61*C61*$D$57</f>
        <v>804687.8837885987</v>
      </c>
    </row>
    <row r="62" spans="1:5">
      <c r="A62" s="143" t="s">
        <v>2777</v>
      </c>
      <c r="B62" s="745">
        <f t="shared" ref="B62:B63" si="3">C39</f>
        <v>7861668</v>
      </c>
      <c r="C62" s="351">
        <f>C61</f>
        <v>0.75</v>
      </c>
      <c r="D62" s="745">
        <f t="shared" ref="D62:D63" si="4">B62*C62*$D$57</f>
        <v>324293.80602306977</v>
      </c>
    </row>
    <row r="63" spans="1:5">
      <c r="A63" s="752" t="s">
        <v>2778</v>
      </c>
      <c r="B63" s="746">
        <f t="shared" si="3"/>
        <v>4812040</v>
      </c>
      <c r="C63" s="351">
        <v>1</v>
      </c>
      <c r="D63" s="746">
        <f t="shared" si="4"/>
        <v>264662.20083494624</v>
      </c>
    </row>
    <row r="64" spans="1:5">
      <c r="A64" s="143"/>
      <c r="B64" s="305">
        <v>41919318</v>
      </c>
      <c r="C64" s="753"/>
      <c r="D64" s="305">
        <f>SUM(D61:D63)</f>
        <v>1393643.8906466146</v>
      </c>
    </row>
    <row r="66" spans="1:12">
      <c r="A66" s="14"/>
      <c r="B66" s="14"/>
      <c r="C66" s="14"/>
      <c r="D66" s="14"/>
      <c r="E66" s="14"/>
      <c r="F66" s="14"/>
      <c r="G66" s="1"/>
      <c r="H66" s="1"/>
      <c r="I66" s="1"/>
      <c r="J66" s="1"/>
      <c r="K66" s="1"/>
      <c r="L66" s="1"/>
    </row>
    <row r="67" spans="1:12">
      <c r="A67" s="260" t="s">
        <v>2788</v>
      </c>
      <c r="B67" s="1"/>
      <c r="C67" s="1"/>
      <c r="D67" s="1"/>
      <c r="E67" s="1"/>
      <c r="F67" s="1"/>
      <c r="G67" s="1"/>
      <c r="H67" s="1"/>
      <c r="I67" s="1"/>
      <c r="J67" s="1"/>
      <c r="K67" s="1"/>
      <c r="L67" s="1"/>
    </row>
    <row r="68" spans="1:12">
      <c r="A68" s="1"/>
      <c r="B68" s="1"/>
      <c r="C68" s="1"/>
      <c r="D68" s="1"/>
      <c r="E68" s="1"/>
      <c r="F68" s="1"/>
      <c r="G68" s="1"/>
      <c r="H68" s="1"/>
      <c r="I68" s="1"/>
      <c r="J68" s="1"/>
      <c r="K68" s="1"/>
      <c r="L68" s="1"/>
    </row>
    <row r="69" spans="1:12">
      <c r="A69" s="1"/>
      <c r="B69" s="206"/>
      <c r="C69" s="841" t="s">
        <v>2789</v>
      </c>
      <c r="D69" s="841"/>
      <c r="E69" s="841"/>
      <c r="F69" s="1"/>
      <c r="G69" s="1"/>
      <c r="H69" s="1"/>
      <c r="I69" s="1"/>
      <c r="J69" s="1"/>
      <c r="K69" s="1"/>
      <c r="L69" s="1"/>
    </row>
    <row r="70" spans="1:12" ht="31.2">
      <c r="A70" s="1"/>
      <c r="B70" s="187" t="s">
        <v>3</v>
      </c>
      <c r="C70" s="4" t="s">
        <v>2790</v>
      </c>
      <c r="D70" s="4" t="s">
        <v>1437</v>
      </c>
      <c r="E70" s="4" t="s">
        <v>1438</v>
      </c>
      <c r="F70" s="1"/>
      <c r="G70" s="1"/>
      <c r="H70" s="1"/>
      <c r="I70" s="1"/>
      <c r="J70" s="1"/>
      <c r="K70" s="1"/>
      <c r="L70" s="1"/>
    </row>
    <row r="71" spans="1:12">
      <c r="A71" s="1"/>
      <c r="B71" s="32">
        <v>2021</v>
      </c>
      <c r="C71" s="92">
        <v>2325</v>
      </c>
      <c r="D71" s="92">
        <v>1336</v>
      </c>
      <c r="E71" s="92">
        <v>2370</v>
      </c>
      <c r="F71" s="1"/>
      <c r="G71" s="1"/>
      <c r="H71" s="1"/>
      <c r="I71" s="1"/>
      <c r="J71" s="1"/>
      <c r="K71" s="1"/>
      <c r="L71" s="1"/>
    </row>
    <row r="72" spans="1:12">
      <c r="A72" s="1"/>
      <c r="B72" s="32">
        <v>2022</v>
      </c>
      <c r="C72" s="92">
        <v>2550</v>
      </c>
      <c r="D72" s="92">
        <v>1391</v>
      </c>
      <c r="E72" s="92">
        <v>2495</v>
      </c>
      <c r="F72" s="1"/>
      <c r="G72" s="1"/>
      <c r="H72" s="1"/>
      <c r="I72" s="1"/>
      <c r="J72" s="1"/>
      <c r="K72" s="1"/>
      <c r="L72" s="1"/>
    </row>
    <row r="73" spans="1:12">
      <c r="A73" s="1"/>
      <c r="B73" s="32">
        <v>2023</v>
      </c>
      <c r="C73" s="92">
        <v>2528</v>
      </c>
      <c r="D73" s="92">
        <v>1402</v>
      </c>
      <c r="E73" s="92">
        <v>2517</v>
      </c>
      <c r="F73" s="1"/>
      <c r="G73" s="1"/>
      <c r="H73" s="1"/>
      <c r="I73" s="1"/>
      <c r="J73" s="1"/>
      <c r="K73" s="1"/>
      <c r="L73" s="1"/>
    </row>
    <row r="74" spans="1:12">
      <c r="A74" s="1"/>
      <c r="B74" s="1"/>
      <c r="C74" s="1"/>
      <c r="D74" s="1"/>
      <c r="E74" s="1"/>
      <c r="F74" s="1"/>
      <c r="G74" s="1"/>
      <c r="H74" s="1"/>
      <c r="I74" s="1"/>
      <c r="J74" s="1"/>
      <c r="K74" s="1"/>
      <c r="L74" s="1"/>
    </row>
    <row r="75" spans="1:12">
      <c r="A75" s="1"/>
      <c r="B75" s="206"/>
      <c r="C75" s="853" t="s">
        <v>2791</v>
      </c>
      <c r="D75" s="841"/>
      <c r="E75" s="841"/>
      <c r="F75" s="1"/>
      <c r="G75" s="1"/>
      <c r="H75" s="1"/>
      <c r="I75" s="1"/>
      <c r="J75" s="1"/>
      <c r="K75" s="1"/>
      <c r="L75" s="1"/>
    </row>
    <row r="76" spans="1:12" ht="31.2">
      <c r="A76" s="1"/>
      <c r="B76" s="187" t="s">
        <v>3</v>
      </c>
      <c r="C76" s="360" t="s">
        <v>2790</v>
      </c>
      <c r="D76" s="4" t="s">
        <v>1437</v>
      </c>
      <c r="E76" s="4" t="s">
        <v>1438</v>
      </c>
      <c r="F76" s="1"/>
      <c r="G76" s="1"/>
      <c r="H76" s="1"/>
      <c r="I76" s="1"/>
      <c r="J76" s="1"/>
      <c r="K76" s="1"/>
      <c r="L76" s="1"/>
    </row>
    <row r="77" spans="1:12">
      <c r="A77" s="1"/>
      <c r="B77" s="197">
        <v>2024</v>
      </c>
      <c r="C77" s="92">
        <v>1067</v>
      </c>
      <c r="D77" s="92">
        <v>1044</v>
      </c>
      <c r="E77" s="92">
        <v>1425</v>
      </c>
      <c r="F77" s="1"/>
      <c r="G77" s="1"/>
      <c r="H77" s="1"/>
      <c r="I77" s="1"/>
      <c r="J77" s="1"/>
      <c r="K77" s="1"/>
      <c r="L77" s="1"/>
    </row>
    <row r="78" spans="1:12">
      <c r="A78" s="1"/>
      <c r="B78" s="32">
        <v>2025</v>
      </c>
      <c r="C78" s="32">
        <v>122</v>
      </c>
      <c r="D78" s="32">
        <v>323</v>
      </c>
      <c r="E78" s="32">
        <v>843</v>
      </c>
      <c r="F78" s="1"/>
      <c r="G78" s="1"/>
      <c r="H78" s="1"/>
      <c r="I78" s="1"/>
      <c r="J78" s="1"/>
      <c r="K78" s="1"/>
      <c r="L78" s="1"/>
    </row>
    <row r="79" spans="1:12">
      <c r="A79" s="1"/>
      <c r="B79" s="32">
        <v>2026</v>
      </c>
      <c r="C79" s="754">
        <v>0</v>
      </c>
      <c r="D79" s="754">
        <v>0</v>
      </c>
      <c r="E79" s="32">
        <v>323</v>
      </c>
      <c r="F79" s="1"/>
      <c r="G79" s="1"/>
      <c r="H79" s="1"/>
      <c r="I79" s="1"/>
      <c r="J79" s="1"/>
      <c r="K79" s="1"/>
      <c r="L79" s="1"/>
    </row>
    <row r="80" spans="1:12">
      <c r="A80" s="1"/>
      <c r="B80" s="1"/>
      <c r="C80" s="1"/>
      <c r="D80" s="1"/>
      <c r="E80" s="1"/>
      <c r="F80" s="1"/>
      <c r="G80" s="1"/>
      <c r="H80" s="1"/>
      <c r="I80" s="1"/>
      <c r="J80" s="1"/>
      <c r="K80" s="1"/>
      <c r="L80" s="1"/>
    </row>
    <row r="81" spans="1:12" ht="31.2">
      <c r="A81" s="1"/>
      <c r="B81" s="826"/>
      <c r="C81" s="826"/>
      <c r="D81" s="5" t="s">
        <v>2792</v>
      </c>
      <c r="E81" s="1"/>
      <c r="F81" s="1"/>
      <c r="G81" s="1"/>
      <c r="H81" s="1"/>
      <c r="I81" s="1"/>
      <c r="J81" s="1"/>
      <c r="K81" s="1"/>
      <c r="L81" s="1"/>
    </row>
    <row r="82" spans="1:12">
      <c r="A82" s="1"/>
      <c r="B82" s="856" t="s">
        <v>2011</v>
      </c>
      <c r="C82" s="856"/>
      <c r="D82" s="462">
        <v>0.3</v>
      </c>
      <c r="E82" s="1"/>
      <c r="F82" s="1"/>
      <c r="G82" s="1"/>
      <c r="H82" s="1"/>
      <c r="I82" s="1"/>
      <c r="J82" s="1"/>
      <c r="K82" s="1"/>
      <c r="L82" s="1"/>
    </row>
    <row r="83" spans="1:12">
      <c r="A83" s="1"/>
      <c r="B83" s="856" t="s">
        <v>2012</v>
      </c>
      <c r="C83" s="856"/>
      <c r="D83" s="462">
        <v>0.5</v>
      </c>
      <c r="E83" s="1"/>
      <c r="F83" s="1"/>
      <c r="G83" s="1"/>
      <c r="H83" s="1"/>
      <c r="I83" s="1"/>
      <c r="J83" s="1"/>
      <c r="K83" s="1"/>
      <c r="L83" s="1"/>
    </row>
    <row r="84" spans="1:12">
      <c r="A84" s="1"/>
      <c r="B84" s="856" t="s">
        <v>2013</v>
      </c>
      <c r="C84" s="856"/>
      <c r="D84" s="462">
        <v>0.2</v>
      </c>
      <c r="E84" s="1"/>
      <c r="F84" s="1"/>
      <c r="G84" s="1"/>
      <c r="H84" s="1"/>
      <c r="I84" s="1"/>
      <c r="J84" s="1"/>
      <c r="K84" s="1"/>
      <c r="L84" s="1"/>
    </row>
    <row r="85" spans="1:12">
      <c r="A85" s="1"/>
      <c r="B85" s="1"/>
      <c r="C85" s="1"/>
      <c r="D85" s="1"/>
      <c r="E85" s="1"/>
      <c r="F85" s="1"/>
      <c r="G85" s="1"/>
      <c r="H85" s="1"/>
      <c r="I85" s="1"/>
      <c r="J85" s="1"/>
      <c r="K85" s="1"/>
      <c r="L85" s="1"/>
    </row>
    <row r="86" spans="1:12">
      <c r="A86" s="1"/>
      <c r="B86" s="519" t="s">
        <v>2793</v>
      </c>
      <c r="C86" s="1"/>
      <c r="D86" s="1"/>
      <c r="E86" s="1"/>
      <c r="F86" s="377">
        <v>0</v>
      </c>
      <c r="G86" s="1"/>
      <c r="H86" s="1"/>
      <c r="I86" s="1"/>
      <c r="J86" s="1"/>
      <c r="K86" s="1"/>
      <c r="L86" s="1"/>
    </row>
    <row r="87" spans="1:12">
      <c r="A87" s="1"/>
      <c r="B87" s="519" t="s">
        <v>2794</v>
      </c>
      <c r="C87" s="1"/>
      <c r="D87" s="1"/>
      <c r="E87" s="1"/>
      <c r="F87" s="377">
        <v>0.02</v>
      </c>
      <c r="G87" s="1"/>
      <c r="H87" s="1"/>
      <c r="I87" s="1"/>
      <c r="J87" s="1"/>
      <c r="K87" s="1"/>
      <c r="L87" s="1"/>
    </row>
    <row r="89" spans="1:12">
      <c r="A89" s="17" t="s">
        <v>147</v>
      </c>
      <c r="B89" s="831" t="s">
        <v>2795</v>
      </c>
      <c r="C89" s="831"/>
      <c r="D89" s="831"/>
      <c r="E89" s="831"/>
      <c r="F89" s="831"/>
      <c r="G89" s="831"/>
      <c r="H89" s="831"/>
      <c r="I89" s="831"/>
      <c r="J89" s="831"/>
      <c r="K89" s="831"/>
      <c r="L89" s="1"/>
    </row>
    <row r="90" spans="1:12">
      <c r="A90" s="14"/>
      <c r="B90" s="831"/>
      <c r="C90" s="831"/>
      <c r="D90" s="831"/>
      <c r="E90" s="831"/>
      <c r="F90" s="831"/>
      <c r="G90" s="831"/>
      <c r="H90" s="831"/>
      <c r="I90" s="831"/>
      <c r="J90" s="831"/>
      <c r="K90" s="831"/>
      <c r="L90" s="1"/>
    </row>
    <row r="91" spans="1:12">
      <c r="A91" s="3"/>
      <c r="B91" s="3"/>
      <c r="C91" s="3"/>
      <c r="D91" s="3"/>
      <c r="E91" s="3"/>
      <c r="F91" s="3"/>
      <c r="G91" s="3"/>
      <c r="H91" s="3"/>
      <c r="I91" s="3"/>
      <c r="J91" s="3"/>
      <c r="K91" s="3"/>
      <c r="L91" s="3"/>
    </row>
    <row r="92" spans="1:12">
      <c r="A92" s="3" t="s">
        <v>20</v>
      </c>
      <c r="B92" s="3"/>
      <c r="C92" s="3"/>
      <c r="D92" s="3"/>
      <c r="E92" s="3"/>
      <c r="F92" s="3"/>
      <c r="G92" s="3"/>
      <c r="H92" s="3"/>
      <c r="I92" s="3"/>
      <c r="J92" s="3"/>
      <c r="K92" s="3"/>
      <c r="L92" s="3"/>
    </row>
    <row r="93" spans="1:12">
      <c r="A93" s="3"/>
      <c r="B93" s="3"/>
      <c r="C93" s="3"/>
      <c r="D93" s="3"/>
      <c r="E93" s="3"/>
      <c r="F93" s="3"/>
      <c r="G93" s="3"/>
      <c r="H93" s="3"/>
      <c r="I93" s="3"/>
      <c r="J93" s="3"/>
      <c r="K93" s="3"/>
      <c r="L93" s="3"/>
    </row>
    <row r="94" spans="1:12" ht="31.2">
      <c r="A94" s="93" t="s">
        <v>3</v>
      </c>
      <c r="B94" s="93" t="s">
        <v>2796</v>
      </c>
      <c r="C94" s="18"/>
      <c r="D94" s="18"/>
      <c r="E94" s="755"/>
      <c r="G94" s="3"/>
      <c r="H94" s="3"/>
      <c r="I94" s="3"/>
      <c r="J94" s="3"/>
      <c r="K94" s="3"/>
      <c r="L94" s="3"/>
    </row>
    <row r="95" spans="1:12">
      <c r="A95" s="94">
        <v>2024</v>
      </c>
      <c r="B95" s="745">
        <f>D73+C77-E77</f>
        <v>1044</v>
      </c>
      <c r="C95" s="18"/>
      <c r="D95" s="18"/>
      <c r="E95" s="756"/>
      <c r="G95" s="3"/>
      <c r="H95" s="3"/>
      <c r="I95" s="3"/>
      <c r="J95" s="3"/>
      <c r="K95" s="3"/>
      <c r="L95" s="3"/>
    </row>
    <row r="96" spans="1:12">
      <c r="A96" s="94">
        <v>2025</v>
      </c>
      <c r="B96" s="745">
        <f>B95+C78-E78</f>
        <v>323</v>
      </c>
      <c r="C96" s="18"/>
      <c r="D96" s="18"/>
      <c r="E96" s="756"/>
      <c r="G96" s="3"/>
      <c r="H96" s="3"/>
      <c r="I96" s="3"/>
      <c r="J96" s="3"/>
      <c r="K96" s="3"/>
      <c r="L96" s="3"/>
    </row>
    <row r="97" spans="1:12">
      <c r="A97" s="94">
        <v>2026</v>
      </c>
      <c r="B97" s="745">
        <f>B96+C79-E79</f>
        <v>0</v>
      </c>
      <c r="C97" s="18"/>
      <c r="D97" s="18"/>
      <c r="E97" s="756"/>
      <c r="G97" s="3"/>
      <c r="H97" s="3"/>
      <c r="I97" s="3"/>
      <c r="J97" s="3"/>
      <c r="K97" s="3"/>
      <c r="L97" s="3"/>
    </row>
    <row r="99" spans="1:12">
      <c r="A99" s="17" t="s">
        <v>545</v>
      </c>
      <c r="B99" s="1" t="s">
        <v>2797</v>
      </c>
      <c r="C99" s="1"/>
      <c r="D99" s="1"/>
      <c r="E99" s="1"/>
      <c r="F99" s="1"/>
      <c r="G99" s="1"/>
      <c r="H99" s="1"/>
      <c r="I99" s="1"/>
      <c r="J99" s="1"/>
      <c r="K99" s="1"/>
      <c r="L99" s="1"/>
    </row>
    <row r="100" spans="1:12">
      <c r="A100" s="3"/>
      <c r="B100" s="3"/>
      <c r="C100" s="3"/>
      <c r="D100" s="3"/>
      <c r="E100" s="3"/>
      <c r="F100" s="3"/>
      <c r="G100" s="3"/>
      <c r="H100" s="3"/>
      <c r="I100" s="3"/>
      <c r="J100" s="3"/>
      <c r="K100" s="3"/>
      <c r="L100" s="3"/>
    </row>
    <row r="101" spans="1:12">
      <c r="A101" s="3" t="s">
        <v>20</v>
      </c>
      <c r="B101" s="3"/>
      <c r="C101" s="3"/>
      <c r="D101" s="3"/>
      <c r="E101" s="3"/>
      <c r="F101" s="3"/>
      <c r="G101" s="3"/>
      <c r="H101" s="3"/>
      <c r="I101" s="3"/>
      <c r="J101" s="3"/>
      <c r="K101" s="3"/>
      <c r="L101" s="3"/>
    </row>
    <row r="102" spans="1:12">
      <c r="A102" s="185"/>
      <c r="B102" s="757"/>
      <c r="C102" s="843" t="s">
        <v>304</v>
      </c>
      <c r="D102" s="843"/>
      <c r="E102" s="843"/>
      <c r="F102" s="843"/>
      <c r="G102" s="842" t="s">
        <v>2798</v>
      </c>
      <c r="H102" s="842"/>
      <c r="I102" s="842"/>
    </row>
    <row r="103" spans="1:12" ht="31.2">
      <c r="A103" s="93" t="s">
        <v>3</v>
      </c>
      <c r="B103" s="93" t="s">
        <v>5</v>
      </c>
      <c r="C103" s="93" t="s">
        <v>2790</v>
      </c>
      <c r="D103" s="93" t="s">
        <v>1437</v>
      </c>
      <c r="E103" s="93" t="s">
        <v>1438</v>
      </c>
      <c r="F103" s="93" t="s">
        <v>2799</v>
      </c>
      <c r="G103" s="843"/>
      <c r="H103" s="842"/>
      <c r="I103" s="842"/>
    </row>
    <row r="104" spans="1:12">
      <c r="A104" s="758" t="s">
        <v>2800</v>
      </c>
      <c r="B104" s="758"/>
      <c r="C104" s="759">
        <f>D82</f>
        <v>0.3</v>
      </c>
      <c r="D104" s="759">
        <f>D83</f>
        <v>0.5</v>
      </c>
      <c r="E104" s="759">
        <f>D84</f>
        <v>0.2</v>
      </c>
      <c r="F104" s="758"/>
      <c r="G104" s="758"/>
      <c r="H104" s="758"/>
      <c r="I104" s="758"/>
    </row>
    <row r="105" spans="1:12">
      <c r="A105" s="94">
        <v>2021</v>
      </c>
      <c r="B105" s="760">
        <f>D32</f>
        <v>1489600</v>
      </c>
      <c r="C105" s="760">
        <f>C71</f>
        <v>2325</v>
      </c>
      <c r="D105" s="760">
        <f t="shared" ref="D105:E105" si="5">D71</f>
        <v>1336</v>
      </c>
      <c r="E105" s="760">
        <f t="shared" si="5"/>
        <v>2370</v>
      </c>
      <c r="F105" s="760">
        <f>SUMPRODUCT($C$104:$E$104,C105:E105)</f>
        <v>1839.5</v>
      </c>
      <c r="G105" s="760">
        <f>B105/F105</f>
        <v>809.78526773579779</v>
      </c>
      <c r="H105" s="761"/>
      <c r="I105" s="762"/>
    </row>
    <row r="106" spans="1:12">
      <c r="A106" s="94">
        <v>2022</v>
      </c>
      <c r="B106" s="760">
        <f t="shared" ref="B106:B107" si="6">D33</f>
        <v>1680000</v>
      </c>
      <c r="C106" s="760">
        <f t="shared" ref="C106:E107" si="7">C72</f>
        <v>2550</v>
      </c>
      <c r="D106" s="760">
        <f t="shared" si="7"/>
        <v>1391</v>
      </c>
      <c r="E106" s="760">
        <f t="shared" si="7"/>
        <v>2495</v>
      </c>
      <c r="F106" s="760">
        <f t="shared" ref="F106:F107" si="8">SUMPRODUCT($C$104:$E$104,C106:E106)</f>
        <v>1959.5</v>
      </c>
      <c r="G106" s="760">
        <f t="shared" ref="G106:G107" si="9">B106/F106</f>
        <v>857.36157182954832</v>
      </c>
      <c r="H106" s="761"/>
      <c r="I106" s="762"/>
    </row>
    <row r="107" spans="1:12">
      <c r="A107" s="94">
        <v>2023</v>
      </c>
      <c r="B107" s="760">
        <f t="shared" si="6"/>
        <v>1596000</v>
      </c>
      <c r="C107" s="760">
        <f t="shared" si="7"/>
        <v>2528</v>
      </c>
      <c r="D107" s="760">
        <f t="shared" si="7"/>
        <v>1402</v>
      </c>
      <c r="E107" s="760">
        <f t="shared" si="7"/>
        <v>2517</v>
      </c>
      <c r="F107" s="760">
        <f t="shared" si="8"/>
        <v>1962.8000000000002</v>
      </c>
      <c r="G107" s="760">
        <f t="shared" si="9"/>
        <v>813.12410841654776</v>
      </c>
      <c r="H107" s="761"/>
      <c r="I107" s="762"/>
    </row>
    <row r="108" spans="1:12">
      <c r="A108" s="3"/>
      <c r="B108" s="660"/>
      <c r="C108" s="660"/>
      <c r="D108" s="660"/>
      <c r="E108" s="660"/>
      <c r="F108" s="660"/>
      <c r="G108" s="660"/>
      <c r="H108" s="660"/>
      <c r="I108" s="660"/>
    </row>
    <row r="109" spans="1:12">
      <c r="A109" s="3"/>
      <c r="B109" s="660"/>
      <c r="C109" s="660"/>
      <c r="D109" s="660"/>
      <c r="E109" s="660"/>
      <c r="F109" s="763" t="s">
        <v>2801</v>
      </c>
      <c r="G109" s="760">
        <f>AVERAGE(G105:G107)</f>
        <v>826.75698266063125</v>
      </c>
      <c r="I109" s="764"/>
    </row>
    <row r="110" spans="1:12">
      <c r="A110" s="3"/>
      <c r="B110" s="660"/>
      <c r="C110" s="660"/>
      <c r="D110" s="660"/>
      <c r="E110" s="660"/>
      <c r="F110" s="763"/>
      <c r="G110" s="760"/>
      <c r="I110" s="764"/>
    </row>
    <row r="111" spans="1:12">
      <c r="A111" s="185"/>
      <c r="B111" s="843" t="s">
        <v>304</v>
      </c>
      <c r="C111" s="843"/>
      <c r="D111" s="843"/>
      <c r="E111" s="843"/>
      <c r="F111" s="842" t="s">
        <v>2802</v>
      </c>
      <c r="G111" s="842" t="s">
        <v>2803</v>
      </c>
      <c r="H111" s="842" t="s">
        <v>2804</v>
      </c>
      <c r="I111" s="842" t="s">
        <v>2805</v>
      </c>
    </row>
    <row r="112" spans="1:12">
      <c r="A112" s="93" t="s">
        <v>3</v>
      </c>
      <c r="B112" s="93" t="s">
        <v>2790</v>
      </c>
      <c r="C112" s="93" t="s">
        <v>1437</v>
      </c>
      <c r="D112" s="93" t="s">
        <v>1438</v>
      </c>
      <c r="E112" s="93" t="s">
        <v>2799</v>
      </c>
      <c r="F112" s="843"/>
      <c r="G112" s="843"/>
      <c r="H112" s="843"/>
      <c r="I112" s="843"/>
    </row>
    <row r="113" spans="1:9">
      <c r="A113" s="94">
        <f>A107+1</f>
        <v>2024</v>
      </c>
      <c r="B113" s="760">
        <f>C77</f>
        <v>1067</v>
      </c>
      <c r="C113" s="760">
        <f t="shared" ref="C113:D113" si="10">D77</f>
        <v>1044</v>
      </c>
      <c r="D113" s="760">
        <f t="shared" si="10"/>
        <v>1425</v>
      </c>
      <c r="E113" s="760">
        <f>SUMPRODUCT(B113:D113,$C$104:$E$104)</f>
        <v>1127.0999999999999</v>
      </c>
      <c r="F113" s="760">
        <v>1</v>
      </c>
      <c r="G113" s="765">
        <f>(1+$F$87)^F113</f>
        <v>1.02</v>
      </c>
      <c r="H113" s="760">
        <f>$G$109*G113</f>
        <v>843.29212231384395</v>
      </c>
      <c r="I113" s="760">
        <f>E113*H113</f>
        <v>950474.55105993338</v>
      </c>
    </row>
    <row r="114" spans="1:9">
      <c r="A114" s="94">
        <f>A113+1</f>
        <v>2025</v>
      </c>
      <c r="B114" s="760">
        <f t="shared" ref="B114:D115" si="11">C78</f>
        <v>122</v>
      </c>
      <c r="C114" s="760">
        <f t="shared" si="11"/>
        <v>323</v>
      </c>
      <c r="D114" s="760">
        <f t="shared" si="11"/>
        <v>843</v>
      </c>
      <c r="E114" s="760">
        <f t="shared" ref="E114:E115" si="12">SUMPRODUCT(B114:D114,$C$104:$E$104)</f>
        <v>366.70000000000005</v>
      </c>
      <c r="F114" s="760">
        <v>2</v>
      </c>
      <c r="G114" s="765">
        <f t="shared" ref="G114:G115" si="13">(1+$F$87)^F114</f>
        <v>1.0404</v>
      </c>
      <c r="H114" s="760">
        <f t="shared" ref="H114:H115" si="14">$G$109*G114</f>
        <v>860.15796476012076</v>
      </c>
      <c r="I114" s="760">
        <f t="shared" ref="I114:I115" si="15">E114*H114</f>
        <v>315419.92567753635</v>
      </c>
    </row>
    <row r="115" spans="1:9">
      <c r="A115" s="107">
        <f>A114+1</f>
        <v>2026</v>
      </c>
      <c r="B115" s="766">
        <f t="shared" si="11"/>
        <v>0</v>
      </c>
      <c r="C115" s="766">
        <f t="shared" si="11"/>
        <v>0</v>
      </c>
      <c r="D115" s="766">
        <f t="shared" si="11"/>
        <v>323</v>
      </c>
      <c r="E115" s="766">
        <f t="shared" si="12"/>
        <v>64.600000000000009</v>
      </c>
      <c r="F115" s="766">
        <v>3</v>
      </c>
      <c r="G115" s="767">
        <f t="shared" si="13"/>
        <v>1.0612079999999999</v>
      </c>
      <c r="H115" s="766">
        <f t="shared" si="14"/>
        <v>877.3611240553231</v>
      </c>
      <c r="I115" s="766">
        <f t="shared" si="15"/>
        <v>56677.528613973882</v>
      </c>
    </row>
    <row r="116" spans="1:9">
      <c r="A116" s="94" t="s">
        <v>132</v>
      </c>
      <c r="B116" s="3"/>
      <c r="C116" s="3"/>
      <c r="D116" s="3"/>
      <c r="E116" s="768"/>
      <c r="F116" s="3"/>
      <c r="G116" s="3"/>
      <c r="H116" s="768"/>
      <c r="I116" s="760">
        <f>SUM(I113:I115)</f>
        <v>1322572.0053514435</v>
      </c>
    </row>
  </sheetData>
  <mergeCells count="16">
    <mergeCell ref="B89:K90"/>
    <mergeCell ref="C102:F102"/>
    <mergeCell ref="G102:G103"/>
    <mergeCell ref="H102:H103"/>
    <mergeCell ref="I102:I103"/>
    <mergeCell ref="B111:E111"/>
    <mergeCell ref="F111:F112"/>
    <mergeCell ref="G111:G112"/>
    <mergeCell ref="H111:H112"/>
    <mergeCell ref="I111:I112"/>
    <mergeCell ref="B84:C84"/>
    <mergeCell ref="C69:E69"/>
    <mergeCell ref="C75:E75"/>
    <mergeCell ref="B81:C81"/>
    <mergeCell ref="B82:C82"/>
    <mergeCell ref="B83:C83"/>
  </mergeCells>
  <hyperlinks>
    <hyperlink ref="O1" location="TOC!A1" display="Table of Contents" xr:uid="{53D4C93A-FE7C-48A0-988A-63B70718071C}"/>
  </hyperlinks>
  <pageMargins left="0.7" right="0.7" top="0.75" bottom="0.75" header="0.3" footer="0.3"/>
  <pageSetup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B9D5-4669-41D6-BAD8-A7237B45A0F9}">
  <dimension ref="A1:R145"/>
  <sheetViews>
    <sheetView zoomScaleNormal="100" workbookViewId="0"/>
  </sheetViews>
  <sheetFormatPr defaultColWidth="8.88671875" defaultRowHeight="15.6"/>
  <cols>
    <col min="1" max="9" width="13.109375" style="2" customWidth="1"/>
    <col min="10" max="16384" width="8.88671875" style="2"/>
  </cols>
  <sheetData>
    <row r="1" spans="1:18" ht="17.399999999999999">
      <c r="A1" s="13" t="s">
        <v>2919</v>
      </c>
      <c r="B1" s="1"/>
      <c r="C1" s="1"/>
      <c r="D1" s="1" t="s">
        <v>240</v>
      </c>
      <c r="E1" s="1"/>
      <c r="F1" s="1"/>
      <c r="G1" s="1"/>
      <c r="H1" s="1"/>
      <c r="I1" s="1"/>
      <c r="J1" s="1"/>
      <c r="K1" s="1"/>
      <c r="L1" s="14"/>
      <c r="O1" s="21" t="s">
        <v>2927</v>
      </c>
    </row>
    <row r="2" spans="1:18">
      <c r="A2" s="1"/>
      <c r="B2" s="1"/>
      <c r="C2" s="1"/>
      <c r="D2" s="1"/>
      <c r="E2" s="1"/>
      <c r="F2" s="1"/>
      <c r="G2" s="1"/>
      <c r="H2" s="1"/>
      <c r="I2" s="1"/>
      <c r="J2" s="1"/>
      <c r="K2" s="1"/>
      <c r="L2" s="14"/>
    </row>
    <row r="3" spans="1:18">
      <c r="A3" s="1" t="s">
        <v>2806</v>
      </c>
      <c r="B3" s="1"/>
      <c r="C3" s="1"/>
      <c r="D3" s="1"/>
      <c r="E3" s="1"/>
      <c r="F3" s="1"/>
      <c r="G3" s="1"/>
      <c r="H3" s="1"/>
      <c r="I3" s="1"/>
      <c r="J3" s="1"/>
      <c r="K3" s="1"/>
      <c r="L3" s="14"/>
    </row>
    <row r="4" spans="1:18">
      <c r="A4" s="3"/>
      <c r="B4" s="3"/>
      <c r="C4" s="3"/>
      <c r="D4" s="3"/>
      <c r="E4" s="3"/>
      <c r="F4" s="3"/>
      <c r="G4" s="3"/>
      <c r="H4" s="3"/>
      <c r="I4" s="3"/>
      <c r="J4" s="3"/>
      <c r="K4" s="3"/>
      <c r="L4" s="3"/>
    </row>
    <row r="5" spans="1:18">
      <c r="A5" s="17" t="s">
        <v>91</v>
      </c>
      <c r="B5" s="1" t="s">
        <v>2807</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t="s">
        <v>2808</v>
      </c>
      <c r="B9" s="3"/>
      <c r="C9" s="3"/>
      <c r="D9" s="3"/>
      <c r="E9" s="3"/>
      <c r="F9" s="3"/>
      <c r="G9" s="3"/>
      <c r="H9" s="3"/>
      <c r="I9" s="3"/>
      <c r="J9" s="3"/>
      <c r="K9" s="3"/>
      <c r="L9" s="3"/>
      <c r="M9" s="3"/>
      <c r="N9" s="9"/>
    </row>
    <row r="10" spans="1:18">
      <c r="A10" s="2" t="s">
        <v>2809</v>
      </c>
      <c r="M10" s="9"/>
      <c r="N10" s="9"/>
    </row>
    <row r="11" spans="1:18">
      <c r="A11" s="2" t="s">
        <v>2810</v>
      </c>
      <c r="M11" s="9"/>
      <c r="N11" s="9"/>
    </row>
    <row r="12" spans="1:18">
      <c r="A12" s="2" t="s">
        <v>2811</v>
      </c>
      <c r="M12" s="9"/>
      <c r="N12" s="9"/>
    </row>
    <row r="14" spans="1:18">
      <c r="A14" s="17" t="s">
        <v>133</v>
      </c>
      <c r="B14" s="1" t="s">
        <v>2812</v>
      </c>
      <c r="C14" s="1"/>
      <c r="D14" s="1"/>
      <c r="E14" s="1"/>
      <c r="F14" s="1"/>
      <c r="G14" s="1"/>
      <c r="H14" s="1"/>
      <c r="I14" s="1"/>
      <c r="J14" s="1"/>
      <c r="K14" s="1"/>
      <c r="L14" s="1"/>
    </row>
    <row r="15" spans="1:18">
      <c r="A15" s="3"/>
      <c r="B15" s="3"/>
      <c r="C15" s="3"/>
      <c r="D15" s="3"/>
      <c r="E15" s="3"/>
      <c r="F15" s="3"/>
      <c r="G15" s="3"/>
      <c r="H15" s="3"/>
      <c r="I15" s="3"/>
      <c r="J15" s="3"/>
      <c r="K15" s="3"/>
      <c r="L15" s="3"/>
    </row>
    <row r="16" spans="1:18">
      <c r="A16" s="3" t="s">
        <v>20</v>
      </c>
      <c r="B16" s="3"/>
      <c r="C16" s="3"/>
      <c r="D16" s="3"/>
      <c r="E16" s="3"/>
      <c r="F16" s="3"/>
      <c r="G16" s="3"/>
      <c r="H16" s="3"/>
      <c r="I16" s="3"/>
      <c r="J16" s="3"/>
      <c r="K16" s="3"/>
      <c r="L16" s="3"/>
    </row>
    <row r="17" spans="1:12">
      <c r="A17" s="3"/>
      <c r="B17" s="3"/>
      <c r="C17" s="3"/>
      <c r="D17" s="3"/>
      <c r="E17" s="3"/>
      <c r="F17" s="3"/>
      <c r="G17" s="3"/>
      <c r="H17" s="3"/>
      <c r="I17" s="3"/>
      <c r="J17" s="3"/>
      <c r="K17" s="3"/>
      <c r="L17" s="3"/>
    </row>
    <row r="18" spans="1:12">
      <c r="A18" s="3" t="s">
        <v>2808</v>
      </c>
      <c r="B18" s="3"/>
      <c r="C18" s="3"/>
      <c r="D18" s="3"/>
      <c r="E18" s="3"/>
      <c r="F18" s="3"/>
      <c r="G18" s="3"/>
      <c r="H18" s="3"/>
      <c r="I18" s="3"/>
      <c r="J18" s="3"/>
      <c r="K18" s="3"/>
      <c r="L18" s="3"/>
    </row>
    <row r="19" spans="1:12">
      <c r="A19" s="60" t="s">
        <v>2813</v>
      </c>
    </row>
    <row r="20" spans="1:12">
      <c r="A20" s="2" t="s">
        <v>2811</v>
      </c>
    </row>
    <row r="22" spans="1:12">
      <c r="A22" s="14"/>
      <c r="B22" s="14"/>
      <c r="C22" s="14"/>
      <c r="D22" s="14"/>
      <c r="E22" s="14"/>
      <c r="F22" s="14"/>
      <c r="G22" s="1"/>
      <c r="H22" s="1"/>
      <c r="I22" s="1"/>
      <c r="J22" s="1"/>
      <c r="K22" s="1"/>
      <c r="L22" s="1"/>
    </row>
    <row r="23" spans="1:12">
      <c r="A23" s="260" t="s">
        <v>2607</v>
      </c>
      <c r="B23" s="1"/>
      <c r="C23" s="1"/>
      <c r="D23" s="1"/>
      <c r="E23" s="1"/>
      <c r="F23" s="1"/>
      <c r="G23" s="1"/>
      <c r="H23" s="1"/>
      <c r="I23" s="1"/>
      <c r="J23" s="1"/>
      <c r="K23" s="1"/>
      <c r="L23" s="1"/>
    </row>
    <row r="24" spans="1:12">
      <c r="A24" s="1"/>
      <c r="B24" s="1"/>
      <c r="C24" s="1"/>
      <c r="D24" s="1"/>
      <c r="E24" s="1"/>
      <c r="F24" s="1"/>
      <c r="G24" s="1"/>
      <c r="H24" s="1"/>
      <c r="I24" s="1"/>
      <c r="J24" s="1"/>
      <c r="K24" s="1"/>
      <c r="L24" s="1"/>
    </row>
    <row r="25" spans="1:12">
      <c r="A25" s="1"/>
      <c r="B25" s="163" t="s">
        <v>53</v>
      </c>
      <c r="C25" s="853" t="s">
        <v>2814</v>
      </c>
      <c r="D25" s="841"/>
      <c r="E25" s="841"/>
      <c r="F25" s="841"/>
      <c r="G25" s="841"/>
      <c r="H25" s="841"/>
      <c r="I25" s="1"/>
      <c r="J25" s="1"/>
      <c r="K25" s="1"/>
      <c r="L25" s="1"/>
    </row>
    <row r="26" spans="1:12">
      <c r="A26" s="1"/>
      <c r="B26" s="166" t="s">
        <v>55</v>
      </c>
      <c r="C26" s="193">
        <v>12</v>
      </c>
      <c r="D26" s="27">
        <v>24</v>
      </c>
      <c r="E26" s="27">
        <v>36</v>
      </c>
      <c r="F26" s="27">
        <v>48</v>
      </c>
      <c r="G26" s="27">
        <v>60</v>
      </c>
      <c r="H26" s="27">
        <v>72</v>
      </c>
      <c r="I26" s="1"/>
      <c r="J26" s="1"/>
      <c r="K26" s="1"/>
      <c r="L26" s="1"/>
    </row>
    <row r="27" spans="1:12">
      <c r="A27" s="1"/>
      <c r="B27" s="197">
        <v>2018</v>
      </c>
      <c r="C27" s="92">
        <v>1518006</v>
      </c>
      <c r="D27" s="92">
        <v>3284534</v>
      </c>
      <c r="E27" s="92">
        <v>4838338</v>
      </c>
      <c r="F27" s="92">
        <v>6146551</v>
      </c>
      <c r="G27" s="92">
        <v>6945034</v>
      </c>
      <c r="H27" s="92">
        <v>7149672</v>
      </c>
      <c r="I27" s="1"/>
      <c r="J27" s="1"/>
      <c r="K27" s="1"/>
      <c r="L27" s="1"/>
    </row>
    <row r="28" spans="1:12">
      <c r="A28" s="1"/>
      <c r="B28" s="32">
        <v>2019</v>
      </c>
      <c r="C28" s="92">
        <v>1582770</v>
      </c>
      <c r="D28" s="92">
        <v>3552084</v>
      </c>
      <c r="E28" s="92">
        <v>5075462</v>
      </c>
      <c r="F28" s="92">
        <v>6140083</v>
      </c>
      <c r="G28" s="92">
        <v>7043201</v>
      </c>
      <c r="H28" s="32"/>
      <c r="I28" s="1"/>
      <c r="J28" s="1"/>
      <c r="K28" s="1"/>
      <c r="L28" s="1"/>
    </row>
    <row r="29" spans="1:12">
      <c r="A29" s="1"/>
      <c r="B29" s="32">
        <v>2020</v>
      </c>
      <c r="C29" s="92">
        <v>1573601</v>
      </c>
      <c r="D29" s="92">
        <v>3607985</v>
      </c>
      <c r="E29" s="92">
        <v>4923578</v>
      </c>
      <c r="F29" s="92">
        <v>6208567</v>
      </c>
      <c r="G29" s="32"/>
      <c r="H29" s="32"/>
      <c r="I29" s="1"/>
      <c r="J29" s="1"/>
      <c r="K29" s="1"/>
      <c r="L29" s="1"/>
    </row>
    <row r="30" spans="1:12">
      <c r="A30" s="1"/>
      <c r="B30" s="32">
        <v>2021</v>
      </c>
      <c r="C30" s="92">
        <v>1608502</v>
      </c>
      <c r="D30" s="92">
        <v>3404322</v>
      </c>
      <c r="E30" s="92">
        <v>4897059</v>
      </c>
      <c r="F30" s="32"/>
      <c r="G30" s="32"/>
      <c r="H30" s="32"/>
      <c r="I30" s="1"/>
      <c r="J30" s="1"/>
      <c r="K30" s="1"/>
      <c r="L30" s="1"/>
    </row>
    <row r="31" spans="1:12">
      <c r="A31" s="1"/>
      <c r="B31" s="32">
        <v>2022</v>
      </c>
      <c r="C31" s="92">
        <v>1448977</v>
      </c>
      <c r="D31" s="92">
        <v>3339496</v>
      </c>
      <c r="E31" s="32"/>
      <c r="F31" s="32"/>
      <c r="G31" s="32"/>
      <c r="H31" s="32"/>
      <c r="I31" s="1"/>
      <c r="J31" s="1"/>
      <c r="K31" s="1"/>
      <c r="L31" s="1"/>
    </row>
    <row r="32" spans="1:12">
      <c r="A32" s="1"/>
      <c r="B32" s="32">
        <v>2023</v>
      </c>
      <c r="C32" s="92">
        <v>1791306</v>
      </c>
      <c r="D32" s="32"/>
      <c r="E32" s="32"/>
      <c r="F32" s="32"/>
      <c r="G32" s="32"/>
      <c r="H32" s="32"/>
      <c r="I32" s="1"/>
      <c r="J32" s="1"/>
      <c r="K32" s="1"/>
      <c r="L32" s="1"/>
    </row>
    <row r="33" spans="1:12">
      <c r="A33" s="1"/>
      <c r="B33" s="1"/>
      <c r="C33" s="1"/>
      <c r="D33" s="1"/>
      <c r="E33" s="1"/>
      <c r="F33" s="1"/>
      <c r="G33" s="1"/>
      <c r="H33" s="1"/>
      <c r="I33" s="1"/>
      <c r="J33" s="1"/>
      <c r="K33" s="1"/>
      <c r="L33" s="1"/>
    </row>
    <row r="34" spans="1:12">
      <c r="A34" s="1"/>
      <c r="B34" s="1" t="s">
        <v>2815</v>
      </c>
      <c r="C34" s="1"/>
      <c r="D34" s="1"/>
      <c r="E34" s="1"/>
      <c r="F34" s="1"/>
      <c r="G34" s="377">
        <v>0.2</v>
      </c>
      <c r="H34" s="1" t="s">
        <v>2816</v>
      </c>
      <c r="I34" s="1"/>
      <c r="J34" s="1"/>
      <c r="K34" s="1"/>
      <c r="L34" s="1"/>
    </row>
    <row r="36" spans="1:12">
      <c r="A36" s="17" t="s">
        <v>18</v>
      </c>
      <c r="B36" s="1" t="s">
        <v>2817</v>
      </c>
      <c r="C36" s="1"/>
      <c r="D36" s="1"/>
      <c r="E36" s="1"/>
      <c r="F36" s="1"/>
      <c r="G36" s="1"/>
      <c r="H36" s="1"/>
      <c r="I36" s="1"/>
      <c r="J36" s="1"/>
      <c r="K36" s="1"/>
      <c r="L36" s="1"/>
    </row>
    <row r="37" spans="1:12">
      <c r="A37" s="3"/>
      <c r="B37" s="3"/>
      <c r="C37" s="3"/>
      <c r="D37" s="3"/>
      <c r="E37" s="3"/>
      <c r="F37" s="3"/>
      <c r="G37" s="3"/>
      <c r="H37" s="3"/>
      <c r="I37" s="3"/>
      <c r="J37" s="3"/>
      <c r="K37" s="3"/>
      <c r="L37" s="3"/>
    </row>
    <row r="38" spans="1:12">
      <c r="A38" s="3" t="s">
        <v>20</v>
      </c>
      <c r="B38" s="3"/>
      <c r="C38" s="3"/>
      <c r="D38" s="3"/>
      <c r="E38" s="3"/>
      <c r="F38" s="3"/>
      <c r="G38" s="3"/>
      <c r="H38" s="3"/>
      <c r="I38" s="3"/>
      <c r="J38" s="3"/>
      <c r="K38" s="3"/>
      <c r="L38" s="3"/>
    </row>
    <row r="39" spans="1:12">
      <c r="A39" s="3"/>
      <c r="B39" s="3"/>
      <c r="C39" s="3"/>
      <c r="D39" s="3"/>
      <c r="E39" s="3"/>
      <c r="F39" s="3"/>
      <c r="G39" s="3"/>
      <c r="H39" s="3"/>
      <c r="I39" s="3"/>
      <c r="J39" s="3"/>
      <c r="K39" s="3"/>
      <c r="L39" s="3"/>
    </row>
    <row r="40" spans="1:12">
      <c r="A40" s="545" t="s">
        <v>978</v>
      </c>
      <c r="B40" s="3"/>
      <c r="C40" s="3"/>
      <c r="D40" s="3"/>
      <c r="E40" s="3"/>
      <c r="F40" s="3"/>
      <c r="G40" s="3"/>
      <c r="H40" s="3"/>
      <c r="I40" s="3"/>
      <c r="J40" s="3"/>
      <c r="K40" s="3"/>
      <c r="L40" s="3"/>
    </row>
    <row r="41" spans="1:12">
      <c r="A41" s="415" t="s">
        <v>2818</v>
      </c>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686" t="s">
        <v>53</v>
      </c>
      <c r="B43" s="955" t="s">
        <v>942</v>
      </c>
      <c r="C43" s="948"/>
      <c r="D43" s="948"/>
      <c r="E43" s="948"/>
      <c r="F43" s="948"/>
      <c r="G43" s="948"/>
      <c r="H43" s="3"/>
      <c r="I43" s="3"/>
      <c r="J43" s="3"/>
      <c r="K43" s="3"/>
      <c r="L43" s="3"/>
    </row>
    <row r="44" spans="1:12">
      <c r="A44" s="590" t="s">
        <v>55</v>
      </c>
      <c r="B44" s="769">
        <v>12</v>
      </c>
      <c r="C44" s="460">
        <v>24</v>
      </c>
      <c r="D44" s="460">
        <v>36</v>
      </c>
      <c r="E44" s="460">
        <v>48</v>
      </c>
      <c r="F44" s="460">
        <v>60</v>
      </c>
      <c r="G44" s="460">
        <v>72</v>
      </c>
      <c r="H44" s="3"/>
      <c r="I44" s="3"/>
      <c r="J44" s="3"/>
      <c r="K44" s="3"/>
      <c r="L44" s="3"/>
    </row>
    <row r="45" spans="1:12">
      <c r="A45" s="590">
        <v>2018</v>
      </c>
      <c r="B45" s="591">
        <f t="shared" ref="B45:B50" si="0">C27</f>
        <v>1518006</v>
      </c>
      <c r="C45" s="591">
        <f>D27-C27</f>
        <v>1766528</v>
      </c>
      <c r="D45" s="591">
        <f>E27-D27</f>
        <v>1553804</v>
      </c>
      <c r="E45" s="591">
        <f>F27-E27</f>
        <v>1308213</v>
      </c>
      <c r="F45" s="591">
        <f>G27-F27</f>
        <v>798483</v>
      </c>
      <c r="G45" s="591">
        <f>H27-G27</f>
        <v>204638</v>
      </c>
      <c r="H45" s="3"/>
      <c r="I45" s="3"/>
      <c r="J45" s="3"/>
      <c r="K45" s="3"/>
      <c r="L45" s="3"/>
    </row>
    <row r="46" spans="1:12">
      <c r="A46" s="460">
        <v>2019</v>
      </c>
      <c r="B46" s="591">
        <f t="shared" si="0"/>
        <v>1582770</v>
      </c>
      <c r="C46" s="591">
        <f>D28-C28</f>
        <v>1969314</v>
      </c>
      <c r="D46" s="591">
        <f>E28-D28</f>
        <v>1523378</v>
      </c>
      <c r="E46" s="591">
        <f>F28-E28</f>
        <v>1064621</v>
      </c>
      <c r="F46" s="591">
        <f>G28-F28</f>
        <v>903118</v>
      </c>
      <c r="G46" s="591"/>
      <c r="H46" s="3"/>
      <c r="I46" s="3"/>
      <c r="J46" s="3"/>
      <c r="K46" s="3"/>
      <c r="L46" s="3"/>
    </row>
    <row r="47" spans="1:12">
      <c r="A47" s="460">
        <v>2020</v>
      </c>
      <c r="B47" s="591">
        <f t="shared" si="0"/>
        <v>1573601</v>
      </c>
      <c r="C47" s="591">
        <f>D29-C29</f>
        <v>2034384</v>
      </c>
      <c r="D47" s="591">
        <f>E29-D29</f>
        <v>1315593</v>
      </c>
      <c r="E47" s="591">
        <f>F29-E29</f>
        <v>1284989</v>
      </c>
      <c r="F47" s="591"/>
      <c r="G47" s="591"/>
      <c r="H47" s="3"/>
      <c r="I47" s="3"/>
      <c r="J47" s="3"/>
      <c r="K47" s="3"/>
      <c r="L47" s="3"/>
    </row>
    <row r="48" spans="1:12">
      <c r="A48" s="460">
        <v>2021</v>
      </c>
      <c r="B48" s="591">
        <f t="shared" si="0"/>
        <v>1608502</v>
      </c>
      <c r="C48" s="591">
        <f>D30-C30</f>
        <v>1795820</v>
      </c>
      <c r="D48" s="591">
        <f>E30-D30</f>
        <v>1492737</v>
      </c>
      <c r="E48" s="591"/>
      <c r="F48" s="591"/>
      <c r="G48" s="591"/>
      <c r="H48" s="3"/>
      <c r="I48" s="3"/>
      <c r="J48" s="3"/>
      <c r="K48" s="3"/>
      <c r="L48" s="3"/>
    </row>
    <row r="49" spans="1:12">
      <c r="A49" s="460">
        <v>2022</v>
      </c>
      <c r="B49" s="591">
        <f t="shared" si="0"/>
        <v>1448977</v>
      </c>
      <c r="C49" s="591">
        <f>D31-C31</f>
        <v>1890519</v>
      </c>
      <c r="D49" s="591"/>
      <c r="E49" s="591"/>
      <c r="F49" s="591"/>
      <c r="G49" s="591"/>
      <c r="H49" s="3"/>
      <c r="I49" s="3"/>
      <c r="J49" s="3"/>
      <c r="K49" s="3"/>
      <c r="L49" s="3"/>
    </row>
    <row r="50" spans="1:12">
      <c r="A50" s="460">
        <v>2023</v>
      </c>
      <c r="B50" s="591">
        <f t="shared" si="0"/>
        <v>1791306</v>
      </c>
      <c r="C50" s="591"/>
      <c r="D50" s="591"/>
      <c r="E50" s="591"/>
      <c r="F50" s="591"/>
      <c r="G50" s="591"/>
      <c r="H50" s="3"/>
      <c r="I50" s="3"/>
      <c r="J50" s="3"/>
      <c r="K50" s="3"/>
      <c r="L50" s="3"/>
    </row>
    <row r="51" spans="1:12">
      <c r="H51" s="3"/>
      <c r="I51" s="3"/>
      <c r="J51" s="3"/>
      <c r="K51" s="3"/>
      <c r="L51" s="3"/>
    </row>
    <row r="52" spans="1:12">
      <c r="A52" s="686" t="s">
        <v>53</v>
      </c>
      <c r="B52" s="955" t="s">
        <v>2819</v>
      </c>
      <c r="C52" s="948"/>
      <c r="D52" s="948"/>
      <c r="E52" s="948"/>
      <c r="F52" s="948"/>
      <c r="G52" s="948"/>
      <c r="H52" s="3"/>
      <c r="I52" s="3"/>
      <c r="J52" s="3"/>
      <c r="K52" s="3"/>
      <c r="L52" s="3"/>
    </row>
    <row r="53" spans="1:12">
      <c r="A53" s="590" t="s">
        <v>55</v>
      </c>
      <c r="B53" s="769">
        <v>12</v>
      </c>
      <c r="C53" s="460">
        <v>24</v>
      </c>
      <c r="D53" s="460">
        <v>36</v>
      </c>
      <c r="E53" s="460">
        <v>48</v>
      </c>
      <c r="F53" s="460">
        <v>60</v>
      </c>
      <c r="G53" s="460">
        <v>72</v>
      </c>
      <c r="H53" s="3"/>
      <c r="I53" s="3"/>
      <c r="J53" s="3"/>
      <c r="K53" s="3"/>
      <c r="L53" s="3"/>
    </row>
    <row r="54" spans="1:12">
      <c r="A54" s="590">
        <v>2018</v>
      </c>
      <c r="B54" s="770">
        <v>0.8</v>
      </c>
      <c r="C54" s="770">
        <v>0.8</v>
      </c>
      <c r="D54" s="770">
        <v>0.8</v>
      </c>
      <c r="E54" s="770">
        <v>0.9</v>
      </c>
      <c r="F54" s="770">
        <v>1</v>
      </c>
      <c r="G54" s="770">
        <v>1</v>
      </c>
      <c r="H54" s="3"/>
      <c r="I54" s="3"/>
      <c r="J54" s="3"/>
      <c r="K54" s="3"/>
      <c r="L54" s="3"/>
    </row>
    <row r="55" spans="1:12">
      <c r="A55" s="460">
        <v>2019</v>
      </c>
      <c r="B55" s="770">
        <v>0.8</v>
      </c>
      <c r="C55" s="770">
        <v>0.8</v>
      </c>
      <c r="D55" s="770">
        <v>0.9</v>
      </c>
      <c r="E55" s="770">
        <v>1</v>
      </c>
      <c r="F55" s="770">
        <v>1</v>
      </c>
      <c r="G55" s="770"/>
      <c r="H55" s="3"/>
      <c r="I55" s="3"/>
      <c r="J55" s="3"/>
      <c r="K55" s="3"/>
      <c r="L55" s="3"/>
    </row>
    <row r="56" spans="1:12">
      <c r="A56" s="460">
        <v>2020</v>
      </c>
      <c r="B56" s="770">
        <v>0.8</v>
      </c>
      <c r="C56" s="770">
        <v>0.9</v>
      </c>
      <c r="D56" s="770">
        <v>1</v>
      </c>
      <c r="E56" s="770">
        <v>1</v>
      </c>
      <c r="F56" s="770"/>
      <c r="G56" s="770"/>
      <c r="H56" s="3"/>
      <c r="I56" s="3"/>
      <c r="J56" s="3"/>
      <c r="K56" s="3"/>
      <c r="L56" s="3"/>
    </row>
    <row r="57" spans="1:12">
      <c r="A57" s="460">
        <v>2021</v>
      </c>
      <c r="B57" s="770">
        <v>0.9</v>
      </c>
      <c r="C57" s="770">
        <v>1</v>
      </c>
      <c r="D57" s="770">
        <v>1</v>
      </c>
      <c r="E57" s="770"/>
      <c r="F57" s="770"/>
      <c r="G57" s="770"/>
      <c r="H57" s="3"/>
      <c r="I57" s="3"/>
      <c r="J57" s="3"/>
      <c r="K57" s="3"/>
      <c r="L57" s="3"/>
    </row>
    <row r="58" spans="1:12">
      <c r="A58" s="460">
        <v>2022</v>
      </c>
      <c r="B58" s="770">
        <v>1</v>
      </c>
      <c r="C58" s="770">
        <v>1</v>
      </c>
      <c r="D58" s="770"/>
      <c r="E58" s="770"/>
      <c r="F58" s="770"/>
      <c r="G58" s="770"/>
      <c r="H58" s="3"/>
      <c r="I58" s="3"/>
      <c r="J58" s="3"/>
      <c r="K58" s="3"/>
      <c r="L58" s="3"/>
    </row>
    <row r="59" spans="1:12">
      <c r="A59" s="460">
        <v>2023</v>
      </c>
      <c r="B59" s="770">
        <v>1</v>
      </c>
      <c r="C59" s="770"/>
      <c r="D59" s="770"/>
      <c r="E59" s="770"/>
      <c r="F59" s="770"/>
      <c r="G59" s="770"/>
      <c r="H59" s="3"/>
      <c r="I59" s="3"/>
      <c r="J59" s="3"/>
      <c r="K59" s="3"/>
      <c r="L59" s="3"/>
    </row>
    <row r="60" spans="1:12">
      <c r="H60" s="3"/>
      <c r="I60" s="3"/>
      <c r="J60" s="3"/>
      <c r="K60" s="3"/>
      <c r="L60" s="3"/>
    </row>
    <row r="61" spans="1:12">
      <c r="A61" s="686" t="s">
        <v>53</v>
      </c>
      <c r="B61" s="955" t="s">
        <v>2820</v>
      </c>
      <c r="C61" s="948"/>
      <c r="D61" s="948"/>
      <c r="E61" s="948"/>
      <c r="F61" s="948"/>
      <c r="G61" s="948"/>
      <c r="H61" s="3"/>
      <c r="I61" s="3"/>
      <c r="J61" s="3"/>
      <c r="K61" s="3"/>
      <c r="L61" s="3"/>
    </row>
    <row r="62" spans="1:12">
      <c r="A62" s="590" t="s">
        <v>55</v>
      </c>
      <c r="B62" s="769">
        <v>12</v>
      </c>
      <c r="C62" s="460">
        <v>24</v>
      </c>
      <c r="D62" s="460">
        <v>36</v>
      </c>
      <c r="E62" s="460">
        <v>48</v>
      </c>
      <c r="F62" s="460">
        <v>60</v>
      </c>
      <c r="G62" s="460">
        <v>72</v>
      </c>
      <c r="H62" s="3"/>
      <c r="I62" s="3"/>
      <c r="J62" s="3"/>
      <c r="K62" s="3"/>
      <c r="L62" s="3"/>
    </row>
    <row r="63" spans="1:12">
      <c r="A63" s="590">
        <v>2018</v>
      </c>
      <c r="B63" s="591">
        <f t="shared" ref="B63:G63" si="1">B45*B54</f>
        <v>1214404.8</v>
      </c>
      <c r="C63" s="591">
        <f t="shared" si="1"/>
        <v>1413222.4000000001</v>
      </c>
      <c r="D63" s="591">
        <f t="shared" si="1"/>
        <v>1243043.2</v>
      </c>
      <c r="E63" s="591">
        <f t="shared" si="1"/>
        <v>1177391.7</v>
      </c>
      <c r="F63" s="591">
        <f t="shared" si="1"/>
        <v>798483</v>
      </c>
      <c r="G63" s="591">
        <f t="shared" si="1"/>
        <v>204638</v>
      </c>
      <c r="H63" s="3"/>
      <c r="I63" s="3"/>
      <c r="J63" s="3"/>
      <c r="K63" s="3"/>
      <c r="L63" s="3"/>
    </row>
    <row r="64" spans="1:12">
      <c r="A64" s="460">
        <v>2019</v>
      </c>
      <c r="B64" s="591">
        <f>B46*B55</f>
        <v>1266216</v>
      </c>
      <c r="C64" s="591">
        <f>C46*C55</f>
        <v>1575451.2000000002</v>
      </c>
      <c r="D64" s="591">
        <f>D46*D55</f>
        <v>1371040.2</v>
      </c>
      <c r="E64" s="591">
        <f>E46*E55</f>
        <v>1064621</v>
      </c>
      <c r="F64" s="591">
        <f>F46*F55</f>
        <v>903118</v>
      </c>
      <c r="G64" s="591"/>
      <c r="H64" s="3"/>
      <c r="I64" s="3"/>
      <c r="J64" s="3"/>
      <c r="K64" s="3"/>
      <c r="L64" s="3"/>
    </row>
    <row r="65" spans="1:12">
      <c r="A65" s="460">
        <v>2020</v>
      </c>
      <c r="B65" s="591">
        <f>B47*B56</f>
        <v>1258880.8</v>
      </c>
      <c r="C65" s="591">
        <f>C47*C56</f>
        <v>1830945.6</v>
      </c>
      <c r="D65" s="591">
        <f>D47*D56</f>
        <v>1315593</v>
      </c>
      <c r="E65" s="591">
        <f>E47*E56</f>
        <v>1284989</v>
      </c>
      <c r="F65" s="591"/>
      <c r="G65" s="591"/>
      <c r="H65" s="3"/>
      <c r="I65" s="3"/>
      <c r="J65" s="3"/>
      <c r="K65" s="3"/>
      <c r="L65" s="3"/>
    </row>
    <row r="66" spans="1:12">
      <c r="A66" s="460">
        <v>2021</v>
      </c>
      <c r="B66" s="591">
        <f>B48*B57</f>
        <v>1447651.8</v>
      </c>
      <c r="C66" s="591">
        <f>C48*C57</f>
        <v>1795820</v>
      </c>
      <c r="D66" s="591">
        <f>D48*D57</f>
        <v>1492737</v>
      </c>
      <c r="E66" s="591"/>
      <c r="F66" s="591"/>
      <c r="G66" s="591"/>
      <c r="H66" s="3"/>
      <c r="I66" s="3"/>
      <c r="J66" s="3"/>
      <c r="K66" s="3"/>
      <c r="L66" s="3"/>
    </row>
    <row r="67" spans="1:12">
      <c r="A67" s="460">
        <v>2022</v>
      </c>
      <c r="B67" s="591">
        <f>B49*B58</f>
        <v>1448977</v>
      </c>
      <c r="C67" s="591">
        <f>C49*C58</f>
        <v>1890519</v>
      </c>
      <c r="D67" s="591"/>
      <c r="E67" s="591"/>
      <c r="F67" s="591"/>
      <c r="G67" s="591"/>
      <c r="H67" s="3"/>
      <c r="I67" s="3"/>
      <c r="J67" s="3"/>
      <c r="K67" s="3"/>
      <c r="L67" s="3"/>
    </row>
    <row r="68" spans="1:12">
      <c r="A68" s="460">
        <v>2023</v>
      </c>
      <c r="B68" s="591">
        <f>B50*B59</f>
        <v>1791306</v>
      </c>
      <c r="C68" s="591"/>
      <c r="D68" s="591"/>
      <c r="E68" s="591"/>
      <c r="F68" s="591"/>
      <c r="G68" s="591"/>
      <c r="H68" s="3"/>
      <c r="I68" s="3"/>
      <c r="J68" s="3"/>
      <c r="K68" s="3"/>
      <c r="L68" s="3"/>
    </row>
    <row r="69" spans="1:12">
      <c r="H69" s="3"/>
      <c r="I69" s="3"/>
      <c r="J69" s="3"/>
      <c r="K69" s="3"/>
      <c r="L69" s="3"/>
    </row>
    <row r="70" spans="1:12">
      <c r="A70" s="686" t="s">
        <v>53</v>
      </c>
      <c r="B70" s="955" t="s">
        <v>2821</v>
      </c>
      <c r="C70" s="948"/>
      <c r="D70" s="948"/>
      <c r="E70" s="948"/>
      <c r="F70" s="948"/>
      <c r="G70" s="948"/>
      <c r="H70" s="3"/>
      <c r="I70" s="3"/>
      <c r="J70" s="3"/>
      <c r="K70" s="3"/>
      <c r="L70" s="3"/>
    </row>
    <row r="71" spans="1:12">
      <c r="A71" s="590" t="s">
        <v>55</v>
      </c>
      <c r="B71" s="769">
        <v>12</v>
      </c>
      <c r="C71" s="460">
        <v>24</v>
      </c>
      <c r="D71" s="460">
        <v>36</v>
      </c>
      <c r="E71" s="460">
        <v>48</v>
      </c>
      <c r="F71" s="460">
        <v>60</v>
      </c>
      <c r="G71" s="460">
        <v>72</v>
      </c>
      <c r="H71" s="3"/>
      <c r="I71" s="3"/>
      <c r="J71" s="3"/>
      <c r="K71" s="3"/>
      <c r="L71" s="3"/>
    </row>
    <row r="72" spans="1:12">
      <c r="A72" s="590">
        <v>2018</v>
      </c>
      <c r="B72" s="591">
        <f>B63</f>
        <v>1214404.8</v>
      </c>
      <c r="C72" s="591">
        <f>B72+C63</f>
        <v>2627627.2000000002</v>
      </c>
      <c r="D72" s="591">
        <f>C72+D63</f>
        <v>3870670.4000000004</v>
      </c>
      <c r="E72" s="591">
        <f>D72+E63</f>
        <v>5048062.1000000006</v>
      </c>
      <c r="F72" s="591">
        <f>E72+F63</f>
        <v>5846545.1000000006</v>
      </c>
      <c r="G72" s="591">
        <f>F72+G63</f>
        <v>6051183.1000000006</v>
      </c>
      <c r="H72" s="3"/>
      <c r="I72" s="3"/>
      <c r="J72" s="3"/>
      <c r="K72" s="3"/>
      <c r="L72" s="3"/>
    </row>
    <row r="73" spans="1:12">
      <c r="A73" s="460">
        <v>2019</v>
      </c>
      <c r="B73" s="591">
        <f t="shared" ref="B73:B77" si="2">B64</f>
        <v>1266216</v>
      </c>
      <c r="C73" s="591">
        <f t="shared" ref="C73:F76" si="3">B73+C64</f>
        <v>2841667.2</v>
      </c>
      <c r="D73" s="591">
        <f t="shared" si="3"/>
        <v>4212707.4000000004</v>
      </c>
      <c r="E73" s="591">
        <f t="shared" si="3"/>
        <v>5277328.4000000004</v>
      </c>
      <c r="F73" s="591">
        <f t="shared" si="3"/>
        <v>6180446.4000000004</v>
      </c>
      <c r="G73" s="591"/>
      <c r="H73" s="3"/>
      <c r="I73" s="3"/>
      <c r="J73" s="3"/>
      <c r="K73" s="3"/>
      <c r="L73" s="3"/>
    </row>
    <row r="74" spans="1:12">
      <c r="A74" s="460">
        <v>2020</v>
      </c>
      <c r="B74" s="591">
        <f t="shared" si="2"/>
        <v>1258880.8</v>
      </c>
      <c r="C74" s="591">
        <f t="shared" si="3"/>
        <v>3089826.4000000004</v>
      </c>
      <c r="D74" s="591">
        <f t="shared" si="3"/>
        <v>4405419.4000000004</v>
      </c>
      <c r="E74" s="591">
        <f t="shared" si="3"/>
        <v>5690408.4000000004</v>
      </c>
      <c r="F74" s="591"/>
      <c r="G74" s="591"/>
      <c r="H74" s="3"/>
      <c r="I74" s="3"/>
      <c r="J74" s="3"/>
      <c r="K74" s="3"/>
      <c r="L74" s="3"/>
    </row>
    <row r="75" spans="1:12">
      <c r="A75" s="460">
        <v>2021</v>
      </c>
      <c r="B75" s="591">
        <f t="shared" si="2"/>
        <v>1447651.8</v>
      </c>
      <c r="C75" s="591">
        <f t="shared" si="3"/>
        <v>3243471.8</v>
      </c>
      <c r="D75" s="591">
        <f t="shared" si="3"/>
        <v>4736208.8</v>
      </c>
      <c r="E75" s="591"/>
      <c r="F75" s="591"/>
      <c r="G75" s="591"/>
      <c r="H75" s="3"/>
      <c r="I75" s="3"/>
      <c r="J75" s="3"/>
      <c r="K75" s="3"/>
      <c r="L75" s="3"/>
    </row>
    <row r="76" spans="1:12">
      <c r="A76" s="460">
        <v>2022</v>
      </c>
      <c r="B76" s="591">
        <f t="shared" si="2"/>
        <v>1448977</v>
      </c>
      <c r="C76" s="591">
        <f t="shared" si="3"/>
        <v>3339496</v>
      </c>
      <c r="D76" s="591"/>
      <c r="E76" s="591"/>
      <c r="F76" s="591"/>
      <c r="G76" s="591"/>
      <c r="H76" s="3"/>
      <c r="I76" s="3"/>
      <c r="J76" s="3"/>
      <c r="K76" s="3"/>
      <c r="L76" s="3"/>
    </row>
    <row r="77" spans="1:12">
      <c r="A77" s="460">
        <v>2023</v>
      </c>
      <c r="B77" s="591">
        <f t="shared" si="2"/>
        <v>1791306</v>
      </c>
      <c r="C77" s="591"/>
      <c r="D77" s="591"/>
      <c r="E77" s="591"/>
      <c r="F77" s="591"/>
      <c r="G77" s="591"/>
      <c r="H77" s="3"/>
      <c r="I77" s="3"/>
      <c r="J77" s="3"/>
      <c r="K77" s="3"/>
      <c r="L77" s="3"/>
    </row>
    <row r="79" spans="1:12">
      <c r="A79" s="14"/>
      <c r="B79" s="14"/>
      <c r="C79" s="14"/>
      <c r="D79" s="14"/>
      <c r="E79" s="14"/>
      <c r="F79" s="14"/>
      <c r="G79" s="1"/>
      <c r="H79" s="1"/>
      <c r="I79" s="1"/>
      <c r="J79" s="1"/>
      <c r="K79" s="1"/>
      <c r="L79" s="1"/>
    </row>
    <row r="80" spans="1:12">
      <c r="A80" s="260" t="s">
        <v>2607</v>
      </c>
      <c r="B80" s="1"/>
      <c r="C80" s="1"/>
      <c r="D80" s="1"/>
      <c r="E80" s="1"/>
      <c r="F80" s="1"/>
      <c r="G80" s="1"/>
      <c r="H80" s="1"/>
      <c r="I80" s="1"/>
      <c r="J80" s="1"/>
      <c r="K80" s="1"/>
      <c r="L80" s="1"/>
    </row>
    <row r="81" spans="1:12" ht="46.8">
      <c r="A81" s="1"/>
      <c r="B81" s="4" t="s">
        <v>49</v>
      </c>
      <c r="C81" s="5" t="s">
        <v>2822</v>
      </c>
      <c r="D81" s="5" t="s">
        <v>646</v>
      </c>
      <c r="E81" s="1"/>
      <c r="F81" s="1"/>
      <c r="G81" s="1"/>
      <c r="H81" s="1"/>
      <c r="I81" s="1"/>
      <c r="J81" s="1"/>
      <c r="K81" s="1"/>
      <c r="L81" s="1"/>
    </row>
    <row r="82" spans="1:12">
      <c r="A82" s="1"/>
      <c r="B82" s="32">
        <v>2024</v>
      </c>
      <c r="C82" s="92">
        <v>10600</v>
      </c>
      <c r="D82" s="7">
        <v>7105054</v>
      </c>
      <c r="E82" s="1"/>
      <c r="F82" s="1"/>
      <c r="G82" s="1"/>
      <c r="H82" s="1"/>
      <c r="I82" s="1"/>
      <c r="J82" s="1"/>
      <c r="K82" s="1"/>
      <c r="L82" s="1"/>
    </row>
    <row r="83" spans="1:12">
      <c r="A83" s="1"/>
      <c r="B83" s="32">
        <v>2025</v>
      </c>
      <c r="C83" s="92">
        <v>10710</v>
      </c>
      <c r="D83" s="7">
        <v>7694043</v>
      </c>
      <c r="E83" s="1"/>
      <c r="F83" s="1"/>
      <c r="G83" s="1"/>
      <c r="H83" s="1"/>
      <c r="I83" s="1"/>
      <c r="J83" s="1"/>
      <c r="K83" s="1"/>
      <c r="L83" s="1"/>
    </row>
    <row r="84" spans="1:12">
      <c r="A84" s="1"/>
      <c r="B84" s="1"/>
      <c r="C84" s="1"/>
      <c r="D84" s="1"/>
      <c r="E84" s="1"/>
      <c r="F84" s="1"/>
      <c r="G84" s="1"/>
      <c r="H84" s="1"/>
      <c r="I84" s="1"/>
      <c r="J84" s="1"/>
      <c r="K84" s="1"/>
      <c r="L84" s="1"/>
    </row>
    <row r="85" spans="1:12">
      <c r="A85" s="1"/>
      <c r="B85" s="519" t="s">
        <v>2823</v>
      </c>
      <c r="C85" s="1"/>
      <c r="D85" s="1"/>
      <c r="E85" s="1"/>
      <c r="F85" s="485">
        <v>-3.0000000000000001E-3</v>
      </c>
      <c r="G85" s="1"/>
      <c r="H85" s="1"/>
      <c r="I85" s="1"/>
      <c r="J85" s="1"/>
      <c r="K85" s="1"/>
      <c r="L85" s="1"/>
    </row>
    <row r="86" spans="1:12">
      <c r="A86" s="1"/>
      <c r="B86" s="519" t="s">
        <v>2824</v>
      </c>
      <c r="C86" s="1"/>
      <c r="D86" s="1"/>
      <c r="E86" s="1"/>
      <c r="F86" s="485">
        <v>7.4999999999999997E-2</v>
      </c>
      <c r="G86" s="1"/>
      <c r="H86" s="1"/>
      <c r="I86" s="1"/>
      <c r="J86" s="1"/>
      <c r="K86" s="1"/>
      <c r="L86" s="1"/>
    </row>
    <row r="87" spans="1:12">
      <c r="A87" s="1"/>
      <c r="B87" s="519" t="s">
        <v>2825</v>
      </c>
      <c r="C87" s="1"/>
      <c r="D87" s="1"/>
      <c r="E87" s="1"/>
      <c r="F87" s="485">
        <v>0.106</v>
      </c>
      <c r="G87" s="1"/>
      <c r="H87" s="1"/>
      <c r="I87" s="1"/>
      <c r="J87" s="1"/>
      <c r="K87" s="1"/>
      <c r="L87" s="1"/>
    </row>
    <row r="88" spans="1:12">
      <c r="A88" s="1"/>
      <c r="B88" s="519" t="s">
        <v>2826</v>
      </c>
      <c r="C88" s="1"/>
      <c r="D88" s="1"/>
      <c r="E88" s="1"/>
      <c r="F88" s="92">
        <v>5900</v>
      </c>
      <c r="G88" s="1"/>
      <c r="H88" s="1"/>
      <c r="I88" s="1"/>
      <c r="J88" s="1"/>
      <c r="K88" s="1"/>
      <c r="L88" s="1"/>
    </row>
    <row r="90" spans="1:12">
      <c r="A90" s="17" t="s">
        <v>25</v>
      </c>
      <c r="B90" s="1" t="s">
        <v>2827</v>
      </c>
      <c r="C90" s="1"/>
      <c r="D90" s="1"/>
      <c r="E90" s="1"/>
      <c r="F90" s="1"/>
      <c r="G90" s="1"/>
      <c r="H90" s="1"/>
      <c r="I90" s="1"/>
      <c r="J90" s="1"/>
      <c r="K90" s="1"/>
      <c r="L90" s="1"/>
    </row>
    <row r="91" spans="1:12">
      <c r="A91" s="3"/>
      <c r="B91" s="3"/>
      <c r="C91" s="3"/>
      <c r="D91" s="3"/>
      <c r="E91" s="3"/>
      <c r="F91" s="3"/>
      <c r="G91" s="3"/>
      <c r="H91" s="3"/>
      <c r="I91" s="3"/>
      <c r="J91" s="3"/>
      <c r="K91" s="3"/>
      <c r="L91" s="3"/>
    </row>
    <row r="92" spans="1:12">
      <c r="A92" s="3" t="s">
        <v>20</v>
      </c>
      <c r="B92" s="3"/>
      <c r="C92" s="3"/>
      <c r="D92" s="3"/>
      <c r="E92" s="3"/>
      <c r="F92" s="3"/>
      <c r="G92" s="3"/>
      <c r="H92" s="3"/>
      <c r="I92" s="3"/>
      <c r="J92" s="3"/>
      <c r="K92" s="3"/>
      <c r="L92" s="3"/>
    </row>
    <row r="93" spans="1:12">
      <c r="A93" s="3"/>
      <c r="B93" s="3"/>
      <c r="C93" s="3"/>
      <c r="D93" s="3"/>
      <c r="E93" s="3"/>
      <c r="F93" s="3"/>
      <c r="G93" s="3"/>
      <c r="H93" s="3"/>
      <c r="I93" s="3"/>
      <c r="J93" s="3"/>
      <c r="K93" s="3"/>
      <c r="L93" s="3"/>
    </row>
    <row r="94" spans="1:12" ht="46.8">
      <c r="A94" s="525" t="s">
        <v>49</v>
      </c>
      <c r="B94" s="525" t="s">
        <v>2828</v>
      </c>
      <c r="C94" s="525" t="s">
        <v>2829</v>
      </c>
      <c r="D94" s="525" t="s">
        <v>2830</v>
      </c>
      <c r="E94" s="525" t="s">
        <v>646</v>
      </c>
      <c r="F94" s="3"/>
      <c r="G94" s="3"/>
      <c r="H94" s="3"/>
      <c r="I94" s="3"/>
      <c r="J94" s="3"/>
      <c r="K94" s="3"/>
      <c r="L94" s="3"/>
    </row>
    <row r="95" spans="1:12">
      <c r="A95" s="526">
        <f>B82</f>
        <v>2024</v>
      </c>
      <c r="B95" s="771">
        <f>$F$87*(1+$F$85)^(A95-$A$77)</f>
        <v>0.105682</v>
      </c>
      <c r="C95" s="668">
        <f>B95*C82</f>
        <v>1120.2292</v>
      </c>
      <c r="D95" s="668">
        <f>$F$88*(1+$F$86)^(A95-$A$77)</f>
        <v>6342.5</v>
      </c>
      <c r="E95" s="591">
        <f>D95*C95</f>
        <v>7105053.7010000004</v>
      </c>
      <c r="F95" s="3"/>
      <c r="G95" s="3"/>
      <c r="H95" s="3"/>
      <c r="I95" s="3"/>
      <c r="J95" s="3"/>
      <c r="K95" s="3"/>
      <c r="L95" s="3"/>
    </row>
    <row r="96" spans="1:12">
      <c r="A96" s="526">
        <f>B83</f>
        <v>2025</v>
      </c>
      <c r="B96" s="771">
        <f>$F$87*(1+$F$85)^(A96-$A$77)</f>
        <v>0.105364954</v>
      </c>
      <c r="C96" s="668">
        <f>B96*C83</f>
        <v>1128.4586573399999</v>
      </c>
      <c r="D96" s="668">
        <f>$F$88*(1+$F$86)^(A96-$A$77)</f>
        <v>6818.1874999999991</v>
      </c>
      <c r="E96" s="591">
        <f t="shared" ref="E96" si="4">D96*C96</f>
        <v>7694042.7117423695</v>
      </c>
      <c r="F96" s="3"/>
      <c r="G96" s="3"/>
      <c r="H96" s="3"/>
      <c r="I96" s="3"/>
      <c r="J96" s="3"/>
      <c r="K96" s="3"/>
      <c r="L96" s="3"/>
    </row>
    <row r="98" spans="1:12">
      <c r="A98" s="14"/>
      <c r="B98" s="14"/>
      <c r="C98" s="14"/>
      <c r="D98" s="14"/>
      <c r="E98" s="14"/>
      <c r="F98" s="14"/>
      <c r="G98" s="1"/>
      <c r="H98" s="1"/>
      <c r="I98" s="1"/>
      <c r="J98" s="1"/>
      <c r="K98" s="1"/>
      <c r="L98" s="1"/>
    </row>
    <row r="99" spans="1:12">
      <c r="A99" s="260" t="s">
        <v>2831</v>
      </c>
      <c r="B99" s="1"/>
      <c r="C99" s="1"/>
      <c r="D99" s="1"/>
      <c r="E99" s="1"/>
      <c r="F99" s="1"/>
      <c r="G99" s="1"/>
      <c r="H99" s="1"/>
      <c r="I99" s="1"/>
      <c r="J99" s="1"/>
      <c r="K99" s="1"/>
      <c r="L99" s="1"/>
    </row>
    <row r="100" spans="1:12">
      <c r="A100" s="1"/>
      <c r="B100" s="1"/>
      <c r="C100" s="1"/>
      <c r="D100" s="1"/>
      <c r="E100" s="1"/>
      <c r="F100" s="1"/>
      <c r="G100" s="1"/>
      <c r="H100" s="1"/>
      <c r="I100" s="1"/>
      <c r="J100" s="1"/>
      <c r="K100" s="1"/>
      <c r="L100" s="1"/>
    </row>
    <row r="101" spans="1:12" ht="46.8">
      <c r="A101" s="1"/>
      <c r="B101" s="4" t="s">
        <v>49</v>
      </c>
      <c r="C101" s="4" t="s">
        <v>646</v>
      </c>
      <c r="D101" s="1"/>
      <c r="E101" s="1"/>
      <c r="F101" s="1"/>
      <c r="G101" s="1"/>
      <c r="H101" s="1"/>
      <c r="I101" s="1"/>
      <c r="J101" s="1"/>
      <c r="K101" s="1"/>
      <c r="L101" s="1"/>
    </row>
    <row r="102" spans="1:12">
      <c r="A102" s="1"/>
      <c r="B102" s="32">
        <v>2018</v>
      </c>
      <c r="C102" s="92">
        <v>7149672</v>
      </c>
      <c r="D102" s="1"/>
      <c r="E102" s="1"/>
      <c r="F102" s="1"/>
      <c r="G102" s="1"/>
      <c r="H102" s="1"/>
      <c r="I102" s="1"/>
      <c r="J102" s="1"/>
      <c r="K102" s="1"/>
      <c r="L102" s="1"/>
    </row>
    <row r="103" spans="1:12">
      <c r="A103" s="1"/>
      <c r="B103" s="32">
        <v>2019</v>
      </c>
      <c r="C103" s="92">
        <v>7289724</v>
      </c>
      <c r="D103" s="1"/>
      <c r="E103" s="1"/>
      <c r="F103" s="1"/>
      <c r="G103" s="1"/>
      <c r="H103" s="1"/>
      <c r="I103" s="1"/>
      <c r="J103" s="1"/>
      <c r="K103" s="1"/>
      <c r="L103" s="1"/>
    </row>
    <row r="104" spans="1:12">
      <c r="A104" s="1"/>
      <c r="B104" s="32">
        <v>2020</v>
      </c>
      <c r="C104" s="92">
        <v>7484846</v>
      </c>
      <c r="D104" s="1"/>
      <c r="E104" s="1"/>
      <c r="F104" s="1"/>
      <c r="G104" s="1"/>
      <c r="H104" s="1"/>
      <c r="I104" s="1"/>
      <c r="J104" s="1"/>
      <c r="K104" s="1"/>
      <c r="L104" s="1"/>
    </row>
    <row r="105" spans="1:12">
      <c r="A105" s="1"/>
      <c r="B105" s="32">
        <v>2021</v>
      </c>
      <c r="C105" s="92">
        <v>7571028</v>
      </c>
      <c r="D105" s="1"/>
      <c r="E105" s="1"/>
      <c r="F105" s="1"/>
      <c r="G105" s="1"/>
      <c r="H105" s="1"/>
      <c r="I105" s="1"/>
      <c r="J105" s="1"/>
      <c r="K105" s="1"/>
      <c r="L105" s="1"/>
    </row>
    <row r="106" spans="1:12">
      <c r="A106" s="1"/>
      <c r="B106" s="32">
        <v>2022</v>
      </c>
      <c r="C106" s="92">
        <v>7534985</v>
      </c>
      <c r="D106" s="1"/>
      <c r="E106" s="1"/>
      <c r="F106" s="1"/>
      <c r="G106" s="1"/>
      <c r="H106" s="1"/>
      <c r="I106" s="1"/>
      <c r="J106" s="1"/>
      <c r="K106" s="1"/>
      <c r="L106" s="1"/>
    </row>
    <row r="107" spans="1:12">
      <c r="A107" s="1"/>
      <c r="B107" s="32">
        <v>2023</v>
      </c>
      <c r="C107" s="92">
        <v>9222361</v>
      </c>
      <c r="D107" s="1"/>
      <c r="E107" s="1"/>
      <c r="F107" s="1"/>
      <c r="G107" s="1"/>
      <c r="H107" s="1"/>
      <c r="I107" s="1"/>
      <c r="J107" s="1"/>
      <c r="K107" s="1"/>
      <c r="L107" s="1"/>
    </row>
    <row r="108" spans="1:12">
      <c r="A108" s="1"/>
      <c r="B108" s="32">
        <v>2024</v>
      </c>
      <c r="C108" s="92">
        <v>7105054</v>
      </c>
      <c r="D108" s="1"/>
      <c r="E108" s="1"/>
      <c r="F108" s="1"/>
      <c r="G108" s="1"/>
      <c r="H108" s="1"/>
      <c r="I108" s="1"/>
      <c r="J108" s="1"/>
      <c r="K108" s="1"/>
      <c r="L108" s="1"/>
    </row>
    <row r="109" spans="1:12">
      <c r="A109" s="1"/>
      <c r="B109" s="32">
        <v>2025</v>
      </c>
      <c r="C109" s="92">
        <v>7694043</v>
      </c>
      <c r="D109" s="1"/>
      <c r="E109" s="1"/>
      <c r="F109" s="1"/>
      <c r="G109" s="1"/>
      <c r="H109" s="1"/>
      <c r="I109" s="1"/>
      <c r="J109" s="1"/>
      <c r="K109" s="1"/>
      <c r="L109" s="1"/>
    </row>
    <row r="111" spans="1:12">
      <c r="A111" s="17" t="s">
        <v>147</v>
      </c>
      <c r="B111" s="1" t="s">
        <v>2832</v>
      </c>
      <c r="C111" s="1"/>
      <c r="D111" s="1"/>
      <c r="E111" s="1"/>
      <c r="F111" s="1"/>
      <c r="G111" s="1"/>
      <c r="H111" s="1"/>
      <c r="I111" s="1"/>
      <c r="J111" s="1"/>
      <c r="K111" s="1"/>
      <c r="L111" s="1"/>
    </row>
    <row r="112" spans="1:12">
      <c r="A112" s="3"/>
      <c r="B112" s="3"/>
      <c r="C112" s="3"/>
      <c r="D112" s="3"/>
      <c r="E112" s="3"/>
      <c r="F112" s="3"/>
      <c r="G112" s="3"/>
      <c r="H112" s="3"/>
      <c r="I112" s="3"/>
      <c r="J112" s="3"/>
      <c r="K112" s="3"/>
      <c r="L112" s="3"/>
    </row>
    <row r="113" spans="1:12">
      <c r="A113" s="3" t="s">
        <v>20</v>
      </c>
      <c r="B113" s="3"/>
      <c r="C113" s="3"/>
      <c r="D113" s="3"/>
      <c r="E113" s="3"/>
      <c r="F113" s="3"/>
      <c r="G113" s="3"/>
      <c r="H113" s="3"/>
      <c r="I113" s="3"/>
      <c r="J113" s="3"/>
      <c r="K113" s="3"/>
      <c r="L113" s="3"/>
    </row>
    <row r="114" spans="1:12">
      <c r="A114" s="3"/>
      <c r="B114" s="3"/>
      <c r="C114" s="3"/>
      <c r="D114" s="3"/>
      <c r="E114" s="3"/>
      <c r="F114" s="3"/>
      <c r="G114" s="3"/>
      <c r="H114" s="3"/>
      <c r="I114" s="3"/>
      <c r="J114" s="3"/>
      <c r="K114" s="3"/>
      <c r="L114" s="3"/>
    </row>
    <row r="115" spans="1:12">
      <c r="A115" s="414" t="s">
        <v>978</v>
      </c>
      <c r="B115" s="3"/>
      <c r="C115" s="3"/>
      <c r="D115" s="3"/>
      <c r="E115" s="3"/>
      <c r="F115" s="3"/>
      <c r="G115" s="3"/>
      <c r="H115" s="3"/>
      <c r="I115" s="3"/>
      <c r="J115" s="3"/>
      <c r="K115" s="3"/>
      <c r="L115" s="3"/>
    </row>
    <row r="116" spans="1:12">
      <c r="A116" s="415" t="s">
        <v>2833</v>
      </c>
      <c r="B116" s="3"/>
      <c r="C116" s="3"/>
      <c r="D116" s="3"/>
      <c r="E116" s="3"/>
      <c r="F116" s="3"/>
      <c r="G116" s="3"/>
      <c r="H116" s="3"/>
      <c r="I116" s="3"/>
      <c r="J116" s="3"/>
      <c r="K116" s="3"/>
      <c r="L116" s="3"/>
    </row>
    <row r="117" spans="1:12">
      <c r="A117" s="3"/>
      <c r="B117" s="3"/>
      <c r="C117" s="3"/>
      <c r="D117" s="3"/>
      <c r="E117" s="3"/>
      <c r="F117" s="3"/>
      <c r="G117" s="3"/>
      <c r="H117" s="3"/>
      <c r="I117" s="3"/>
      <c r="J117" s="3"/>
      <c r="K117" s="3"/>
      <c r="L117" s="3"/>
    </row>
    <row r="118" spans="1:12">
      <c r="A118" s="953" t="s">
        <v>49</v>
      </c>
      <c r="B118" s="955" t="s">
        <v>1496</v>
      </c>
      <c r="C118" s="948"/>
      <c r="D118" s="948"/>
      <c r="E118" s="948"/>
      <c r="F118" s="948"/>
      <c r="G118" s="948"/>
      <c r="H118" s="956" t="s">
        <v>646</v>
      </c>
      <c r="I118" s="18"/>
      <c r="J118" s="3"/>
      <c r="K118" s="3"/>
      <c r="L118" s="3"/>
    </row>
    <row r="119" spans="1:12" ht="31.5" customHeight="1">
      <c r="A119" s="954"/>
      <c r="B119" s="769">
        <v>12</v>
      </c>
      <c r="C119" s="460">
        <v>24</v>
      </c>
      <c r="D119" s="460">
        <v>36</v>
      </c>
      <c r="E119" s="460">
        <v>48</v>
      </c>
      <c r="F119" s="460">
        <v>60</v>
      </c>
      <c r="G119" s="460">
        <v>72</v>
      </c>
      <c r="H119" s="956"/>
      <c r="I119" s="18"/>
      <c r="J119" s="3"/>
      <c r="K119" s="3"/>
    </row>
    <row r="120" spans="1:12">
      <c r="A120" s="590">
        <v>2018</v>
      </c>
      <c r="B120" s="591">
        <f t="shared" ref="B120:G120" si="5">C27</f>
        <v>1518006</v>
      </c>
      <c r="C120" s="591">
        <f t="shared" si="5"/>
        <v>3284534</v>
      </c>
      <c r="D120" s="591">
        <f t="shared" si="5"/>
        <v>4838338</v>
      </c>
      <c r="E120" s="591">
        <f t="shared" si="5"/>
        <v>6146551</v>
      </c>
      <c r="F120" s="591">
        <f t="shared" si="5"/>
        <v>6945034</v>
      </c>
      <c r="G120" s="593">
        <f t="shared" si="5"/>
        <v>7149672</v>
      </c>
      <c r="H120" s="591">
        <f t="shared" ref="H120:H127" si="6">C102</f>
        <v>7149672</v>
      </c>
      <c r="I120" s="18"/>
      <c r="J120" s="3"/>
      <c r="K120" s="3"/>
    </row>
    <row r="121" spans="1:12">
      <c r="A121" s="460">
        <v>2019</v>
      </c>
      <c r="B121" s="591">
        <f>C28</f>
        <v>1582770</v>
      </c>
      <c r="C121" s="591">
        <f>D28</f>
        <v>3552084</v>
      </c>
      <c r="D121" s="591">
        <f>E28</f>
        <v>5075462</v>
      </c>
      <c r="E121" s="591">
        <f>F28</f>
        <v>6140083</v>
      </c>
      <c r="F121" s="593">
        <f>G28</f>
        <v>7043201</v>
      </c>
      <c r="G121" s="591">
        <f t="shared" ref="G121:G127" si="7">F121*F$130</f>
        <v>7289723.9999999991</v>
      </c>
      <c r="H121" s="591">
        <f t="shared" si="6"/>
        <v>7289724</v>
      </c>
      <c r="I121" s="18"/>
      <c r="J121" s="3"/>
      <c r="K121" s="3"/>
    </row>
    <row r="122" spans="1:12">
      <c r="A122" s="460">
        <v>2020</v>
      </c>
      <c r="B122" s="591">
        <f>C29</f>
        <v>1573601</v>
      </c>
      <c r="C122" s="591">
        <f>D29</f>
        <v>3607985</v>
      </c>
      <c r="D122" s="591">
        <f>E29</f>
        <v>4923578</v>
      </c>
      <c r="E122" s="593">
        <f>F29</f>
        <v>6208567</v>
      </c>
      <c r="F122" s="591">
        <f t="shared" ref="F122:F127" si="8">E122*E$130</f>
        <v>7231724.3879255233</v>
      </c>
      <c r="G122" s="591">
        <f t="shared" si="7"/>
        <v>7484845.9999999991</v>
      </c>
      <c r="H122" s="591">
        <f t="shared" si="6"/>
        <v>7484846</v>
      </c>
      <c r="I122" s="18"/>
      <c r="J122" s="3"/>
      <c r="K122" s="3"/>
    </row>
    <row r="123" spans="1:12">
      <c r="A123" s="460">
        <v>2021</v>
      </c>
      <c r="B123" s="591">
        <f>C30</f>
        <v>1608502</v>
      </c>
      <c r="C123" s="591">
        <f>D30</f>
        <v>3404322</v>
      </c>
      <c r="D123" s="593">
        <f>E30</f>
        <v>4897059</v>
      </c>
      <c r="E123" s="591">
        <f>D123*D$130</f>
        <v>6280053.6706935596</v>
      </c>
      <c r="F123" s="591">
        <f t="shared" si="8"/>
        <v>7314991.8955269093</v>
      </c>
      <c r="G123" s="591">
        <f t="shared" si="7"/>
        <v>7571028</v>
      </c>
      <c r="H123" s="591">
        <f t="shared" si="6"/>
        <v>7571028</v>
      </c>
      <c r="I123" s="18"/>
      <c r="J123" s="3"/>
      <c r="K123" s="3"/>
    </row>
    <row r="124" spans="1:12">
      <c r="A124" s="460">
        <v>2022</v>
      </c>
      <c r="B124" s="591">
        <f>C31</f>
        <v>1448977</v>
      </c>
      <c r="C124" s="593">
        <f>D31</f>
        <v>3339496</v>
      </c>
      <c r="D124" s="591">
        <f>C124*C$130</f>
        <v>4873745.8254169719</v>
      </c>
      <c r="E124" s="591">
        <f>D124*D$130</f>
        <v>6250156.5451707374</v>
      </c>
      <c r="F124" s="591">
        <f t="shared" si="8"/>
        <v>7280167.7933190633</v>
      </c>
      <c r="G124" s="591">
        <f t="shared" si="7"/>
        <v>7534985.0000000019</v>
      </c>
      <c r="H124" s="591">
        <f t="shared" si="6"/>
        <v>7534985</v>
      </c>
      <c r="I124" s="18"/>
      <c r="J124" s="3"/>
      <c r="K124" s="3"/>
    </row>
    <row r="125" spans="1:12">
      <c r="A125" s="460">
        <v>2023</v>
      </c>
      <c r="B125" s="593">
        <f>C32</f>
        <v>1791306</v>
      </c>
      <c r="C125" s="591">
        <f>B125*B$130</f>
        <v>4087338.948923721</v>
      </c>
      <c r="D125" s="591">
        <f>C125*C$130</f>
        <v>5965166.9411735116</v>
      </c>
      <c r="E125" s="591">
        <f>D125*D$130</f>
        <v>7649809.5173483882</v>
      </c>
      <c r="F125" s="591">
        <f t="shared" si="8"/>
        <v>8910480.3168900516</v>
      </c>
      <c r="G125" s="591">
        <f t="shared" si="7"/>
        <v>9222361.0000000019</v>
      </c>
      <c r="H125" s="591">
        <f t="shared" si="6"/>
        <v>9222361</v>
      </c>
      <c r="I125" s="18"/>
      <c r="J125" s="3"/>
      <c r="K125" s="3"/>
    </row>
    <row r="126" spans="1:12">
      <c r="A126" s="460">
        <f>A125+1</f>
        <v>2024</v>
      </c>
      <c r="B126" s="591">
        <f>$H126/B$131</f>
        <v>1380050.7115828581</v>
      </c>
      <c r="C126" s="591">
        <f>B126*B$130</f>
        <v>3148951.1144062001</v>
      </c>
      <c r="D126" s="591">
        <f>C126*C$130</f>
        <v>4595659.7487403303</v>
      </c>
      <c r="E126" s="591">
        <f>D126*D$130</f>
        <v>5893535.2574545974</v>
      </c>
      <c r="F126" s="591">
        <f t="shared" si="8"/>
        <v>6864776.1476091566</v>
      </c>
      <c r="G126" s="591">
        <f t="shared" si="7"/>
        <v>7105054.0000000009</v>
      </c>
      <c r="H126" s="591">
        <f t="shared" si="6"/>
        <v>7105054</v>
      </c>
      <c r="I126" s="18"/>
      <c r="J126" s="3"/>
      <c r="K126" s="3"/>
    </row>
    <row r="127" spans="1:12">
      <c r="A127" s="460">
        <f t="shared" ref="A127" si="9">A126+1</f>
        <v>2025</v>
      </c>
      <c r="B127" s="591">
        <f>$H127/B$131</f>
        <v>1494453.0354166357</v>
      </c>
      <c r="C127" s="591">
        <f>B127*B$130</f>
        <v>3409990.3081861478</v>
      </c>
      <c r="D127" s="591">
        <f>C127*C$130</f>
        <v>4976627.0207344377</v>
      </c>
      <c r="E127" s="591">
        <f>D127*D$130</f>
        <v>6382092.760008825</v>
      </c>
      <c r="F127" s="591">
        <f t="shared" si="8"/>
        <v>7433846.7892121859</v>
      </c>
      <c r="G127" s="591">
        <f t="shared" si="7"/>
        <v>7694043.0000000009</v>
      </c>
      <c r="H127" s="591">
        <f t="shared" si="6"/>
        <v>7694043</v>
      </c>
      <c r="I127" s="18"/>
      <c r="J127" s="3"/>
      <c r="K127" s="3"/>
    </row>
    <row r="128" spans="1:12">
      <c r="A128" s="3"/>
      <c r="B128" s="3"/>
      <c r="C128" s="3"/>
      <c r="D128" s="3"/>
      <c r="E128" s="3"/>
      <c r="F128" s="3"/>
      <c r="G128" s="3"/>
      <c r="H128" s="3"/>
      <c r="I128" s="3"/>
      <c r="J128" s="3"/>
      <c r="K128" s="3"/>
    </row>
    <row r="129" spans="1:8">
      <c r="B129" s="35" t="s">
        <v>991</v>
      </c>
      <c r="C129" s="35" t="s">
        <v>992</v>
      </c>
      <c r="D129" s="35" t="s">
        <v>993</v>
      </c>
      <c r="E129" s="35" t="s">
        <v>994</v>
      </c>
      <c r="F129" s="35" t="s">
        <v>995</v>
      </c>
      <c r="G129" s="772" t="s">
        <v>996</v>
      </c>
    </row>
    <row r="130" spans="1:8">
      <c r="A130" s="2" t="s">
        <v>2834</v>
      </c>
      <c r="B130" s="160">
        <f t="shared" ref="B130:E130" si="10">B131/C131</f>
        <v>2.2817647844219362</v>
      </c>
      <c r="C130" s="160">
        <f t="shared" si="10"/>
        <v>1.4594255616467191</v>
      </c>
      <c r="D130" s="160">
        <f t="shared" si="10"/>
        <v>1.2824133159705773</v>
      </c>
      <c r="E130" s="160">
        <f t="shared" si="10"/>
        <v>1.1647976719789805</v>
      </c>
      <c r="F130" s="160">
        <f>F131/G131</f>
        <v>1.0350015568205422</v>
      </c>
      <c r="G130" s="160">
        <v>1</v>
      </c>
    </row>
    <row r="131" spans="1:8">
      <c r="A131" s="2" t="s">
        <v>2835</v>
      </c>
      <c r="B131" s="699">
        <f>H125/B125</f>
        <v>5.1484006640964752</v>
      </c>
      <c r="C131" s="699">
        <f>H124/C124</f>
        <v>2.2563240081736886</v>
      </c>
      <c r="D131" s="699">
        <f>H123/D123</f>
        <v>1.5460356920347498</v>
      </c>
      <c r="E131" s="699">
        <f>H122/E122</f>
        <v>1.2055674038791881</v>
      </c>
      <c r="F131" s="699">
        <f>H121/F121</f>
        <v>1.0350015568205422</v>
      </c>
      <c r="G131" s="699">
        <f>H120/G120</f>
        <v>1</v>
      </c>
    </row>
    <row r="133" spans="1:8">
      <c r="A133" s="953" t="s">
        <v>49</v>
      </c>
      <c r="B133" s="955" t="s">
        <v>942</v>
      </c>
      <c r="C133" s="948"/>
      <c r="D133" s="948"/>
      <c r="E133" s="948"/>
      <c r="F133" s="948"/>
      <c r="G133" s="948"/>
      <c r="H133" s="18"/>
    </row>
    <row r="134" spans="1:8">
      <c r="A134" s="954"/>
      <c r="B134" s="769">
        <v>12</v>
      </c>
      <c r="C134" s="460">
        <v>24</v>
      </c>
      <c r="D134" s="460">
        <v>36</v>
      </c>
      <c r="E134" s="460">
        <v>48</v>
      </c>
      <c r="F134" s="460">
        <v>60</v>
      </c>
      <c r="G134" s="460">
        <v>72</v>
      </c>
      <c r="H134" s="18"/>
    </row>
    <row r="135" spans="1:8">
      <c r="A135" s="460">
        <f t="shared" ref="A135:B142" si="11">A120</f>
        <v>2018</v>
      </c>
      <c r="B135" s="591">
        <f t="shared" si="11"/>
        <v>1518006</v>
      </c>
      <c r="C135" s="591">
        <f t="shared" ref="C135:G142" si="12">C120-B120</f>
        <v>1766528</v>
      </c>
      <c r="D135" s="591">
        <f t="shared" si="12"/>
        <v>1553804</v>
      </c>
      <c r="E135" s="591">
        <f t="shared" si="12"/>
        <v>1308213</v>
      </c>
      <c r="F135" s="591">
        <f t="shared" si="12"/>
        <v>798483</v>
      </c>
      <c r="G135" s="591">
        <f t="shared" si="12"/>
        <v>204638</v>
      </c>
      <c r="H135" s="18"/>
    </row>
    <row r="136" spans="1:8">
      <c r="A136" s="460">
        <f t="shared" si="11"/>
        <v>2019</v>
      </c>
      <c r="B136" s="591">
        <f t="shared" si="11"/>
        <v>1582770</v>
      </c>
      <c r="C136" s="591">
        <f t="shared" si="12"/>
        <v>1969314</v>
      </c>
      <c r="D136" s="591">
        <f t="shared" si="12"/>
        <v>1523378</v>
      </c>
      <c r="E136" s="591">
        <f t="shared" si="12"/>
        <v>1064621</v>
      </c>
      <c r="F136" s="591">
        <f t="shared" si="12"/>
        <v>903118</v>
      </c>
      <c r="G136" s="773">
        <f t="shared" si="12"/>
        <v>246522.99999999907</v>
      </c>
      <c r="H136" s="18"/>
    </row>
    <row r="137" spans="1:8">
      <c r="A137" s="460">
        <f t="shared" si="11"/>
        <v>2020</v>
      </c>
      <c r="B137" s="591">
        <f t="shared" si="11"/>
        <v>1573601</v>
      </c>
      <c r="C137" s="591">
        <f t="shared" si="12"/>
        <v>2034384</v>
      </c>
      <c r="D137" s="591">
        <f t="shared" si="12"/>
        <v>1315593</v>
      </c>
      <c r="E137" s="591">
        <f t="shared" si="12"/>
        <v>1284989</v>
      </c>
      <c r="F137" s="773">
        <f t="shared" si="12"/>
        <v>1023157.3879255233</v>
      </c>
      <c r="G137" s="774">
        <f t="shared" si="12"/>
        <v>253121.61207447574</v>
      </c>
      <c r="H137" s="18"/>
    </row>
    <row r="138" spans="1:8">
      <c r="A138" s="460">
        <f t="shared" si="11"/>
        <v>2021</v>
      </c>
      <c r="B138" s="591">
        <f t="shared" si="11"/>
        <v>1608502</v>
      </c>
      <c r="C138" s="591">
        <f t="shared" si="12"/>
        <v>1795820</v>
      </c>
      <c r="D138" s="591">
        <f t="shared" si="12"/>
        <v>1492737</v>
      </c>
      <c r="E138" s="773">
        <f t="shared" si="12"/>
        <v>1382994.6706935596</v>
      </c>
      <c r="F138" s="774">
        <f t="shared" si="12"/>
        <v>1034938.2248333497</v>
      </c>
      <c r="G138" s="591">
        <f t="shared" si="12"/>
        <v>256036.10447309073</v>
      </c>
      <c r="H138" s="18"/>
    </row>
    <row r="139" spans="1:8">
      <c r="A139" s="460">
        <f t="shared" si="11"/>
        <v>2022</v>
      </c>
      <c r="B139" s="591">
        <f t="shared" si="11"/>
        <v>1448977</v>
      </c>
      <c r="C139" s="591">
        <f t="shared" si="12"/>
        <v>1890519</v>
      </c>
      <c r="D139" s="773">
        <f t="shared" si="12"/>
        <v>1534249.8254169719</v>
      </c>
      <c r="E139" s="774">
        <f t="shared" si="12"/>
        <v>1376410.7197537655</v>
      </c>
      <c r="F139" s="591">
        <f t="shared" si="12"/>
        <v>1030011.2481483258</v>
      </c>
      <c r="G139" s="591">
        <f t="shared" si="12"/>
        <v>254817.2066809386</v>
      </c>
      <c r="H139" s="18"/>
    </row>
    <row r="140" spans="1:8">
      <c r="A140" s="460">
        <f t="shared" si="11"/>
        <v>2023</v>
      </c>
      <c r="B140" s="591">
        <f t="shared" si="11"/>
        <v>1791306</v>
      </c>
      <c r="C140" s="773">
        <f t="shared" si="12"/>
        <v>2296032.948923721</v>
      </c>
      <c r="D140" s="774">
        <f t="shared" si="12"/>
        <v>1877827.9922497906</v>
      </c>
      <c r="E140" s="591">
        <f t="shared" si="12"/>
        <v>1684642.5761748767</v>
      </c>
      <c r="F140" s="591">
        <f t="shared" si="12"/>
        <v>1260670.7995416634</v>
      </c>
      <c r="G140" s="591">
        <f t="shared" si="12"/>
        <v>311880.68310995027</v>
      </c>
      <c r="H140" s="18"/>
    </row>
    <row r="141" spans="1:8">
      <c r="A141" s="460">
        <f t="shared" si="11"/>
        <v>2024</v>
      </c>
      <c r="B141" s="773">
        <f t="shared" si="11"/>
        <v>1380050.7115828581</v>
      </c>
      <c r="C141" s="774">
        <f t="shared" si="12"/>
        <v>1768900.402823342</v>
      </c>
      <c r="D141" s="591">
        <f t="shared" si="12"/>
        <v>1446708.6343341302</v>
      </c>
      <c r="E141" s="591">
        <f t="shared" si="12"/>
        <v>1297875.5087142671</v>
      </c>
      <c r="F141" s="591">
        <f t="shared" si="12"/>
        <v>971240.89015455917</v>
      </c>
      <c r="G141" s="591">
        <f t="shared" si="12"/>
        <v>240277.85239084437</v>
      </c>
      <c r="H141" s="18"/>
    </row>
    <row r="142" spans="1:8">
      <c r="A142" s="460">
        <f t="shared" si="11"/>
        <v>2025</v>
      </c>
      <c r="B142" s="774">
        <f t="shared" si="11"/>
        <v>1494453.0354166357</v>
      </c>
      <c r="C142" s="591">
        <f t="shared" si="12"/>
        <v>1915537.2727695121</v>
      </c>
      <c r="D142" s="591">
        <f t="shared" si="12"/>
        <v>1566636.7125482899</v>
      </c>
      <c r="E142" s="591">
        <f t="shared" si="12"/>
        <v>1405465.7392743872</v>
      </c>
      <c r="F142" s="591">
        <f t="shared" si="12"/>
        <v>1051754.0292033609</v>
      </c>
      <c r="G142" s="591">
        <f t="shared" si="12"/>
        <v>260196.21078781504</v>
      </c>
      <c r="H142" s="18"/>
    </row>
    <row r="144" spans="1:8">
      <c r="A144" s="2" t="s">
        <v>2836</v>
      </c>
      <c r="C144" s="775">
        <f>B141+C140+D139+E138+F137+G136+H135</f>
        <v>7863008.544542633</v>
      </c>
      <c r="E144" s="18"/>
    </row>
    <row r="145" spans="1:3">
      <c r="A145" s="2" t="s">
        <v>2837</v>
      </c>
      <c r="C145" s="776">
        <f>B142+C141+D140+E139+F138+G137+H136</f>
        <v>7805651.9871513592</v>
      </c>
    </row>
  </sheetData>
  <mergeCells count="10">
    <mergeCell ref="A133:A134"/>
    <mergeCell ref="B133:G133"/>
    <mergeCell ref="C25:H25"/>
    <mergeCell ref="B43:G43"/>
    <mergeCell ref="B52:G52"/>
    <mergeCell ref="B61:G61"/>
    <mergeCell ref="B70:G70"/>
    <mergeCell ref="A118:A119"/>
    <mergeCell ref="B118:G118"/>
    <mergeCell ref="H118:H119"/>
  </mergeCells>
  <hyperlinks>
    <hyperlink ref="O1" location="TOC!A1" display="Table of Contents" xr:uid="{562973BC-D7E4-4FC7-A1FD-F04C609F0B59}"/>
  </hyperlinks>
  <pageMargins left="0.7" right="0.7" top="0.75" bottom="0.75" header="0.3" footer="0.3"/>
  <pageSetup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26E8-4EC4-400D-84E7-A517D4B22758}">
  <dimension ref="A1:Z62"/>
  <sheetViews>
    <sheetView zoomScaleNormal="100" workbookViewId="0"/>
  </sheetViews>
  <sheetFormatPr defaultColWidth="8.88671875" defaultRowHeight="15.6"/>
  <cols>
    <col min="1" max="1" width="17.6640625" style="2" customWidth="1"/>
    <col min="2" max="6" width="14.6640625" style="2" customWidth="1"/>
    <col min="7" max="7" width="8.88671875" style="2"/>
    <col min="8" max="8" width="8.88671875" style="2" customWidth="1"/>
    <col min="9" max="12" width="8.88671875" style="2"/>
    <col min="13" max="24" width="4" style="2" customWidth="1"/>
    <col min="25" max="16384" width="8.88671875" style="2"/>
  </cols>
  <sheetData>
    <row r="1" spans="1:15" ht="17.399999999999999">
      <c r="A1" s="13" t="s">
        <v>2918</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831" t="s">
        <v>2838</v>
      </c>
      <c r="B3" s="831"/>
      <c r="C3" s="831"/>
      <c r="D3" s="831"/>
      <c r="E3" s="831"/>
      <c r="F3" s="831"/>
      <c r="G3" s="831"/>
      <c r="H3" s="831"/>
      <c r="I3" s="831"/>
      <c r="J3" s="831"/>
      <c r="K3" s="831"/>
      <c r="L3" s="1"/>
    </row>
    <row r="4" spans="1:15">
      <c r="A4" s="831"/>
      <c r="B4" s="831"/>
      <c r="C4" s="831"/>
      <c r="D4" s="831"/>
      <c r="E4" s="831"/>
      <c r="F4" s="831"/>
      <c r="G4" s="831"/>
      <c r="H4" s="831"/>
      <c r="I4" s="831"/>
      <c r="J4" s="831"/>
      <c r="K4" s="831"/>
      <c r="L4" s="1"/>
    </row>
    <row r="5" spans="1:15">
      <c r="A5" s="43"/>
      <c r="B5" s="1"/>
      <c r="C5" s="1"/>
      <c r="D5" s="1"/>
      <c r="E5" s="1"/>
      <c r="F5" s="1"/>
      <c r="G5" s="1"/>
      <c r="H5" s="1"/>
      <c r="I5" s="1"/>
      <c r="J5" s="1"/>
      <c r="K5" s="1"/>
      <c r="L5" s="1"/>
    </row>
    <row r="6" spans="1:15">
      <c r="A6" s="43"/>
      <c r="B6" s="829" t="s">
        <v>2839</v>
      </c>
      <c r="C6" s="829"/>
      <c r="D6" s="829"/>
      <c r="E6" s="1"/>
      <c r="F6" s="1"/>
      <c r="G6" s="1"/>
      <c r="H6" s="1"/>
      <c r="I6" s="1"/>
      <c r="J6" s="1"/>
      <c r="K6" s="1"/>
      <c r="L6" s="1"/>
    </row>
    <row r="7" spans="1:15">
      <c r="A7" s="43"/>
      <c r="B7" s="828" t="s">
        <v>1077</v>
      </c>
      <c r="C7" s="828"/>
      <c r="D7" s="4" t="s">
        <v>629</v>
      </c>
      <c r="E7" s="1"/>
      <c r="F7" s="1"/>
      <c r="G7" s="1"/>
      <c r="H7" s="1"/>
      <c r="I7" s="1"/>
      <c r="J7" s="1"/>
      <c r="K7" s="1"/>
      <c r="L7" s="1"/>
    </row>
    <row r="8" spans="1:15">
      <c r="A8" s="43"/>
      <c r="B8" s="927">
        <v>44805</v>
      </c>
      <c r="C8" s="927"/>
      <c r="D8" s="156">
        <v>0.05</v>
      </c>
      <c r="E8" s="1"/>
      <c r="F8" s="1"/>
      <c r="G8" s="1"/>
      <c r="H8" s="1"/>
      <c r="I8" s="1"/>
      <c r="J8" s="1"/>
      <c r="K8" s="1"/>
      <c r="L8" s="1"/>
    </row>
    <row r="9" spans="1:15">
      <c r="A9" s="43"/>
      <c r="B9" s="927">
        <v>45292</v>
      </c>
      <c r="C9" s="927"/>
      <c r="D9" s="156">
        <v>7.0000000000000007E-2</v>
      </c>
      <c r="E9" s="1"/>
      <c r="F9" s="1"/>
      <c r="G9" s="1"/>
      <c r="H9" s="1"/>
      <c r="I9" s="1"/>
      <c r="J9" s="1"/>
      <c r="K9" s="1"/>
      <c r="L9" s="1"/>
    </row>
    <row r="10" spans="1:15">
      <c r="A10" s="1"/>
      <c r="B10" s="1"/>
      <c r="C10" s="1"/>
      <c r="D10" s="1"/>
      <c r="E10" s="1"/>
      <c r="F10" s="1"/>
      <c r="G10" s="1"/>
      <c r="H10" s="1"/>
      <c r="I10" s="1"/>
      <c r="J10" s="1"/>
      <c r="K10" s="1"/>
      <c r="L10" s="1"/>
    </row>
    <row r="11" spans="1:15">
      <c r="A11" s="1"/>
      <c r="B11" s="519" t="s">
        <v>2840</v>
      </c>
      <c r="C11" s="1"/>
      <c r="D11" s="1"/>
      <c r="E11" s="1"/>
      <c r="F11" s="1"/>
      <c r="G11" s="1"/>
      <c r="H11" s="1"/>
      <c r="I11" s="1"/>
      <c r="J11" s="1"/>
      <c r="K11" s="1"/>
      <c r="L11" s="1"/>
    </row>
    <row r="12" spans="1:15">
      <c r="A12" s="43"/>
      <c r="B12" s="519" t="s">
        <v>1763</v>
      </c>
      <c r="C12" s="1"/>
      <c r="D12" s="1"/>
      <c r="E12" s="1"/>
      <c r="F12" s="1"/>
      <c r="G12" s="1"/>
      <c r="H12" s="1"/>
      <c r="I12" s="1"/>
      <c r="J12" s="1"/>
      <c r="K12" s="1"/>
      <c r="L12" s="1"/>
    </row>
    <row r="13" spans="1:15">
      <c r="A13" s="1"/>
      <c r="B13" s="519" t="s">
        <v>1764</v>
      </c>
      <c r="C13" s="1"/>
      <c r="D13" s="1"/>
      <c r="E13" s="1"/>
      <c r="F13" s="1"/>
      <c r="G13" s="1"/>
      <c r="H13" s="1"/>
      <c r="I13" s="1"/>
      <c r="J13" s="1"/>
      <c r="K13" s="1"/>
      <c r="L13" s="1"/>
    </row>
    <row r="14" spans="1:15">
      <c r="A14" s="1"/>
      <c r="B14" s="519" t="s">
        <v>2841</v>
      </c>
      <c r="C14" s="1"/>
      <c r="D14" s="1"/>
      <c r="E14" s="1"/>
      <c r="F14" s="1"/>
      <c r="G14" s="1"/>
      <c r="H14" s="1"/>
      <c r="I14" s="1"/>
      <c r="J14" s="1"/>
      <c r="K14" s="1"/>
      <c r="L14" s="1"/>
    </row>
    <row r="15" spans="1:15">
      <c r="A15" s="1"/>
      <c r="B15" s="519" t="s">
        <v>2842</v>
      </c>
      <c r="C15" s="1"/>
      <c r="D15" s="1"/>
      <c r="E15" s="1"/>
      <c r="F15" s="1"/>
      <c r="G15" s="1"/>
      <c r="H15" s="1"/>
      <c r="I15" s="1"/>
      <c r="J15" s="1"/>
      <c r="K15" s="1"/>
      <c r="L15" s="1"/>
    </row>
    <row r="16" spans="1:15">
      <c r="A16" s="1"/>
      <c r="B16" s="519" t="s">
        <v>2843</v>
      </c>
      <c r="C16" s="1"/>
      <c r="D16" s="1"/>
      <c r="E16" s="1"/>
      <c r="F16" s="1"/>
      <c r="G16" s="1"/>
      <c r="H16" s="1"/>
      <c r="I16" s="1"/>
      <c r="J16" s="1"/>
      <c r="K16" s="1"/>
      <c r="L16" s="1"/>
    </row>
    <row r="17" spans="1:26">
      <c r="A17" s="1"/>
      <c r="B17" s="519" t="s">
        <v>1324</v>
      </c>
      <c r="C17" s="1"/>
      <c r="D17" s="485">
        <v>-5.0000000000000001E-3</v>
      </c>
      <c r="E17" s="1"/>
      <c r="F17" s="1"/>
      <c r="G17" s="1"/>
      <c r="H17" s="1"/>
      <c r="I17" s="1"/>
      <c r="J17" s="1"/>
      <c r="K17" s="1"/>
      <c r="L17" s="1"/>
    </row>
    <row r="18" spans="1:26">
      <c r="A18" s="1"/>
      <c r="B18" s="1"/>
      <c r="C18" s="1"/>
      <c r="D18" s="1"/>
      <c r="E18" s="1"/>
      <c r="F18" s="1"/>
      <c r="G18" s="1"/>
      <c r="H18" s="1"/>
      <c r="I18" s="1"/>
      <c r="J18" s="1"/>
      <c r="K18" s="1"/>
      <c r="L18" s="1"/>
    </row>
    <row r="19" spans="1:26">
      <c r="A19" s="260" t="s">
        <v>2844</v>
      </c>
      <c r="B19" s="1"/>
      <c r="C19" s="1"/>
      <c r="D19" s="1"/>
      <c r="E19" s="1"/>
      <c r="F19" s="1"/>
      <c r="G19" s="1"/>
      <c r="H19" s="1"/>
      <c r="I19" s="1"/>
      <c r="J19" s="1"/>
      <c r="K19" s="1"/>
      <c r="L19" s="1"/>
    </row>
    <row r="20" spans="1:26">
      <c r="A20" s="3"/>
      <c r="B20" s="3"/>
      <c r="C20" s="3"/>
      <c r="D20" s="3"/>
      <c r="E20" s="3"/>
      <c r="F20" s="3"/>
      <c r="G20" s="3"/>
      <c r="H20" s="3"/>
      <c r="I20" s="3"/>
      <c r="J20" s="3"/>
      <c r="K20" s="3"/>
      <c r="L20" s="3"/>
    </row>
    <row r="21" spans="1:26">
      <c r="A21" s="17" t="s">
        <v>91</v>
      </c>
      <c r="B21" s="1" t="s">
        <v>2845</v>
      </c>
      <c r="C21" s="1"/>
      <c r="D21" s="1"/>
      <c r="E21" s="1"/>
      <c r="F21" s="1"/>
      <c r="G21" s="1"/>
      <c r="H21" s="1"/>
      <c r="I21" s="1"/>
      <c r="J21" s="1"/>
      <c r="K21" s="1"/>
      <c r="L21" s="1"/>
      <c r="M21" s="9"/>
      <c r="N21" s="9"/>
      <c r="O21" s="9"/>
      <c r="P21" s="9"/>
      <c r="Q21" s="9"/>
      <c r="R21" s="9"/>
    </row>
    <row r="22" spans="1:26" ht="16.2">
      <c r="A22" s="3"/>
      <c r="B22" s="3"/>
      <c r="C22" s="3"/>
      <c r="D22" s="3"/>
      <c r="E22" s="3"/>
      <c r="F22" s="3"/>
      <c r="G22" s="3"/>
      <c r="H22" s="3"/>
      <c r="I22" s="3"/>
      <c r="J22" s="3"/>
      <c r="K22" s="3"/>
      <c r="L22" s="3"/>
      <c r="M22" s="114"/>
      <c r="N22" s="3"/>
      <c r="O22" s="3"/>
      <c r="P22" s="3"/>
      <c r="Q22" s="3"/>
      <c r="R22" s="3"/>
      <c r="S22" s="3"/>
      <c r="T22" s="3"/>
      <c r="U22" s="3"/>
      <c r="V22" s="3"/>
      <c r="W22" s="3"/>
      <c r="X22" s="3"/>
    </row>
    <row r="23" spans="1:26" ht="16.2">
      <c r="A23" s="3" t="s">
        <v>20</v>
      </c>
      <c r="B23" s="3"/>
      <c r="C23" s="3"/>
      <c r="D23" s="3"/>
      <c r="E23" s="3"/>
      <c r="F23" s="3"/>
      <c r="G23" s="3"/>
      <c r="H23" s="3"/>
      <c r="I23" s="3"/>
      <c r="J23" s="3"/>
      <c r="K23" s="3"/>
      <c r="L23" s="3"/>
      <c r="M23" s="114" t="s">
        <v>189</v>
      </c>
      <c r="U23" s="18"/>
      <c r="V23" s="18"/>
      <c r="W23" s="18"/>
      <c r="X23" s="18"/>
    </row>
    <row r="24" spans="1:26">
      <c r="A24" s="3"/>
      <c r="B24" s="3"/>
      <c r="C24" s="3"/>
      <c r="D24" s="3"/>
      <c r="E24" s="3"/>
      <c r="F24" s="3"/>
      <c r="G24" s="3"/>
      <c r="H24" s="3"/>
      <c r="I24" s="3"/>
      <c r="J24" s="3"/>
      <c r="K24" s="3"/>
      <c r="L24" s="3"/>
      <c r="U24" s="18"/>
      <c r="V24" s="18"/>
      <c r="W24" s="18"/>
      <c r="X24" s="18"/>
    </row>
    <row r="25" spans="1:26">
      <c r="A25" s="3"/>
      <c r="B25" s="3"/>
      <c r="C25" s="3"/>
      <c r="D25" s="3"/>
      <c r="E25" s="3"/>
      <c r="F25" s="3"/>
      <c r="G25" s="3"/>
      <c r="H25" s="3"/>
      <c r="I25" s="3"/>
      <c r="J25" s="3"/>
      <c r="K25" s="3"/>
      <c r="L25" s="3"/>
      <c r="M25" s="923">
        <v>2022</v>
      </c>
      <c r="N25" s="923"/>
      <c r="O25" s="923"/>
      <c r="P25" s="923"/>
      <c r="Q25" s="923">
        <f>M25+1</f>
        <v>2023</v>
      </c>
      <c r="R25" s="923"/>
      <c r="S25" s="923"/>
      <c r="T25" s="923"/>
      <c r="U25" s="923">
        <f>Q25+1</f>
        <v>2024</v>
      </c>
      <c r="V25" s="923"/>
      <c r="W25" s="923"/>
      <c r="X25" s="923"/>
    </row>
    <row r="26" spans="1:26" ht="20.100000000000001" customHeight="1">
      <c r="M26" s="535"/>
      <c r="N26" s="536"/>
      <c r="O26" s="536"/>
      <c r="P26" s="537"/>
      <c r="Q26" s="535"/>
      <c r="R26" s="536"/>
      <c r="S26" s="536"/>
      <c r="T26" s="537"/>
      <c r="U26" s="535"/>
      <c r="V26" s="536"/>
      <c r="W26" s="536"/>
      <c r="X26" s="537"/>
    </row>
    <row r="27" spans="1:26" ht="19.95" customHeight="1">
      <c r="M27" s="538"/>
      <c r="N27" s="9"/>
      <c r="O27" s="9"/>
      <c r="P27" s="539"/>
      <c r="Q27" s="538"/>
      <c r="R27" s="9"/>
      <c r="S27" s="9"/>
      <c r="T27" s="539"/>
      <c r="U27" s="538"/>
      <c r="V27" s="9"/>
      <c r="W27" s="9"/>
      <c r="X27" s="539"/>
    </row>
    <row r="28" spans="1:26" ht="19.95" customHeight="1">
      <c r="M28" s="538"/>
      <c r="N28" s="9"/>
      <c r="O28" s="9"/>
      <c r="P28" s="539">
        <v>1</v>
      </c>
      <c r="Q28" s="538"/>
      <c r="R28" s="923">
        <v>1.05</v>
      </c>
      <c r="S28" s="923"/>
      <c r="T28" s="539"/>
      <c r="U28" s="538"/>
      <c r="V28" s="9"/>
      <c r="W28" s="777" t="s">
        <v>2846</v>
      </c>
      <c r="X28" s="539"/>
      <c r="Z28" s="706"/>
    </row>
    <row r="29" spans="1:26" ht="19.95" customHeight="1">
      <c r="M29" s="540"/>
      <c r="N29" s="541"/>
      <c r="O29" s="541"/>
      <c r="P29" s="542"/>
      <c r="Q29" s="540"/>
      <c r="R29" s="541"/>
      <c r="S29" s="541"/>
      <c r="T29" s="542"/>
      <c r="U29" s="540"/>
      <c r="V29" s="541"/>
      <c r="W29" s="541"/>
      <c r="X29" s="542"/>
    </row>
    <row r="30" spans="1:26">
      <c r="A30" s="173" t="s">
        <v>242</v>
      </c>
      <c r="B30" s="173"/>
      <c r="M30" s="9"/>
      <c r="N30" s="9"/>
      <c r="O30" s="778">
        <v>0.05</v>
      </c>
      <c r="P30" s="9"/>
      <c r="Q30" s="9"/>
      <c r="R30" s="9"/>
      <c r="S30" s="9"/>
      <c r="T30" s="778">
        <v>7.0000000000000007E-2</v>
      </c>
      <c r="U30" s="9"/>
      <c r="V30" s="9"/>
      <c r="W30" s="9"/>
      <c r="X30" s="9"/>
    </row>
    <row r="31" spans="1:26">
      <c r="A31" s="34" t="s">
        <v>243</v>
      </c>
      <c r="B31" s="34" t="s">
        <v>244</v>
      </c>
      <c r="C31" s="34" t="s">
        <v>193</v>
      </c>
      <c r="D31" s="779" t="s">
        <v>194</v>
      </c>
      <c r="E31" s="173"/>
      <c r="F31" s="173"/>
      <c r="M31" s="9"/>
      <c r="N31" s="9"/>
      <c r="O31" s="9"/>
      <c r="P31" s="9"/>
      <c r="Q31" s="9"/>
      <c r="R31" s="9"/>
      <c r="S31" s="9"/>
      <c r="T31" s="9"/>
      <c r="U31" s="9"/>
      <c r="V31" s="9"/>
      <c r="W31" s="9"/>
      <c r="X31" s="9"/>
    </row>
    <row r="32" spans="1:26">
      <c r="A32" s="35" t="s">
        <v>245</v>
      </c>
      <c r="B32" s="35" t="s">
        <v>246</v>
      </c>
      <c r="C32" s="35" t="s">
        <v>196</v>
      </c>
      <c r="D32" s="35">
        <v>2022</v>
      </c>
      <c r="E32" s="35">
        <f>D32+1</f>
        <v>2023</v>
      </c>
      <c r="F32" s="35">
        <f t="shared" ref="F32" si="0">E32+1</f>
        <v>2024</v>
      </c>
      <c r="M32" s="9"/>
      <c r="N32" s="9"/>
      <c r="O32" s="9"/>
      <c r="P32" s="9"/>
      <c r="Q32" s="9"/>
      <c r="R32" s="9"/>
      <c r="S32" s="9"/>
      <c r="T32" s="9"/>
      <c r="U32" s="9"/>
      <c r="V32" s="9"/>
      <c r="W32" s="9"/>
      <c r="X32" s="9"/>
    </row>
    <row r="33" spans="1:24">
      <c r="A33" s="34" t="s">
        <v>2847</v>
      </c>
      <c r="B33" s="34"/>
      <c r="C33" s="34"/>
      <c r="D33" s="34"/>
      <c r="E33" s="444">
        <f>0.5*(2/12)^2</f>
        <v>1.3888888888888888E-2</v>
      </c>
      <c r="F33" s="34"/>
      <c r="M33" s="9"/>
      <c r="N33" s="9"/>
      <c r="O33" s="9"/>
      <c r="P33" s="9"/>
      <c r="Q33" s="9"/>
      <c r="R33" s="9"/>
      <c r="S33" s="9"/>
      <c r="T33" s="9"/>
      <c r="U33" s="9"/>
      <c r="V33" s="9"/>
      <c r="W33" s="9"/>
      <c r="X33" s="9"/>
    </row>
    <row r="34" spans="1:24">
      <c r="A34" s="443"/>
      <c r="B34" s="125"/>
      <c r="C34" s="132">
        <v>1</v>
      </c>
      <c r="D34" s="444">
        <f>0.5*(10/12)^2-D35</f>
        <v>0.29166666666666674</v>
      </c>
      <c r="E34" s="444">
        <f>0.5*(8/12)^2-E33</f>
        <v>0.20833333333333331</v>
      </c>
      <c r="F34" s="444">
        <v>0</v>
      </c>
      <c r="M34" s="9"/>
      <c r="N34" s="9"/>
      <c r="O34" s="9"/>
      <c r="P34" s="9"/>
      <c r="Q34" s="9"/>
      <c r="R34" s="9"/>
      <c r="S34" s="9"/>
      <c r="T34" s="9"/>
      <c r="U34" s="9"/>
      <c r="V34" s="9"/>
      <c r="W34" s="9"/>
      <c r="X34" s="9"/>
    </row>
    <row r="35" spans="1:24">
      <c r="A35" s="581">
        <f>B8</f>
        <v>44805</v>
      </c>
      <c r="B35" s="670">
        <f>D8</f>
        <v>0.05</v>
      </c>
      <c r="C35" s="132">
        <f>C34*(1+B35)</f>
        <v>1.05</v>
      </c>
      <c r="D35" s="444">
        <f>0.5*(4/12)^2</f>
        <v>5.5555555555555552E-2</v>
      </c>
      <c r="E35" s="444">
        <f>1-SUM(E33:E34)</f>
        <v>0.77777777777777779</v>
      </c>
      <c r="F35" s="444">
        <v>0.5</v>
      </c>
      <c r="M35" s="9"/>
      <c r="N35" s="9"/>
      <c r="O35" s="9"/>
      <c r="P35" s="9"/>
      <c r="Q35" s="9"/>
      <c r="R35" s="9"/>
      <c r="S35" s="9"/>
      <c r="T35" s="9"/>
      <c r="U35" s="9"/>
      <c r="V35" s="9"/>
      <c r="W35" s="9"/>
      <c r="X35" s="9"/>
    </row>
    <row r="36" spans="1:24">
      <c r="A36" s="582">
        <f>B9</f>
        <v>45292</v>
      </c>
      <c r="B36" s="671">
        <f>D9</f>
        <v>7.0000000000000007E-2</v>
      </c>
      <c r="C36" s="297">
        <f t="shared" ref="C36" si="1">C35*(1+B36)</f>
        <v>1.1235000000000002</v>
      </c>
      <c r="D36" s="446">
        <v>0</v>
      </c>
      <c r="E36" s="446">
        <v>0</v>
      </c>
      <c r="F36" s="446">
        <v>0.5</v>
      </c>
      <c r="M36" s="9"/>
      <c r="N36" s="9"/>
      <c r="O36" s="9"/>
      <c r="P36" s="9"/>
      <c r="Q36" s="9"/>
      <c r="R36" s="9"/>
      <c r="S36" s="9"/>
      <c r="T36" s="9"/>
      <c r="U36" s="9"/>
      <c r="V36" s="9"/>
      <c r="W36" s="9"/>
      <c r="X36" s="9"/>
    </row>
    <row r="37" spans="1:24">
      <c r="A37" s="447"/>
      <c r="B37" s="124"/>
      <c r="D37" s="444">
        <f>SUM(D34:D36)</f>
        <v>0.34722222222222232</v>
      </c>
      <c r="E37" s="444">
        <f>SUM(E34:E36)</f>
        <v>0.98611111111111116</v>
      </c>
      <c r="F37" s="444">
        <f>SUM(F34:F36)</f>
        <v>1</v>
      </c>
      <c r="M37" s="9"/>
      <c r="N37" s="9"/>
      <c r="O37" s="9"/>
      <c r="P37" s="9"/>
      <c r="Q37" s="9"/>
      <c r="R37" s="9"/>
      <c r="S37" s="9"/>
      <c r="T37" s="9"/>
      <c r="U37" s="9"/>
      <c r="V37" s="9"/>
      <c r="W37" s="9"/>
      <c r="X37" s="9"/>
    </row>
    <row r="38" spans="1:24">
      <c r="A38" s="447"/>
      <c r="B38" s="448"/>
      <c r="M38" s="9"/>
      <c r="N38" s="9"/>
      <c r="O38" s="9"/>
      <c r="P38" s="9"/>
      <c r="Q38" s="9"/>
      <c r="R38" s="9"/>
      <c r="S38" s="9"/>
      <c r="T38" s="9"/>
      <c r="U38" s="9"/>
      <c r="V38" s="9"/>
      <c r="W38" s="9"/>
      <c r="X38" s="9"/>
    </row>
    <row r="39" spans="1:24">
      <c r="A39" s="449" t="s">
        <v>639</v>
      </c>
      <c r="D39" s="132">
        <f>SUMPRODUCT($C$34:$C$36,D34:D36)/D37</f>
        <v>1.008</v>
      </c>
      <c r="E39" s="132">
        <f>SUMPRODUCT($C$34:$C$36,E34:E36)/E37</f>
        <v>1.03943661971831</v>
      </c>
      <c r="F39" s="132">
        <f>SUMPRODUCT($C$34:$C$36,F34:F36)/F37</f>
        <v>1.0867500000000001</v>
      </c>
      <c r="M39" s="9"/>
      <c r="N39" s="9"/>
      <c r="O39" s="9"/>
      <c r="P39" s="9"/>
      <c r="Q39" s="9"/>
      <c r="R39" s="9"/>
      <c r="S39" s="9"/>
      <c r="T39" s="9"/>
      <c r="U39" s="9"/>
      <c r="V39" s="9"/>
      <c r="W39" s="9"/>
      <c r="X39" s="9"/>
    </row>
    <row r="40" spans="1:24">
      <c r="A40" s="448"/>
      <c r="M40" s="9"/>
      <c r="N40" s="9"/>
      <c r="O40" s="9"/>
      <c r="P40" s="9"/>
      <c r="Q40" s="9"/>
      <c r="R40" s="9"/>
      <c r="S40" s="9"/>
      <c r="T40" s="9"/>
      <c r="U40" s="9"/>
      <c r="V40" s="9"/>
      <c r="W40" s="9"/>
      <c r="X40" s="9"/>
    </row>
    <row r="41" spans="1:24">
      <c r="A41" s="449" t="s">
        <v>1084</v>
      </c>
      <c r="D41" s="82">
        <f>$C$36/D39</f>
        <v>1.1145833333333335</v>
      </c>
      <c r="E41" s="82">
        <f>$C$36/E39</f>
        <v>1.0808739837398373</v>
      </c>
      <c r="F41" s="82">
        <f>$C$36/F39</f>
        <v>1.0338164251207731</v>
      </c>
      <c r="M41" s="9"/>
      <c r="N41" s="9"/>
      <c r="O41" s="9"/>
      <c r="P41" s="9"/>
      <c r="Q41" s="9"/>
      <c r="R41" s="9"/>
      <c r="S41" s="9"/>
      <c r="T41" s="9"/>
      <c r="U41" s="9"/>
      <c r="V41" s="9"/>
      <c r="W41" s="9"/>
      <c r="X41" s="9"/>
    </row>
    <row r="43" spans="1:24">
      <c r="A43" s="17" t="s">
        <v>133</v>
      </c>
      <c r="B43" s="1" t="s">
        <v>2848</v>
      </c>
      <c r="C43" s="1"/>
      <c r="D43" s="1"/>
      <c r="E43" s="1"/>
      <c r="F43" s="1"/>
      <c r="G43" s="1"/>
      <c r="H43" s="1"/>
      <c r="I43" s="1"/>
      <c r="J43" s="1"/>
      <c r="K43" s="1"/>
      <c r="L43" s="1"/>
    </row>
    <row r="44" spans="1:24">
      <c r="A44" s="3"/>
      <c r="B44" s="3"/>
      <c r="C44" s="3"/>
      <c r="D44" s="3"/>
      <c r="E44" s="3"/>
      <c r="F44" s="3"/>
      <c r="G44" s="3"/>
      <c r="H44" s="3"/>
      <c r="I44" s="3"/>
      <c r="J44" s="3"/>
      <c r="K44" s="3"/>
      <c r="L44" s="3"/>
    </row>
    <row r="45" spans="1:24">
      <c r="A45" s="3" t="s">
        <v>20</v>
      </c>
      <c r="B45" s="3"/>
      <c r="C45" s="3"/>
      <c r="D45" s="3"/>
      <c r="E45" s="3"/>
      <c r="F45" s="3"/>
      <c r="G45" s="3"/>
      <c r="H45" s="3"/>
      <c r="I45" s="3"/>
      <c r="J45" s="3"/>
      <c r="K45" s="3"/>
      <c r="L45" s="3"/>
    </row>
    <row r="46" spans="1:24">
      <c r="A46" s="3"/>
      <c r="B46" s="3"/>
      <c r="C46" s="3"/>
      <c r="D46" s="3"/>
      <c r="E46" s="3"/>
      <c r="F46" s="3"/>
      <c r="G46" s="3"/>
      <c r="H46" s="3"/>
      <c r="I46" s="3"/>
      <c r="J46" s="3"/>
      <c r="K46" s="3"/>
      <c r="L46" s="3"/>
    </row>
    <row r="47" spans="1:24">
      <c r="A47" s="3" t="s">
        <v>2849</v>
      </c>
      <c r="B47" s="3"/>
      <c r="C47" s="680">
        <v>45748</v>
      </c>
      <c r="D47" s="3"/>
    </row>
    <row r="48" spans="1:24">
      <c r="A48" s="3" t="s">
        <v>2850</v>
      </c>
      <c r="B48" s="3"/>
      <c r="C48" s="3"/>
      <c r="D48" s="3"/>
    </row>
    <row r="49" spans="1:24">
      <c r="A49" s="3"/>
      <c r="B49" s="3"/>
      <c r="C49" s="3"/>
      <c r="D49" s="3"/>
      <c r="M49" s="923">
        <v>2022</v>
      </c>
      <c r="N49" s="923"/>
      <c r="O49" s="923"/>
      <c r="P49" s="923"/>
      <c r="Q49" s="923">
        <f>M49+1</f>
        <v>2023</v>
      </c>
      <c r="R49" s="923"/>
      <c r="S49" s="923"/>
      <c r="T49" s="923"/>
      <c r="U49" s="923">
        <f>Q49+1</f>
        <v>2024</v>
      </c>
      <c r="V49" s="923"/>
      <c r="W49" s="923"/>
      <c r="X49" s="923"/>
    </row>
    <row r="50" spans="1:24" ht="20.100000000000001" customHeight="1">
      <c r="A50" s="3"/>
      <c r="B50" s="3"/>
      <c r="C50" s="3"/>
      <c r="D50" s="3"/>
      <c r="M50" s="535"/>
      <c r="N50" s="536"/>
      <c r="O50" s="536"/>
      <c r="P50" s="537"/>
      <c r="Q50" s="535"/>
      <c r="R50" s="536"/>
      <c r="S50" s="536"/>
      <c r="T50" s="537"/>
      <c r="U50" s="535"/>
      <c r="V50" s="536"/>
      <c r="W50" s="536"/>
      <c r="X50" s="537"/>
    </row>
    <row r="51" spans="1:24" ht="20.100000000000001" customHeight="1">
      <c r="A51" s="3"/>
      <c r="B51" s="3"/>
      <c r="C51" s="3"/>
      <c r="D51" s="3"/>
      <c r="M51" s="538"/>
      <c r="N51" s="9"/>
      <c r="O51" s="9"/>
      <c r="P51" s="539"/>
      <c r="Q51" s="538"/>
      <c r="R51" s="9"/>
      <c r="S51" s="9"/>
      <c r="T51" s="539"/>
      <c r="U51" s="538"/>
      <c r="V51" s="9"/>
      <c r="W51" s="9"/>
      <c r="X51" s="539"/>
    </row>
    <row r="52" spans="1:24" ht="20.100000000000001" customHeight="1">
      <c r="A52" s="3"/>
      <c r="B52" s="3"/>
      <c r="C52" s="3"/>
      <c r="D52" s="3"/>
      <c r="M52" s="538"/>
      <c r="N52" s="9"/>
      <c r="O52" s="9"/>
      <c r="P52" s="539"/>
      <c r="Q52" s="538"/>
      <c r="R52" s="534"/>
      <c r="S52" s="534"/>
      <c r="T52" s="539"/>
      <c r="U52" s="538"/>
      <c r="V52" s="9"/>
      <c r="W52" s="777"/>
      <c r="X52" s="539"/>
    </row>
    <row r="53" spans="1:24" ht="20.100000000000001" customHeight="1">
      <c r="A53" s="3"/>
      <c r="B53" s="3"/>
      <c r="C53" s="3"/>
      <c r="D53" s="3"/>
      <c r="M53" s="540"/>
      <c r="N53" s="541"/>
      <c r="O53" s="541"/>
      <c r="P53" s="542"/>
      <c r="Q53" s="540"/>
      <c r="R53" s="541"/>
      <c r="S53" s="541"/>
      <c r="T53" s="542"/>
      <c r="U53" s="540"/>
      <c r="V53" s="541"/>
      <c r="W53" s="541"/>
      <c r="X53" s="542"/>
    </row>
    <row r="54" spans="1:24">
      <c r="A54" s="3"/>
      <c r="B54" s="3"/>
      <c r="C54" s="3"/>
      <c r="D54" s="3"/>
      <c r="M54" s="9"/>
      <c r="N54" s="9"/>
      <c r="O54" s="778"/>
      <c r="P54" s="9"/>
      <c r="Q54" s="9"/>
      <c r="R54" s="9"/>
      <c r="S54" s="9"/>
      <c r="T54" s="778"/>
      <c r="U54" s="9"/>
      <c r="V54" s="9"/>
      <c r="W54" s="9"/>
      <c r="X54" s="9"/>
    </row>
    <row r="55" spans="1:24" ht="62.4">
      <c r="A55" s="93" t="s">
        <v>3</v>
      </c>
      <c r="B55" s="93" t="s">
        <v>2851</v>
      </c>
      <c r="C55" s="93" t="s">
        <v>2852</v>
      </c>
      <c r="D55" s="93" t="s">
        <v>2853</v>
      </c>
      <c r="E55" s="36" t="s">
        <v>2802</v>
      </c>
      <c r="F55" s="36" t="s">
        <v>2854</v>
      </c>
      <c r="M55" s="2" t="s">
        <v>2855</v>
      </c>
    </row>
    <row r="56" spans="1:24">
      <c r="A56" s="34">
        <v>2022</v>
      </c>
      <c r="B56" s="581">
        <f>DATE(2022,3+5,1)</f>
        <v>44774</v>
      </c>
      <c r="C56" s="581">
        <f>DATE(YEAR(C47),6+MONTH(C47),1)</f>
        <v>45931</v>
      </c>
      <c r="D56" s="34">
        <f>DATEDIF(B56,C56,"M")</f>
        <v>38</v>
      </c>
      <c r="E56" s="160">
        <f>D56/12</f>
        <v>3.1666666666666665</v>
      </c>
      <c r="F56" s="132">
        <f>(1+$D$17)^E56</f>
        <v>0.98425226382720954</v>
      </c>
    </row>
    <row r="57" spans="1:24">
      <c r="A57" s="34">
        <v>2023</v>
      </c>
      <c r="B57" s="581">
        <f>DATE(A57,2,1)</f>
        <v>44958</v>
      </c>
      <c r="C57" s="581">
        <f>C56</f>
        <v>45931</v>
      </c>
      <c r="D57" s="34">
        <f>DATEDIF(B57,C57,"M")</f>
        <v>32</v>
      </c>
      <c r="E57" s="160">
        <f>D57/12</f>
        <v>2.6666666666666665</v>
      </c>
      <c r="F57" s="132">
        <f>(1+$D$17)^E57</f>
        <v>0.9867221604680726</v>
      </c>
    </row>
    <row r="58" spans="1:24">
      <c r="M58" s="2" t="s">
        <v>2856</v>
      </c>
    </row>
    <row r="59" spans="1:24">
      <c r="A59" s="60"/>
      <c r="B59" s="60"/>
      <c r="C59" s="60"/>
      <c r="D59" s="60"/>
      <c r="E59" s="60"/>
    </row>
    <row r="60" spans="1:24">
      <c r="A60" s="60"/>
      <c r="B60" s="60"/>
      <c r="C60" s="60"/>
      <c r="D60" s="60"/>
      <c r="E60" s="60"/>
    </row>
    <row r="61" spans="1:24">
      <c r="A61" s="60"/>
    </row>
    <row r="62" spans="1:24">
      <c r="A62" s="60"/>
    </row>
  </sheetData>
  <mergeCells count="12">
    <mergeCell ref="Q25:T25"/>
    <mergeCell ref="U25:X25"/>
    <mergeCell ref="R28:S28"/>
    <mergeCell ref="M49:P49"/>
    <mergeCell ref="Q49:T49"/>
    <mergeCell ref="U49:X49"/>
    <mergeCell ref="M25:P25"/>
    <mergeCell ref="A3:K4"/>
    <mergeCell ref="B6:D6"/>
    <mergeCell ref="B7:C7"/>
    <mergeCell ref="B8:C8"/>
    <mergeCell ref="B9:C9"/>
  </mergeCells>
  <hyperlinks>
    <hyperlink ref="O1" location="TOC!A1" display="Table of Contents" xr:uid="{BC5174EB-28F3-4FA7-B755-A7873AC675E8}"/>
  </hyperlinks>
  <pageMargins left="0.7" right="0.7" top="0.75" bottom="0.75" header="0.3" footer="0.3"/>
  <pageSetup orientation="portrait" verticalDpi="0"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6E2A8-2075-44CB-932E-87B1B4A602A8}">
  <dimension ref="A1:R116"/>
  <sheetViews>
    <sheetView zoomScaleNormal="100" workbookViewId="0"/>
  </sheetViews>
  <sheetFormatPr defaultColWidth="8.88671875" defaultRowHeight="15.6"/>
  <cols>
    <col min="1" max="1" width="20.6640625" style="2" customWidth="1"/>
    <col min="2" max="10" width="15.6640625" style="2" customWidth="1"/>
    <col min="11" max="11" width="20.33203125" style="2" customWidth="1"/>
    <col min="12" max="14" width="15.6640625" style="2" customWidth="1"/>
    <col min="15" max="16" width="8.88671875" style="2"/>
    <col min="17" max="17" width="11.33203125" style="2" customWidth="1"/>
    <col min="18" max="16384" width="8.88671875" style="2"/>
  </cols>
  <sheetData>
    <row r="1" spans="1:14" ht="17.399999999999999">
      <c r="A1" s="13" t="s">
        <v>2917</v>
      </c>
      <c r="B1" s="1"/>
      <c r="C1" s="1" t="s">
        <v>240</v>
      </c>
      <c r="D1" s="1"/>
      <c r="E1" s="1"/>
      <c r="F1" s="1"/>
      <c r="G1" s="1"/>
      <c r="H1" s="1"/>
      <c r="I1" s="1"/>
      <c r="J1" s="1"/>
      <c r="K1" s="1"/>
      <c r="L1" s="14"/>
      <c r="N1" s="21" t="s">
        <v>2927</v>
      </c>
    </row>
    <row r="2" spans="1:14">
      <c r="A2" s="1"/>
      <c r="B2" s="1"/>
      <c r="C2" s="1"/>
      <c r="D2" s="1"/>
      <c r="E2" s="1"/>
      <c r="F2" s="1"/>
      <c r="G2" s="1"/>
      <c r="H2" s="1"/>
      <c r="I2" s="1"/>
      <c r="J2" s="1"/>
      <c r="K2" s="1"/>
      <c r="L2" s="14"/>
    </row>
    <row r="3" spans="1:14">
      <c r="A3" s="1" t="s">
        <v>2857</v>
      </c>
      <c r="B3" s="1"/>
      <c r="C3" s="1"/>
      <c r="D3" s="1"/>
      <c r="E3" s="1"/>
      <c r="F3" s="1"/>
      <c r="G3" s="1"/>
      <c r="H3" s="1"/>
      <c r="I3" s="1"/>
      <c r="J3" s="1"/>
      <c r="K3" s="1"/>
      <c r="L3" s="14"/>
    </row>
    <row r="4" spans="1:14">
      <c r="A4" s="43"/>
      <c r="B4" s="1"/>
      <c r="C4" s="1"/>
      <c r="D4" s="1"/>
      <c r="E4" s="1"/>
      <c r="F4" s="1"/>
      <c r="G4" s="1"/>
      <c r="H4" s="1"/>
      <c r="I4" s="1"/>
      <c r="J4" s="1"/>
      <c r="K4" s="1"/>
      <c r="L4" s="1"/>
    </row>
    <row r="5" spans="1:14">
      <c r="A5" s="43"/>
      <c r="B5" s="23" t="s">
        <v>53</v>
      </c>
      <c r="C5" s="813" t="s">
        <v>59</v>
      </c>
      <c r="D5" s="829"/>
      <c r="E5" s="829"/>
      <c r="F5" s="829"/>
      <c r="G5" s="829"/>
      <c r="H5" s="1"/>
      <c r="I5" s="1"/>
      <c r="J5" s="1"/>
      <c r="K5" s="1"/>
      <c r="L5" s="1"/>
    </row>
    <row r="6" spans="1:14">
      <c r="A6" s="43"/>
      <c r="B6" s="24" t="s">
        <v>55</v>
      </c>
      <c r="C6" s="39">
        <v>12</v>
      </c>
      <c r="D6" s="5">
        <v>24</v>
      </c>
      <c r="E6" s="5">
        <v>36</v>
      </c>
      <c r="F6" s="5">
        <v>48</v>
      </c>
      <c r="G6" s="5">
        <v>60</v>
      </c>
      <c r="H6" s="1"/>
      <c r="I6" s="1"/>
      <c r="J6" s="1"/>
      <c r="K6" s="1"/>
      <c r="L6" s="1"/>
    </row>
    <row r="7" spans="1:14">
      <c r="A7" s="43"/>
      <c r="B7" s="25">
        <v>2019</v>
      </c>
      <c r="C7" s="7">
        <v>540061</v>
      </c>
      <c r="D7" s="7">
        <v>575731</v>
      </c>
      <c r="E7" s="7">
        <v>648087</v>
      </c>
      <c r="F7" s="7">
        <v>683622</v>
      </c>
      <c r="G7" s="7">
        <v>702734</v>
      </c>
      <c r="H7" s="1"/>
      <c r="I7" s="1"/>
      <c r="J7" s="1"/>
      <c r="K7" s="1"/>
      <c r="L7" s="1"/>
    </row>
    <row r="8" spans="1:14">
      <c r="A8" s="43"/>
      <c r="B8" s="6">
        <v>2020</v>
      </c>
      <c r="C8" s="7">
        <v>554275</v>
      </c>
      <c r="D8" s="7">
        <v>591019</v>
      </c>
      <c r="E8" s="7">
        <v>665056</v>
      </c>
      <c r="F8" s="7">
        <v>701405</v>
      </c>
      <c r="G8" s="6"/>
      <c r="H8" s="1"/>
      <c r="I8" s="1"/>
      <c r="J8" s="1"/>
      <c r="K8" s="1"/>
      <c r="L8" s="1"/>
    </row>
    <row r="9" spans="1:14">
      <c r="A9" s="1"/>
      <c r="B9" s="6">
        <v>2021</v>
      </c>
      <c r="C9" s="7">
        <v>567907</v>
      </c>
      <c r="D9" s="7">
        <v>656134</v>
      </c>
      <c r="E9" s="7">
        <v>731837</v>
      </c>
      <c r="F9" s="6"/>
      <c r="G9" s="6"/>
      <c r="H9" s="1"/>
      <c r="I9" s="1"/>
      <c r="J9" s="1"/>
      <c r="K9" s="1"/>
      <c r="L9" s="1"/>
    </row>
    <row r="10" spans="1:14">
      <c r="A10" s="1"/>
      <c r="B10" s="6">
        <v>2022</v>
      </c>
      <c r="C10" s="7">
        <v>581936</v>
      </c>
      <c r="D10" s="7">
        <v>621002</v>
      </c>
      <c r="E10" s="6"/>
      <c r="F10" s="6"/>
      <c r="G10" s="339"/>
      <c r="H10" s="1"/>
      <c r="I10" s="1"/>
      <c r="J10" s="1"/>
      <c r="K10" s="1"/>
      <c r="L10" s="1"/>
    </row>
    <row r="11" spans="1:14">
      <c r="A11" s="43"/>
      <c r="B11" s="6">
        <v>2023</v>
      </c>
      <c r="C11" s="7">
        <v>596836</v>
      </c>
      <c r="D11" s="6"/>
      <c r="E11" s="6"/>
      <c r="F11" s="339"/>
      <c r="G11" s="339"/>
      <c r="H11" s="1"/>
      <c r="I11" s="1"/>
      <c r="J11" s="1"/>
      <c r="K11" s="1"/>
      <c r="L11" s="1"/>
    </row>
    <row r="12" spans="1:14">
      <c r="A12" s="1"/>
      <c r="B12" s="1"/>
      <c r="C12" s="1"/>
      <c r="D12" s="1"/>
      <c r="E12" s="1"/>
      <c r="F12" s="1"/>
      <c r="G12" s="1"/>
      <c r="H12" s="1"/>
      <c r="I12" s="1"/>
      <c r="J12" s="1"/>
      <c r="K12" s="1"/>
      <c r="L12" s="1"/>
    </row>
    <row r="13" spans="1:14" ht="31.2">
      <c r="A13" s="1"/>
      <c r="B13" s="5" t="s">
        <v>3</v>
      </c>
      <c r="C13" s="5" t="s">
        <v>47</v>
      </c>
      <c r="D13" s="1"/>
      <c r="E13" s="1"/>
      <c r="F13" s="1"/>
      <c r="G13" s="1"/>
      <c r="H13" s="1"/>
      <c r="I13" s="1"/>
      <c r="J13" s="1"/>
      <c r="K13" s="1"/>
      <c r="L13" s="1"/>
    </row>
    <row r="14" spans="1:14">
      <c r="A14" s="1"/>
      <c r="B14" s="6">
        <v>2019</v>
      </c>
      <c r="C14" s="7">
        <v>1000000</v>
      </c>
      <c r="D14" s="1"/>
      <c r="E14" s="1"/>
      <c r="F14" s="1"/>
      <c r="G14" s="1"/>
      <c r="H14" s="1"/>
      <c r="I14" s="1"/>
      <c r="J14" s="1"/>
      <c r="K14" s="1"/>
      <c r="L14" s="1"/>
    </row>
    <row r="15" spans="1:14">
      <c r="A15" s="1"/>
      <c r="B15" s="6">
        <v>2020</v>
      </c>
      <c r="C15" s="7">
        <v>1040000</v>
      </c>
      <c r="D15" s="1"/>
      <c r="E15" s="1"/>
      <c r="F15" s="1"/>
      <c r="G15" s="1"/>
      <c r="H15" s="1"/>
      <c r="I15" s="1"/>
      <c r="J15" s="1"/>
      <c r="K15" s="1"/>
      <c r="L15" s="1"/>
    </row>
    <row r="16" spans="1:14">
      <c r="A16" s="1"/>
      <c r="B16" s="6">
        <v>2021</v>
      </c>
      <c r="C16" s="7">
        <v>1082000</v>
      </c>
      <c r="D16" s="1"/>
      <c r="E16" s="1"/>
      <c r="F16" s="1"/>
      <c r="G16" s="1"/>
      <c r="H16" s="1"/>
      <c r="I16" s="1"/>
      <c r="J16" s="1"/>
      <c r="K16" s="1"/>
      <c r="L16" s="1"/>
    </row>
    <row r="17" spans="1:18">
      <c r="A17" s="1"/>
      <c r="B17" s="6">
        <v>2022</v>
      </c>
      <c r="C17" s="7">
        <v>1125000</v>
      </c>
      <c r="D17" s="1"/>
      <c r="E17" s="1"/>
      <c r="F17" s="1"/>
      <c r="G17" s="1"/>
      <c r="H17" s="1"/>
      <c r="I17" s="1"/>
      <c r="J17" s="1"/>
      <c r="K17" s="1"/>
      <c r="L17" s="1"/>
    </row>
    <row r="18" spans="1:18">
      <c r="A18" s="1"/>
      <c r="B18" s="6">
        <v>2023</v>
      </c>
      <c r="C18" s="7">
        <v>1170000</v>
      </c>
      <c r="D18" s="1"/>
      <c r="E18" s="1"/>
      <c r="F18" s="1"/>
      <c r="G18" s="1"/>
      <c r="H18" s="1"/>
      <c r="I18" s="1"/>
      <c r="J18" s="1"/>
      <c r="K18" s="1"/>
      <c r="L18" s="1"/>
    </row>
    <row r="19" spans="1:18">
      <c r="A19" s="1"/>
      <c r="B19" s="1"/>
      <c r="C19" s="1"/>
      <c r="D19" s="1"/>
      <c r="E19" s="1"/>
      <c r="F19" s="1"/>
      <c r="G19" s="1"/>
      <c r="H19" s="1"/>
      <c r="I19" s="1"/>
      <c r="J19" s="1"/>
      <c r="K19" s="1"/>
      <c r="L19" s="1"/>
    </row>
    <row r="20" spans="1:18">
      <c r="A20" s="1"/>
      <c r="B20" s="519" t="s">
        <v>2858</v>
      </c>
      <c r="C20" s="1"/>
      <c r="D20" s="1"/>
      <c r="E20" s="1"/>
      <c r="F20" s="1"/>
      <c r="G20" s="1"/>
      <c r="H20" s="1"/>
      <c r="I20" s="1"/>
      <c r="J20" s="1"/>
      <c r="K20" s="1"/>
      <c r="L20" s="1"/>
    </row>
    <row r="21" spans="1:18">
      <c r="A21" s="1"/>
      <c r="B21" s="519" t="s">
        <v>2859</v>
      </c>
      <c r="C21" s="1"/>
      <c r="D21" s="1"/>
      <c r="E21" s="1"/>
      <c r="F21" s="1"/>
      <c r="G21" s="1"/>
      <c r="H21" s="1"/>
      <c r="I21" s="1"/>
      <c r="J21" s="1"/>
      <c r="K21" s="1"/>
      <c r="L21" s="1"/>
    </row>
    <row r="22" spans="1:18">
      <c r="A22" s="1"/>
      <c r="B22" s="519" t="s">
        <v>2610</v>
      </c>
      <c r="C22" s="1"/>
      <c r="D22" s="1"/>
      <c r="E22" s="377">
        <v>-0.02</v>
      </c>
      <c r="F22" s="1"/>
      <c r="G22" s="1"/>
      <c r="H22" s="1"/>
      <c r="I22" s="1"/>
      <c r="J22" s="1"/>
      <c r="K22" s="1"/>
      <c r="L22" s="1"/>
    </row>
    <row r="23" spans="1:18" ht="15.6" customHeight="1">
      <c r="A23" s="1"/>
      <c r="B23" s="519" t="s">
        <v>2860</v>
      </c>
      <c r="C23" s="780"/>
      <c r="D23" s="781">
        <v>50000</v>
      </c>
      <c r="E23" s="204" t="s">
        <v>2861</v>
      </c>
      <c r="F23" s="780"/>
      <c r="G23" s="780"/>
      <c r="H23" s="780"/>
      <c r="I23" s="780"/>
      <c r="J23" s="780"/>
      <c r="K23" s="780"/>
      <c r="L23" s="1"/>
    </row>
    <row r="24" spans="1:18">
      <c r="A24" s="1"/>
      <c r="B24" s="204" t="s">
        <v>2862</v>
      </c>
      <c r="C24" s="780"/>
      <c r="D24" s="780"/>
      <c r="E24" s="780"/>
      <c r="F24" s="780"/>
      <c r="G24" s="780"/>
      <c r="H24" s="780"/>
      <c r="I24" s="780"/>
      <c r="J24" s="780"/>
      <c r="K24" s="780"/>
      <c r="L24" s="1"/>
    </row>
    <row r="25" spans="1:18">
      <c r="A25" s="1"/>
      <c r="B25" s="519" t="s">
        <v>2863</v>
      </c>
      <c r="C25" s="1"/>
      <c r="D25" s="1"/>
      <c r="E25" s="1"/>
      <c r="F25" s="1"/>
      <c r="G25" s="1"/>
      <c r="H25" s="1"/>
      <c r="I25" s="1"/>
      <c r="J25" s="1"/>
      <c r="K25" s="1"/>
      <c r="L25" s="1"/>
    </row>
    <row r="26" spans="1:18">
      <c r="A26" s="1"/>
      <c r="B26" s="957" t="s">
        <v>2864</v>
      </c>
      <c r="C26" s="957"/>
      <c r="D26" s="957"/>
      <c r="E26" s="957"/>
      <c r="F26" s="957"/>
      <c r="G26" s="957"/>
      <c r="H26" s="957"/>
      <c r="I26" s="957"/>
      <c r="J26" s="957"/>
      <c r="K26" s="957"/>
      <c r="L26" s="1"/>
    </row>
    <row r="27" spans="1:18">
      <c r="A27" s="1"/>
      <c r="B27" s="957"/>
      <c r="C27" s="957"/>
      <c r="D27" s="957"/>
      <c r="E27" s="957"/>
      <c r="F27" s="957"/>
      <c r="G27" s="957"/>
      <c r="H27" s="957"/>
      <c r="I27" s="957"/>
      <c r="J27" s="957"/>
      <c r="K27" s="957"/>
      <c r="L27" s="1"/>
    </row>
    <row r="28" spans="1:18">
      <c r="A28" s="3"/>
      <c r="B28" s="3"/>
      <c r="C28" s="3"/>
      <c r="D28" s="3"/>
      <c r="E28" s="3"/>
      <c r="F28" s="3"/>
      <c r="G28" s="3"/>
      <c r="H28" s="3"/>
      <c r="I28" s="3"/>
      <c r="J28" s="3"/>
      <c r="K28" s="3"/>
      <c r="L28" s="3"/>
    </row>
    <row r="29" spans="1:18">
      <c r="A29" s="17" t="s">
        <v>91</v>
      </c>
      <c r="B29" s="1" t="s">
        <v>2865</v>
      </c>
      <c r="C29" s="1"/>
      <c r="D29" s="1"/>
      <c r="E29" s="1"/>
      <c r="F29" s="1"/>
      <c r="G29" s="1"/>
      <c r="H29" s="1"/>
      <c r="I29" s="1"/>
      <c r="J29" s="1"/>
      <c r="K29" s="1"/>
      <c r="L29" s="1"/>
      <c r="M29" s="9"/>
      <c r="N29" s="9"/>
      <c r="O29" s="9"/>
      <c r="P29" s="9"/>
      <c r="Q29" s="9"/>
      <c r="R29" s="9"/>
    </row>
    <row r="30" spans="1:18">
      <c r="A30" s="3"/>
      <c r="B30" s="3"/>
      <c r="C30" s="3"/>
      <c r="D30" s="3"/>
      <c r="E30" s="3"/>
      <c r="F30" s="3"/>
      <c r="G30" s="3"/>
      <c r="H30" s="3"/>
      <c r="I30" s="3"/>
      <c r="J30" s="3"/>
      <c r="K30" s="3"/>
      <c r="L30" s="3"/>
      <c r="M30" s="3"/>
    </row>
    <row r="31" spans="1:18">
      <c r="A31" s="3" t="s">
        <v>20</v>
      </c>
      <c r="B31" s="3"/>
      <c r="C31" s="3"/>
      <c r="D31" s="3"/>
      <c r="E31" s="3"/>
      <c r="F31" s="3"/>
      <c r="G31" s="3"/>
      <c r="H31" s="3"/>
      <c r="I31" s="3"/>
      <c r="J31" s="3"/>
      <c r="K31" s="3"/>
      <c r="L31" s="3"/>
      <c r="M31" s="3"/>
      <c r="N31" s="9"/>
    </row>
    <row r="32" spans="1:18">
      <c r="A32" s="81" t="s">
        <v>53</v>
      </c>
      <c r="B32" s="910" t="s">
        <v>2866</v>
      </c>
      <c r="C32" s="910"/>
      <c r="D32" s="910"/>
      <c r="E32" s="910"/>
      <c r="F32" s="910"/>
      <c r="H32" s="3"/>
      <c r="I32" s="3"/>
      <c r="J32" s="3"/>
      <c r="K32" s="3"/>
      <c r="L32" s="3"/>
      <c r="M32" s="3"/>
      <c r="N32" s="9"/>
    </row>
    <row r="33" spans="1:14">
      <c r="A33" s="84" t="s">
        <v>2004</v>
      </c>
      <c r="B33" s="84">
        <v>12</v>
      </c>
      <c r="C33" s="84">
        <v>24</v>
      </c>
      <c r="D33" s="84">
        <v>36</v>
      </c>
      <c r="E33" s="84">
        <v>48</v>
      </c>
      <c r="F33" s="84">
        <v>60</v>
      </c>
      <c r="H33" s="3"/>
      <c r="I33" s="3"/>
      <c r="J33" s="3"/>
      <c r="K33" s="3"/>
      <c r="L33" s="3"/>
      <c r="M33" s="3"/>
      <c r="N33" s="9"/>
    </row>
    <row r="34" spans="1:14">
      <c r="A34" s="81">
        <v>2019</v>
      </c>
      <c r="B34" s="454">
        <f>C7</f>
        <v>540061</v>
      </c>
      <c r="C34" s="454">
        <f>D7</f>
        <v>575731</v>
      </c>
      <c r="D34" s="454">
        <f>E7</f>
        <v>648087</v>
      </c>
      <c r="E34" s="454">
        <f>F7</f>
        <v>683622</v>
      </c>
      <c r="F34" s="454">
        <f>G7</f>
        <v>702734</v>
      </c>
      <c r="H34" s="3"/>
      <c r="I34" s="3"/>
      <c r="J34" s="3"/>
      <c r="K34" s="3"/>
    </row>
    <row r="35" spans="1:14">
      <c r="A35" s="81">
        <v>2020</v>
      </c>
      <c r="B35" s="454">
        <f>C8</f>
        <v>554275</v>
      </c>
      <c r="C35" s="454">
        <f>D8</f>
        <v>591019</v>
      </c>
      <c r="D35" s="454">
        <f>E8</f>
        <v>665056</v>
      </c>
      <c r="E35" s="454">
        <f>F8</f>
        <v>701405</v>
      </c>
      <c r="F35" s="81"/>
      <c r="H35" s="3"/>
      <c r="I35" s="3"/>
      <c r="J35" s="3"/>
      <c r="K35" s="3"/>
    </row>
    <row r="36" spans="1:14" ht="16.2">
      <c r="A36" s="81">
        <v>2021</v>
      </c>
      <c r="B36" s="454">
        <f>C9</f>
        <v>567907</v>
      </c>
      <c r="C36" s="782">
        <f>D9-$D$23</f>
        <v>606134</v>
      </c>
      <c r="D36" s="782">
        <f>E9-$D$23</f>
        <v>681837</v>
      </c>
      <c r="E36" s="81"/>
      <c r="F36" s="81"/>
      <c r="H36" s="3"/>
      <c r="I36" s="3"/>
      <c r="J36" s="3"/>
      <c r="K36" s="3"/>
    </row>
    <row r="37" spans="1:14">
      <c r="A37" s="81">
        <v>2022</v>
      </c>
      <c r="B37" s="454">
        <f>C10</f>
        <v>581936</v>
      </c>
      <c r="C37" s="454">
        <f>D10</f>
        <v>621002</v>
      </c>
      <c r="D37" s="81"/>
      <c r="E37" s="81"/>
      <c r="F37" s="315"/>
      <c r="H37" s="3"/>
      <c r="I37" s="3"/>
      <c r="J37" s="3"/>
      <c r="K37" s="3"/>
    </row>
    <row r="38" spans="1:14">
      <c r="A38" s="81">
        <v>2023</v>
      </c>
      <c r="B38" s="454">
        <f>C11</f>
        <v>596836</v>
      </c>
      <c r="C38" s="81"/>
      <c r="D38" s="81"/>
      <c r="E38" s="315"/>
      <c r="F38" s="315"/>
      <c r="H38" s="3"/>
      <c r="I38" s="3"/>
      <c r="J38" s="3"/>
      <c r="K38" s="3"/>
    </row>
    <row r="39" spans="1:14">
      <c r="A39" s="3"/>
      <c r="B39" s="3"/>
      <c r="C39" s="3"/>
      <c r="D39" s="3"/>
      <c r="E39" s="3"/>
      <c r="F39" s="3"/>
      <c r="G39" s="3"/>
      <c r="H39" s="3"/>
      <c r="I39" s="3"/>
      <c r="J39" s="3"/>
      <c r="K39" s="3"/>
    </row>
    <row r="40" spans="1:14">
      <c r="A40" s="816" t="s">
        <v>2867</v>
      </c>
      <c r="B40" s="816"/>
      <c r="C40" s="816"/>
      <c r="D40" s="816"/>
      <c r="E40" s="816"/>
      <c r="F40" s="816"/>
      <c r="G40" s="3"/>
      <c r="H40" s="3"/>
      <c r="I40" s="3"/>
      <c r="J40" s="3"/>
      <c r="K40" s="3"/>
    </row>
    <row r="41" spans="1:14">
      <c r="A41" s="35" t="s">
        <v>58</v>
      </c>
      <c r="B41" s="35" t="s">
        <v>991</v>
      </c>
      <c r="C41" s="35" t="s">
        <v>992</v>
      </c>
      <c r="D41" s="35" t="s">
        <v>993</v>
      </c>
      <c r="E41" s="35" t="s">
        <v>994</v>
      </c>
      <c r="F41" s="772" t="s">
        <v>2868</v>
      </c>
      <c r="G41" s="3"/>
      <c r="H41" s="3"/>
      <c r="I41" s="3"/>
      <c r="J41" s="3"/>
      <c r="K41" s="3"/>
      <c r="L41" s="3"/>
      <c r="M41" s="3"/>
      <c r="N41" s="9"/>
    </row>
    <row r="42" spans="1:14">
      <c r="A42" s="783">
        <f>A34</f>
        <v>2019</v>
      </c>
      <c r="B42" s="595">
        <f>IF(B34=0,"",C34/B34)</f>
        <v>1.0660480945670952</v>
      </c>
      <c r="C42" s="595">
        <f>IF(C34=0,"",D34/C34)</f>
        <v>1.1256767483425418</v>
      </c>
      <c r="D42" s="595">
        <f>IF(D34=0,"",E34/D34)</f>
        <v>1.0548306014470279</v>
      </c>
      <c r="E42" s="595">
        <f>IF(E34=0,"",F34/E34)</f>
        <v>1.0279569703725158</v>
      </c>
      <c r="F42" s="34"/>
      <c r="G42" s="3"/>
      <c r="H42" s="3"/>
      <c r="I42" s="3"/>
      <c r="J42" s="3"/>
      <c r="K42" s="3"/>
      <c r="L42" s="3"/>
      <c r="M42" s="3"/>
      <c r="N42" s="9"/>
    </row>
    <row r="43" spans="1:14">
      <c r="A43" s="783">
        <f t="shared" ref="A43:A45" si="0">A35</f>
        <v>2020</v>
      </c>
      <c r="B43" s="595">
        <f>IF(B35=0,"",C35/B35)</f>
        <v>1.0662920030670695</v>
      </c>
      <c r="C43" s="595">
        <f>IF(C35=0,"",D35/C35)</f>
        <v>1.1252700843796899</v>
      </c>
      <c r="D43" s="595">
        <f>IF(D35=0,"",E35/D35)</f>
        <v>1.0546555478034931</v>
      </c>
      <c r="E43" s="595"/>
      <c r="F43" s="34"/>
      <c r="G43" s="3"/>
      <c r="H43" s="3"/>
      <c r="I43" s="3"/>
      <c r="J43" s="3"/>
      <c r="K43" s="3"/>
      <c r="L43" s="3"/>
      <c r="M43" s="3"/>
      <c r="N43" s="9"/>
    </row>
    <row r="44" spans="1:14">
      <c r="A44" s="783">
        <f t="shared" si="0"/>
        <v>2021</v>
      </c>
      <c r="B44" s="595">
        <f>IF(B36=0,"",C36/B36)</f>
        <v>1.0673120775056479</v>
      </c>
      <c r="C44" s="595">
        <f>IF(C36=0,"",D36/C36)</f>
        <v>1.1248948252366637</v>
      </c>
      <c r="D44" s="595"/>
      <c r="E44" s="595" t="str">
        <f>IF(E36=0,"",F36/E36)</f>
        <v/>
      </c>
      <c r="F44" s="34"/>
      <c r="G44" s="3"/>
      <c r="H44" s="3"/>
      <c r="I44" s="3"/>
      <c r="J44" s="3"/>
      <c r="K44" s="3"/>
      <c r="L44" s="3"/>
      <c r="M44" s="3"/>
      <c r="N44" s="9"/>
    </row>
    <row r="45" spans="1:14">
      <c r="A45" s="784">
        <f t="shared" si="0"/>
        <v>2022</v>
      </c>
      <c r="B45" s="598">
        <f>IF(B37=0,"",C37/B37)</f>
        <v>1.0671310934535756</v>
      </c>
      <c r="C45" s="598"/>
      <c r="D45" s="598" t="str">
        <f>IF(D37=0,"",E37/D37)</f>
        <v/>
      </c>
      <c r="E45" s="598" t="str">
        <f>IF(E37=0,"",F37/E37)</f>
        <v/>
      </c>
      <c r="F45" s="35"/>
      <c r="G45" s="3"/>
      <c r="H45" s="3"/>
      <c r="I45" s="3"/>
      <c r="J45" s="3"/>
      <c r="K45" s="3"/>
      <c r="L45" s="3"/>
      <c r="M45" s="3"/>
      <c r="N45" s="9"/>
    </row>
    <row r="46" spans="1:14">
      <c r="A46" s="595" t="s">
        <v>2869</v>
      </c>
      <c r="B46" s="595">
        <f>AVERAGE(B42:B45)</f>
        <v>1.0666958171483472</v>
      </c>
      <c r="C46" s="595">
        <f>AVERAGE(C42:C45)</f>
        <v>1.125280552652965</v>
      </c>
      <c r="D46" s="595">
        <f>AVERAGE(D42:D45)</f>
        <v>1.0547430746252604</v>
      </c>
      <c r="E46" s="595">
        <f>AVERAGE(E42:E45)</f>
        <v>1.0279569703725158</v>
      </c>
      <c r="F46" s="34"/>
      <c r="G46" s="3"/>
      <c r="H46" s="3"/>
      <c r="I46" s="3"/>
      <c r="J46" s="3"/>
      <c r="K46" s="3"/>
      <c r="L46" s="3"/>
      <c r="M46" s="3"/>
      <c r="N46" s="9"/>
    </row>
    <row r="47" spans="1:14">
      <c r="A47" s="595" t="s">
        <v>2870</v>
      </c>
      <c r="B47" s="595">
        <f>SUM(C34:C37)/SUM(B34:B37)</f>
        <v>1.0667090281122851</v>
      </c>
      <c r="C47" s="595">
        <f>SUM(D34:D36)/SUM(C34:C36)</f>
        <v>1.1252738475839368</v>
      </c>
      <c r="D47" s="595">
        <f>SUM(E34:E35)/SUM(D34:D35)</f>
        <v>1.0547419435659331</v>
      </c>
      <c r="E47" s="595">
        <f>SUM(F34:F34)/SUM(E34:E34)</f>
        <v>1.0279569703725158</v>
      </c>
      <c r="F47" s="34"/>
      <c r="G47" s="3"/>
      <c r="H47" s="3"/>
      <c r="I47" s="3"/>
      <c r="J47" s="3"/>
      <c r="K47" s="3"/>
      <c r="L47" s="3"/>
      <c r="M47" s="3"/>
      <c r="N47" s="9"/>
    </row>
    <row r="48" spans="1:14">
      <c r="A48" s="34" t="s">
        <v>2871</v>
      </c>
      <c r="B48" s="595">
        <f t="shared" ref="B48:E48" si="1">B47</f>
        <v>1.0667090281122851</v>
      </c>
      <c r="C48" s="595">
        <f t="shared" si="1"/>
        <v>1.1252738475839368</v>
      </c>
      <c r="D48" s="595">
        <f t="shared" si="1"/>
        <v>1.0547419435659331</v>
      </c>
      <c r="E48" s="595">
        <f t="shared" si="1"/>
        <v>1.0279569703725158</v>
      </c>
      <c r="F48" s="311">
        <f>E48</f>
        <v>1.0279569703725158</v>
      </c>
      <c r="G48" s="3"/>
      <c r="H48" s="3"/>
      <c r="I48" s="3"/>
      <c r="J48" s="3"/>
      <c r="K48" s="3"/>
      <c r="L48" s="3"/>
      <c r="M48" s="3"/>
      <c r="N48" s="9"/>
    </row>
    <row r="49" spans="1:14">
      <c r="A49" s="34" t="s">
        <v>2872</v>
      </c>
      <c r="B49" s="595">
        <f>PRODUCT(B48:$F48)</f>
        <v>1.3378280104128151</v>
      </c>
      <c r="C49" s="595">
        <f>PRODUCT(C48:$F48)</f>
        <v>1.2541639520763399</v>
      </c>
      <c r="D49" s="595">
        <f>PRODUCT(D48:$F48)</f>
        <v>1.1145411001678762</v>
      </c>
      <c r="E49" s="595">
        <f>PRODUCT(E48:$F48)</f>
        <v>1.0566955329374412</v>
      </c>
      <c r="F49" s="311">
        <f>F48</f>
        <v>1.0279569703725158</v>
      </c>
      <c r="G49" s="3"/>
      <c r="H49" s="3"/>
      <c r="I49" s="3"/>
      <c r="J49" s="3"/>
      <c r="K49" s="3"/>
      <c r="L49" s="3"/>
      <c r="M49" s="3"/>
      <c r="N49" s="9"/>
    </row>
    <row r="50" spans="1:14">
      <c r="A50" s="3"/>
      <c r="B50" s="3"/>
      <c r="C50" s="3"/>
      <c r="D50" s="3"/>
      <c r="E50" s="3"/>
      <c r="F50" s="3"/>
      <c r="G50" s="3"/>
      <c r="H50" s="3"/>
      <c r="I50" s="3"/>
      <c r="J50" s="3"/>
      <c r="K50" s="3"/>
      <c r="L50" s="3"/>
      <c r="M50" s="3"/>
      <c r="N50" s="9"/>
    </row>
    <row r="51" spans="1:14" ht="62.4">
      <c r="A51" s="35" t="s">
        <v>58</v>
      </c>
      <c r="B51" s="36" t="s">
        <v>2873</v>
      </c>
      <c r="C51" s="36" t="s">
        <v>1020</v>
      </c>
      <c r="D51" s="36" t="s">
        <v>2874</v>
      </c>
      <c r="E51" s="36" t="s">
        <v>2875</v>
      </c>
      <c r="F51" s="3"/>
      <c r="G51" s="3"/>
      <c r="H51" s="3"/>
      <c r="I51" s="3"/>
      <c r="J51" s="3"/>
      <c r="K51" s="3"/>
      <c r="L51" s="3"/>
      <c r="M51" s="3"/>
      <c r="N51" s="9"/>
    </row>
    <row r="52" spans="1:14">
      <c r="A52" s="783">
        <f>A34</f>
        <v>2019</v>
      </c>
      <c r="B52" s="83">
        <f ca="1">OFFSET($F$34,(A52-$A$52),($A$52-A52),1,1)</f>
        <v>702734</v>
      </c>
      <c r="C52" s="597">
        <f>F49</f>
        <v>1.0279569703725158</v>
      </c>
      <c r="D52" s="83">
        <f ca="1">B52*C52</f>
        <v>722380.3136177595</v>
      </c>
      <c r="E52" s="83">
        <f ca="1">D52</f>
        <v>722380.3136177595</v>
      </c>
      <c r="F52" s="3"/>
      <c r="G52" s="3"/>
      <c r="H52" s="3"/>
      <c r="I52" s="3"/>
      <c r="J52" s="3"/>
      <c r="K52" s="3"/>
      <c r="L52" s="3"/>
      <c r="M52" s="3"/>
      <c r="N52" s="9"/>
    </row>
    <row r="53" spans="1:14">
      <c r="A53" s="783">
        <f>A35</f>
        <v>2020</v>
      </c>
      <c r="B53" s="83">
        <f ca="1">OFFSET($F$34,(A53-$A$52),($A$52-A53),1,1)</f>
        <v>701405</v>
      </c>
      <c r="C53" s="597">
        <f>E49</f>
        <v>1.0566955329374412</v>
      </c>
      <c r="D53" s="83">
        <f ca="1">B53*C53</f>
        <v>741171.53027998598</v>
      </c>
      <c r="E53" s="83">
        <f t="shared" ref="E53:E56" ca="1" si="2">D53</f>
        <v>741171.53027998598</v>
      </c>
      <c r="F53" s="3"/>
      <c r="G53" s="3"/>
      <c r="H53" s="3"/>
      <c r="I53" s="3"/>
      <c r="J53" s="3"/>
      <c r="K53" s="3"/>
      <c r="L53" s="3"/>
      <c r="M53" s="3"/>
      <c r="N53" s="9"/>
    </row>
    <row r="54" spans="1:14" ht="16.2">
      <c r="A54" s="783">
        <f>A36</f>
        <v>2021</v>
      </c>
      <c r="B54" s="83">
        <f ca="1">OFFSET($F$34,(A54-$A$52),($A$52-A54),1,1)</f>
        <v>681837</v>
      </c>
      <c r="C54" s="597">
        <f>D49</f>
        <v>1.1145411001678762</v>
      </c>
      <c r="D54" s="83">
        <f ca="1">B54*C54</f>
        <v>759935.36011516419</v>
      </c>
      <c r="E54" s="785">
        <f ca="1">D23+D54</f>
        <v>809935.36011516419</v>
      </c>
      <c r="F54" s="3"/>
      <c r="G54" s="3"/>
      <c r="H54" s="3"/>
      <c r="I54" s="3"/>
      <c r="J54" s="3"/>
      <c r="K54" s="3"/>
      <c r="L54" s="3"/>
      <c r="M54" s="3"/>
      <c r="N54" s="9"/>
    </row>
    <row r="55" spans="1:14">
      <c r="A55" s="783">
        <f>A37</f>
        <v>2022</v>
      </c>
      <c r="B55" s="83">
        <f ca="1">OFFSET($F$34,(A55-$A$52),($A$52-A55),1,1)</f>
        <v>621002</v>
      </c>
      <c r="C55" s="597">
        <f>C49</f>
        <v>1.2541639520763399</v>
      </c>
      <c r="D55" s="83">
        <f ca="1">B55*C55</f>
        <v>778838.32256731123</v>
      </c>
      <c r="E55" s="83">
        <f t="shared" ca="1" si="2"/>
        <v>778838.32256731123</v>
      </c>
      <c r="F55" s="3"/>
      <c r="G55" s="3"/>
      <c r="H55" s="3"/>
      <c r="I55" s="3"/>
      <c r="J55" s="3"/>
      <c r="K55" s="3"/>
      <c r="L55" s="3"/>
      <c r="M55" s="3"/>
      <c r="N55" s="9"/>
    </row>
    <row r="56" spans="1:14">
      <c r="A56" s="784">
        <f>A38</f>
        <v>2023</v>
      </c>
      <c r="B56" s="86">
        <f ca="1">OFFSET($F$34,(A56-$A$52),($A$52-A56),1,1)</f>
        <v>596836</v>
      </c>
      <c r="C56" s="786">
        <f>B49</f>
        <v>1.3378280104128151</v>
      </c>
      <c r="D56" s="86">
        <f ca="1">B56*C56</f>
        <v>798463.91842274286</v>
      </c>
      <c r="E56" s="86">
        <f t="shared" ca="1" si="2"/>
        <v>798463.91842274286</v>
      </c>
      <c r="F56" s="3"/>
      <c r="G56" s="3"/>
      <c r="H56" s="3"/>
      <c r="I56" s="3"/>
      <c r="J56" s="3"/>
      <c r="K56" s="3"/>
      <c r="L56" s="3"/>
      <c r="M56" s="3"/>
      <c r="N56" s="9"/>
    </row>
    <row r="57" spans="1:14">
      <c r="A57" s="34" t="s">
        <v>132</v>
      </c>
      <c r="B57" s="83">
        <f ca="1">SUM(B52:B56)</f>
        <v>3303814</v>
      </c>
      <c r="C57" s="11"/>
      <c r="D57" s="83">
        <f t="shared" ref="D57:E57" ca="1" si="3">SUM(D52:D56)</f>
        <v>3800789.4450029638</v>
      </c>
      <c r="E57" s="83">
        <f t="shared" ca="1" si="3"/>
        <v>3850789.4450029638</v>
      </c>
      <c r="F57" s="3"/>
      <c r="G57" s="3"/>
      <c r="H57" s="3"/>
      <c r="I57" s="3"/>
      <c r="J57" s="3"/>
      <c r="K57" s="3"/>
      <c r="L57" s="3"/>
      <c r="M57" s="3"/>
      <c r="N57" s="9"/>
    </row>
    <row r="59" spans="1:14">
      <c r="A59" s="17" t="s">
        <v>133</v>
      </c>
      <c r="B59" s="1" t="s">
        <v>2876</v>
      </c>
      <c r="C59" s="1"/>
      <c r="D59" s="1"/>
      <c r="E59" s="1"/>
      <c r="F59" s="1"/>
      <c r="G59" s="1"/>
      <c r="H59" s="1"/>
      <c r="I59" s="1"/>
      <c r="J59" s="1"/>
      <c r="K59" s="1"/>
      <c r="L59" s="1"/>
    </row>
    <row r="60" spans="1:14">
      <c r="A60" s="3"/>
      <c r="B60" s="3"/>
      <c r="C60" s="3"/>
      <c r="D60" s="3"/>
      <c r="E60" s="3"/>
      <c r="F60" s="3"/>
      <c r="G60" s="3"/>
      <c r="H60" s="3"/>
      <c r="I60" s="3"/>
      <c r="J60" s="3"/>
      <c r="K60" s="3"/>
      <c r="L60" s="3"/>
    </row>
    <row r="61" spans="1:14">
      <c r="A61" s="3" t="s">
        <v>20</v>
      </c>
      <c r="B61" s="3"/>
      <c r="C61" s="3"/>
      <c r="D61" s="3"/>
      <c r="E61" s="3"/>
      <c r="F61" s="3"/>
      <c r="G61" s="3"/>
      <c r="H61" s="3"/>
      <c r="I61" s="3"/>
      <c r="J61" s="3"/>
      <c r="K61" s="3"/>
      <c r="L61" s="3"/>
    </row>
    <row r="62" spans="1:14">
      <c r="A62" s="3"/>
      <c r="B62" s="3"/>
      <c r="C62" s="3"/>
      <c r="D62" s="3"/>
      <c r="E62" s="3"/>
      <c r="F62" s="3"/>
      <c r="G62" s="3"/>
      <c r="H62" s="3"/>
      <c r="I62" s="3"/>
      <c r="J62" s="3"/>
      <c r="K62" s="3"/>
      <c r="L62" s="3"/>
    </row>
    <row r="63" spans="1:14">
      <c r="A63" s="3" t="s">
        <v>2877</v>
      </c>
      <c r="B63" s="3"/>
      <c r="C63" s="3"/>
      <c r="D63" s="3"/>
      <c r="E63" s="3"/>
      <c r="F63" s="3"/>
      <c r="G63" s="3"/>
      <c r="H63" s="3"/>
      <c r="I63" s="3"/>
      <c r="J63" s="3"/>
      <c r="K63" s="3"/>
      <c r="L63" s="3"/>
    </row>
    <row r="65" spans="1:12">
      <c r="A65" s="17" t="s">
        <v>18</v>
      </c>
      <c r="B65" s="1" t="s">
        <v>2878</v>
      </c>
      <c r="C65" s="1"/>
      <c r="D65" s="1"/>
      <c r="E65" s="1"/>
      <c r="F65" s="1"/>
      <c r="G65" s="1"/>
      <c r="H65" s="1"/>
      <c r="I65" s="1"/>
      <c r="J65" s="1"/>
      <c r="K65" s="1"/>
      <c r="L65" s="1"/>
    </row>
    <row r="66" spans="1:12">
      <c r="A66" s="3"/>
      <c r="B66" s="3"/>
      <c r="C66" s="3"/>
      <c r="D66" s="3"/>
      <c r="E66" s="3"/>
      <c r="F66" s="3"/>
      <c r="G66" s="3"/>
      <c r="H66" s="3"/>
      <c r="I66" s="3"/>
      <c r="J66" s="3"/>
      <c r="K66" s="3"/>
      <c r="L66" s="3"/>
    </row>
    <row r="67" spans="1:12">
      <c r="A67" s="3" t="s">
        <v>20</v>
      </c>
      <c r="B67" s="3"/>
      <c r="C67" s="3"/>
      <c r="D67" s="3"/>
      <c r="E67" s="3"/>
      <c r="F67" s="3"/>
      <c r="G67" s="3"/>
      <c r="H67" s="3"/>
      <c r="I67" s="3"/>
      <c r="J67" s="3"/>
      <c r="K67" s="3"/>
      <c r="L67" s="3"/>
    </row>
    <row r="68" spans="1:12">
      <c r="A68" s="3"/>
      <c r="B68" s="3"/>
      <c r="C68" s="3"/>
      <c r="D68" s="3"/>
      <c r="E68" s="3"/>
      <c r="F68" s="3"/>
      <c r="G68" s="3"/>
      <c r="H68" s="3"/>
      <c r="I68" s="3"/>
      <c r="J68" s="3"/>
      <c r="K68" s="3"/>
      <c r="L68" s="3"/>
    </row>
    <row r="69" spans="1:12">
      <c r="A69" s="414" t="s">
        <v>978</v>
      </c>
      <c r="B69" s="787"/>
      <c r="C69" s="3"/>
      <c r="D69" s="3"/>
      <c r="E69" s="3"/>
      <c r="F69" s="3"/>
      <c r="G69" s="3"/>
      <c r="H69" s="3"/>
      <c r="I69" s="3"/>
      <c r="J69" s="3"/>
      <c r="K69" s="3"/>
      <c r="L69" s="3"/>
    </row>
    <row r="70" spans="1:12">
      <c r="A70" s="415" t="s">
        <v>2879</v>
      </c>
      <c r="C70" s="3"/>
      <c r="D70" s="3"/>
      <c r="E70" s="3"/>
      <c r="F70" s="3"/>
      <c r="G70" s="3"/>
      <c r="H70" s="3"/>
      <c r="I70" s="3"/>
      <c r="J70" s="3"/>
      <c r="K70" s="3"/>
      <c r="L70" s="3"/>
    </row>
    <row r="71" spans="1:12">
      <c r="A71" s="3"/>
      <c r="B71" s="3"/>
      <c r="C71" s="3"/>
      <c r="D71" s="3"/>
      <c r="E71" s="3"/>
      <c r="F71" s="3"/>
      <c r="G71" s="3"/>
      <c r="H71" s="3"/>
      <c r="I71" s="3"/>
      <c r="J71" s="3"/>
      <c r="K71" s="3"/>
      <c r="L71" s="3"/>
    </row>
    <row r="72" spans="1:12" ht="31.2">
      <c r="A72" s="35" t="s">
        <v>58</v>
      </c>
      <c r="B72" s="36" t="s">
        <v>2880</v>
      </c>
      <c r="C72" s="36" t="s">
        <v>59</v>
      </c>
      <c r="D72" s="36" t="s">
        <v>47</v>
      </c>
      <c r="E72" s="36" t="s">
        <v>839</v>
      </c>
      <c r="F72" s="36" t="s">
        <v>2881</v>
      </c>
      <c r="H72" s="3"/>
      <c r="I72" s="3"/>
      <c r="J72" s="3"/>
      <c r="K72" s="3"/>
      <c r="L72" s="3"/>
    </row>
    <row r="73" spans="1:12">
      <c r="A73" s="625">
        <f>B7</f>
        <v>2019</v>
      </c>
      <c r="B73" s="788">
        <f>1-1/C52</f>
        <v>2.7196634857570512E-2</v>
      </c>
      <c r="C73" s="83">
        <f ca="1">OFFSET($G$7,(A73-$A$73),($A$73-A73),1,1)</f>
        <v>702734</v>
      </c>
      <c r="D73" s="83">
        <f>C14</f>
        <v>1000000</v>
      </c>
      <c r="E73" s="789">
        <v>0.65</v>
      </c>
      <c r="F73" s="83">
        <f ca="1">C73+(B73*D73*E73)</f>
        <v>720411.81265742087</v>
      </c>
      <c r="H73" s="3"/>
      <c r="I73" s="3"/>
      <c r="J73" s="3"/>
      <c r="K73" s="3"/>
      <c r="L73" s="3"/>
    </row>
    <row r="74" spans="1:12">
      <c r="A74" s="625">
        <f>B8</f>
        <v>2020</v>
      </c>
      <c r="B74" s="788">
        <f>1-1/C53</f>
        <v>5.3653612767564973E-2</v>
      </c>
      <c r="C74" s="83">
        <f ca="1">OFFSET($G$7,(A74-$A$73),($A$73-A74),1,1)</f>
        <v>701405</v>
      </c>
      <c r="D74" s="83">
        <f>C15</f>
        <v>1040000</v>
      </c>
      <c r="E74" s="789">
        <v>0.65</v>
      </c>
      <c r="F74" s="83">
        <f t="shared" ref="F74:F77" ca="1" si="4">C74+(B74*D74*E74)</f>
        <v>737674.84223087388</v>
      </c>
      <c r="H74" s="3"/>
      <c r="I74" s="3"/>
      <c r="J74" s="3"/>
      <c r="K74" s="3"/>
      <c r="L74" s="3"/>
    </row>
    <row r="75" spans="1:12">
      <c r="A75" s="625">
        <f>B9</f>
        <v>2021</v>
      </c>
      <c r="B75" s="788">
        <f>1-1/C54</f>
        <v>0.10276974097287539</v>
      </c>
      <c r="C75" s="83">
        <f ca="1">OFFSET($G$7,(A75-$A$73),($A$73-A75),1,1)</f>
        <v>731837</v>
      </c>
      <c r="D75" s="83">
        <f>C16</f>
        <v>1082000</v>
      </c>
      <c r="E75" s="789">
        <v>0.65</v>
      </c>
      <c r="F75" s="83">
        <f t="shared" ca="1" si="4"/>
        <v>804114.95882622327</v>
      </c>
      <c r="H75" s="3"/>
      <c r="I75" s="3"/>
      <c r="J75" s="3"/>
      <c r="K75" s="3"/>
      <c r="L75" s="3"/>
    </row>
    <row r="76" spans="1:12">
      <c r="A76" s="625">
        <f>B10</f>
        <v>2022</v>
      </c>
      <c r="B76" s="788">
        <f>1-1/C55</f>
        <v>0.20265608149202263</v>
      </c>
      <c r="C76" s="83">
        <f ca="1">OFFSET($G$7,(A76-$A$73),($A$73-A76),1,1)</f>
        <v>621002</v>
      </c>
      <c r="D76" s="83">
        <f>C17</f>
        <v>1125000</v>
      </c>
      <c r="E76" s="789">
        <v>0.65</v>
      </c>
      <c r="F76" s="83">
        <f t="shared" ca="1" si="4"/>
        <v>769194.2595910416</v>
      </c>
      <c r="H76" s="3"/>
      <c r="I76" s="3"/>
      <c r="J76" s="3"/>
      <c r="K76" s="3"/>
      <c r="L76" s="3"/>
    </row>
    <row r="77" spans="1:12">
      <c r="A77" s="626">
        <f>B11</f>
        <v>2023</v>
      </c>
      <c r="B77" s="790">
        <f>1-1/C56</f>
        <v>0.2525197617207694</v>
      </c>
      <c r="C77" s="86">
        <f ca="1">OFFSET($G$7,(A77-$A$73),($A$73-A77),1,1)</f>
        <v>596836</v>
      </c>
      <c r="D77" s="86">
        <f>C18</f>
        <v>1170000</v>
      </c>
      <c r="E77" s="791">
        <v>0.65</v>
      </c>
      <c r="F77" s="86">
        <f t="shared" ca="1" si="4"/>
        <v>788877.27878864517</v>
      </c>
      <c r="H77" s="3"/>
      <c r="I77" s="3"/>
      <c r="J77" s="3"/>
      <c r="K77" s="3"/>
      <c r="L77" s="3"/>
    </row>
    <row r="78" spans="1:12">
      <c r="A78" s="625" t="s">
        <v>132</v>
      </c>
      <c r="B78" s="34"/>
      <c r="C78" s="83">
        <f ca="1">SUM(C73:C77)</f>
        <v>3353814</v>
      </c>
      <c r="D78" s="83">
        <f>SUM(D73:D77)</f>
        <v>5417000</v>
      </c>
      <c r="E78" s="83"/>
      <c r="F78" s="83">
        <f ca="1">SUM(F73:F77)</f>
        <v>3820273.1520942049</v>
      </c>
    </row>
    <row r="80" spans="1:12">
      <c r="A80" s="17" t="s">
        <v>25</v>
      </c>
      <c r="B80" s="1" t="s">
        <v>2882</v>
      </c>
      <c r="C80" s="1"/>
      <c r="D80" s="1"/>
      <c r="E80" s="1"/>
      <c r="F80" s="1"/>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c r="A83" s="3"/>
      <c r="B83" s="3"/>
      <c r="C83" s="3"/>
      <c r="D83" s="3"/>
      <c r="E83" s="3"/>
      <c r="F83" s="3"/>
      <c r="G83" s="3"/>
      <c r="H83" s="3"/>
      <c r="I83" s="3"/>
      <c r="J83" s="3"/>
      <c r="K83" s="3"/>
      <c r="L83" s="3"/>
    </row>
    <row r="84" spans="1:12">
      <c r="A84" s="2" t="s">
        <v>2883</v>
      </c>
    </row>
    <row r="85" spans="1:12">
      <c r="A85" s="2" t="s">
        <v>2884</v>
      </c>
    </row>
    <row r="87" spans="1:12">
      <c r="A87" s="17" t="s">
        <v>147</v>
      </c>
      <c r="B87" s="1" t="s">
        <v>647</v>
      </c>
      <c r="C87" s="1"/>
      <c r="D87" s="1"/>
      <c r="E87" s="1"/>
      <c r="F87" s="1"/>
      <c r="G87" s="1"/>
      <c r="H87" s="1"/>
      <c r="I87" s="1"/>
      <c r="J87" s="1"/>
      <c r="K87" s="1"/>
      <c r="L87" s="1"/>
    </row>
    <row r="88" spans="1:12">
      <c r="A88" s="3"/>
      <c r="B88" s="3"/>
      <c r="C88" s="3"/>
      <c r="D88" s="3"/>
      <c r="E88" s="3"/>
      <c r="F88" s="3"/>
      <c r="G88" s="3"/>
      <c r="H88" s="3"/>
      <c r="I88" s="3"/>
      <c r="J88" s="3"/>
      <c r="K88" s="3"/>
      <c r="L88" s="3"/>
    </row>
    <row r="89" spans="1:12">
      <c r="A89" s="3" t="s">
        <v>20</v>
      </c>
      <c r="B89" s="3"/>
      <c r="C89" s="3"/>
      <c r="D89" s="3"/>
      <c r="E89" s="3"/>
      <c r="F89" s="3"/>
      <c r="G89" s="3"/>
      <c r="H89" s="3"/>
      <c r="I89" s="3"/>
      <c r="J89" s="3"/>
      <c r="K89" s="3"/>
      <c r="L89" s="3"/>
    </row>
    <row r="90" spans="1:12">
      <c r="A90" s="18"/>
      <c r="B90" s="18"/>
      <c r="C90" s="34" t="s">
        <v>193</v>
      </c>
      <c r="D90" s="816" t="s">
        <v>194</v>
      </c>
      <c r="E90" s="816"/>
      <c r="F90" s="816"/>
      <c r="G90" s="816"/>
      <c r="H90" s="816"/>
      <c r="I90" s="3"/>
      <c r="J90" s="3"/>
      <c r="K90" s="3"/>
      <c r="L90" s="3"/>
    </row>
    <row r="91" spans="1:12">
      <c r="A91" s="18"/>
      <c r="B91" s="18"/>
      <c r="C91" s="35" t="s">
        <v>196</v>
      </c>
      <c r="D91" s="35">
        <v>2019</v>
      </c>
      <c r="E91" s="35">
        <f>D91+1</f>
        <v>2020</v>
      </c>
      <c r="F91" s="35">
        <f t="shared" ref="F91:H91" si="5">E91+1</f>
        <v>2021</v>
      </c>
      <c r="G91" s="35">
        <f t="shared" si="5"/>
        <v>2022</v>
      </c>
      <c r="H91" s="35">
        <f t="shared" si="5"/>
        <v>2023</v>
      </c>
      <c r="I91" s="3"/>
      <c r="J91" s="3"/>
      <c r="K91" s="3"/>
      <c r="L91" s="3"/>
    </row>
    <row r="92" spans="1:12">
      <c r="A92" s="18"/>
      <c r="B92" s="18"/>
      <c r="C92" s="132">
        <v>1</v>
      </c>
      <c r="D92" s="444">
        <v>1</v>
      </c>
      <c r="E92" s="444">
        <v>1</v>
      </c>
      <c r="F92" s="444">
        <v>1</v>
      </c>
      <c r="G92" s="444">
        <v>0.5</v>
      </c>
      <c r="H92" s="444">
        <v>0</v>
      </c>
      <c r="I92" s="3"/>
      <c r="J92" s="3"/>
      <c r="K92" s="3"/>
      <c r="L92" s="3"/>
    </row>
    <row r="93" spans="1:12">
      <c r="A93" s="18"/>
      <c r="B93" s="18"/>
      <c r="C93" s="297">
        <f>1-0.05</f>
        <v>0.95</v>
      </c>
      <c r="D93" s="446">
        <v>0</v>
      </c>
      <c r="E93" s="446">
        <f>1-SUM(E92:E92)</f>
        <v>0</v>
      </c>
      <c r="F93" s="446">
        <v>0</v>
      </c>
      <c r="G93" s="446">
        <v>0.5</v>
      </c>
      <c r="H93" s="446">
        <v>1</v>
      </c>
      <c r="I93" s="3"/>
      <c r="J93" s="3"/>
      <c r="K93" s="3"/>
      <c r="L93" s="3"/>
    </row>
    <row r="94" spans="1:12">
      <c r="A94" s="447"/>
      <c r="B94" s="124"/>
      <c r="C94" s="34" t="s">
        <v>132</v>
      </c>
      <c r="D94" s="444">
        <f>SUM(D92:D93)</f>
        <v>1</v>
      </c>
      <c r="E94" s="444">
        <f>SUM(E92:E93)</f>
        <v>1</v>
      </c>
      <c r="F94" s="444">
        <f>SUM(F92:F93)</f>
        <v>1</v>
      </c>
      <c r="G94" s="444">
        <f>SUM(G92:G93)</f>
        <v>1</v>
      </c>
      <c r="H94" s="444">
        <f>SUM(H92:H93)</f>
        <v>1</v>
      </c>
      <c r="I94" s="3"/>
      <c r="J94" s="3"/>
      <c r="K94" s="3"/>
      <c r="L94" s="3"/>
    </row>
    <row r="95" spans="1:12">
      <c r="A95" s="449" t="s">
        <v>197</v>
      </c>
      <c r="D95" s="82">
        <f>SUMPRODUCT($C$92:$C$93,D92:D93)</f>
        <v>1</v>
      </c>
      <c r="E95" s="82">
        <f>SUMPRODUCT($C$92:$C$93,E92:E93)</f>
        <v>1</v>
      </c>
      <c r="F95" s="82">
        <f>SUMPRODUCT($C$92:$C$93,F92:F93)</f>
        <v>1</v>
      </c>
      <c r="G95" s="82">
        <f>SUMPRODUCT($C$92:$C$93,G92:G93)</f>
        <v>0.97499999999999998</v>
      </c>
      <c r="H95" s="82">
        <f>SUMPRODUCT($C$92:$C$93,H92:H93)</f>
        <v>0.95</v>
      </c>
      <c r="I95" s="3"/>
      <c r="J95" s="3"/>
      <c r="K95" s="3"/>
      <c r="L95" s="3"/>
    </row>
    <row r="96" spans="1:12">
      <c r="A96" s="449" t="s">
        <v>2885</v>
      </c>
      <c r="D96" s="82">
        <f>$C$93/D95</f>
        <v>0.95</v>
      </c>
      <c r="E96" s="82">
        <f>$C$93/E95</f>
        <v>0.95</v>
      </c>
      <c r="F96" s="82">
        <f>$C$93/F95</f>
        <v>0.95</v>
      </c>
      <c r="G96" s="82">
        <f>$C$93/G95</f>
        <v>0.97435897435897434</v>
      </c>
      <c r="H96" s="82">
        <f>$C$93/H95</f>
        <v>1</v>
      </c>
      <c r="I96" s="3"/>
      <c r="J96" s="3"/>
      <c r="K96" s="3"/>
      <c r="L96" s="3"/>
    </row>
    <row r="97" spans="1:17">
      <c r="A97" s="3"/>
      <c r="B97" s="3"/>
      <c r="C97" s="3"/>
      <c r="D97" s="3"/>
      <c r="E97" s="3"/>
      <c r="F97" s="3"/>
      <c r="G97" s="3"/>
      <c r="H97" s="3"/>
      <c r="I97" s="3"/>
      <c r="J97" s="3"/>
      <c r="K97" s="3"/>
      <c r="L97" s="3"/>
    </row>
    <row r="98" spans="1:17" ht="62.25" customHeight="1">
      <c r="A98" s="35" t="s">
        <v>58</v>
      </c>
      <c r="B98" s="36" t="s">
        <v>47</v>
      </c>
      <c r="C98" s="36" t="s">
        <v>2886</v>
      </c>
      <c r="D98" s="36" t="s">
        <v>201</v>
      </c>
      <c r="E98" s="36" t="s">
        <v>2486</v>
      </c>
      <c r="F98" s="36" t="s">
        <v>2887</v>
      </c>
      <c r="G98" s="36" t="s">
        <v>2888</v>
      </c>
      <c r="H98" s="36" t="s">
        <v>2873</v>
      </c>
      <c r="I98" s="36" t="s">
        <v>1785</v>
      </c>
      <c r="J98" s="36" t="s">
        <v>209</v>
      </c>
      <c r="K98" s="36" t="s">
        <v>138</v>
      </c>
      <c r="L98" s="36" t="s">
        <v>213</v>
      </c>
      <c r="M98" s="36" t="s">
        <v>2031</v>
      </c>
      <c r="N98" s="36" t="s">
        <v>2875</v>
      </c>
    </row>
    <row r="99" spans="1:17">
      <c r="A99" s="625">
        <f>B7</f>
        <v>2019</v>
      </c>
      <c r="B99" s="792">
        <f>D73</f>
        <v>1000000</v>
      </c>
      <c r="C99" s="793">
        <f>D96</f>
        <v>0.95</v>
      </c>
      <c r="D99" s="792">
        <f>B99*C99</f>
        <v>950000</v>
      </c>
      <c r="E99" s="597">
        <f>C52</f>
        <v>1.0279569703725158</v>
      </c>
      <c r="F99" s="629">
        <f>1/E99</f>
        <v>0.97280336514242949</v>
      </c>
      <c r="G99" s="83">
        <f>F99*D99</f>
        <v>924163.19688530802</v>
      </c>
      <c r="H99" s="83">
        <f ca="1">B52</f>
        <v>702734</v>
      </c>
      <c r="I99" s="89">
        <f t="shared" ref="I99:I101" si="6">I100*(1+$E$22)</f>
        <v>0.92236815999999988</v>
      </c>
      <c r="J99" s="794">
        <f ca="1">H99*I99</f>
        <v>648179.46654943994</v>
      </c>
      <c r="K99" s="794">
        <f ca="1">(D99*$J$106)/I99</f>
        <v>720425.60185316415</v>
      </c>
      <c r="L99" s="629">
        <f>1-F99</f>
        <v>2.7196634857570512E-2</v>
      </c>
      <c r="M99" s="794">
        <f ca="1">L99*K99</f>
        <v>19593.152035645981</v>
      </c>
      <c r="N99" s="794">
        <f ca="1">H99+M99</f>
        <v>722327.15203564602</v>
      </c>
      <c r="Q99" s="18"/>
    </row>
    <row r="100" spans="1:17">
      <c r="A100" s="625">
        <f>B8</f>
        <v>2020</v>
      </c>
      <c r="B100" s="792">
        <f>D74</f>
        <v>1040000</v>
      </c>
      <c r="C100" s="793">
        <f>E96</f>
        <v>0.95</v>
      </c>
      <c r="D100" s="792">
        <f t="shared" ref="D100:D103" si="7">B100*C100</f>
        <v>988000</v>
      </c>
      <c r="E100" s="597">
        <f>C53</f>
        <v>1.0566955329374412</v>
      </c>
      <c r="F100" s="629">
        <f t="shared" ref="F100:F103" si="8">1/E100</f>
        <v>0.94634638723243503</v>
      </c>
      <c r="G100" s="83">
        <f>F100*D100</f>
        <v>934990.23058564577</v>
      </c>
      <c r="H100" s="83">
        <f ca="1">B53</f>
        <v>701405</v>
      </c>
      <c r="I100" s="89">
        <f t="shared" si="6"/>
        <v>0.94119199999999992</v>
      </c>
      <c r="J100" s="794">
        <f t="shared" ref="J100:J103" ca="1" si="9">H100*I100</f>
        <v>660156.77475999994</v>
      </c>
      <c r="K100" s="794">
        <f ca="1">(D100*$J$106)/I100</f>
        <v>734257.77340874495</v>
      </c>
      <c r="L100" s="629">
        <f t="shared" ref="L100:L103" si="10">1-F100</f>
        <v>5.3653612767564973E-2</v>
      </c>
      <c r="M100" s="794">
        <f t="shared" ref="M100:M103" ca="1" si="11">L100*K100</f>
        <v>39395.58224604727</v>
      </c>
      <c r="N100" s="794">
        <f t="shared" ref="N100:N103" ca="1" si="12">H100+M100</f>
        <v>740800.58224604721</v>
      </c>
      <c r="Q100" s="18"/>
    </row>
    <row r="101" spans="1:17" ht="16.2">
      <c r="A101" s="625">
        <f>B9</f>
        <v>2021</v>
      </c>
      <c r="B101" s="792">
        <f>D75</f>
        <v>1082000</v>
      </c>
      <c r="C101" s="793">
        <f>F96</f>
        <v>0.95</v>
      </c>
      <c r="D101" s="792">
        <f t="shared" si="7"/>
        <v>1027900</v>
      </c>
      <c r="E101" s="597">
        <f>C54</f>
        <v>1.1145411001678762</v>
      </c>
      <c r="F101" s="629">
        <f t="shared" si="8"/>
        <v>0.89723025902712461</v>
      </c>
      <c r="G101" s="83">
        <f>F101*D101</f>
        <v>922262.98325398134</v>
      </c>
      <c r="H101" s="83">
        <f ca="1">B54</f>
        <v>681837</v>
      </c>
      <c r="I101" s="89">
        <f t="shared" si="6"/>
        <v>0.96039999999999992</v>
      </c>
      <c r="J101" s="794">
        <f t="shared" ca="1" si="9"/>
        <v>654836.2548</v>
      </c>
      <c r="K101" s="794">
        <f ca="1">(D101*$J$106)/I101</f>
        <v>748632.2813574007</v>
      </c>
      <c r="L101" s="629">
        <f t="shared" si="10"/>
        <v>0.10276974097287539</v>
      </c>
      <c r="M101" s="794">
        <f t="shared" ca="1" si="11"/>
        <v>76936.745639032844</v>
      </c>
      <c r="N101" s="785">
        <f ca="1">H101+M101+D23</f>
        <v>808773.7456390328</v>
      </c>
      <c r="Q101" s="18"/>
    </row>
    <row r="102" spans="1:17">
      <c r="A102" s="625">
        <f>B10</f>
        <v>2022</v>
      </c>
      <c r="B102" s="792">
        <f>D76</f>
        <v>1125000</v>
      </c>
      <c r="C102" s="793">
        <f>G96</f>
        <v>0.97435897435897434</v>
      </c>
      <c r="D102" s="792">
        <f t="shared" si="7"/>
        <v>1096153.8461538462</v>
      </c>
      <c r="E102" s="597">
        <f>C55</f>
        <v>1.2541639520763399</v>
      </c>
      <c r="F102" s="629">
        <f t="shared" si="8"/>
        <v>0.79734391850797737</v>
      </c>
      <c r="G102" s="83">
        <f>F102*D102</f>
        <v>874011.60297989834</v>
      </c>
      <c r="H102" s="83">
        <f ca="1">B55</f>
        <v>621002</v>
      </c>
      <c r="I102" s="89">
        <f>I103*(1+$E$22)</f>
        <v>0.98</v>
      </c>
      <c r="J102" s="794">
        <f t="shared" ca="1" si="9"/>
        <v>608581.96</v>
      </c>
      <c r="K102" s="794">
        <f ca="1">(D102*$J$106)/I102</f>
        <v>782375.55353005766</v>
      </c>
      <c r="L102" s="629">
        <f t="shared" si="10"/>
        <v>0.20265608149202263</v>
      </c>
      <c r="M102" s="794">
        <f t="shared" ca="1" si="11"/>
        <v>158553.16393355367</v>
      </c>
      <c r="N102" s="794">
        <f t="shared" ca="1" si="12"/>
        <v>779555.16393355373</v>
      </c>
      <c r="Q102" s="18"/>
    </row>
    <row r="103" spans="1:17">
      <c r="A103" s="626">
        <f>B11</f>
        <v>2023</v>
      </c>
      <c r="B103" s="795">
        <f>D77</f>
        <v>1170000</v>
      </c>
      <c r="C103" s="796">
        <f>H96</f>
        <v>1</v>
      </c>
      <c r="D103" s="795">
        <f t="shared" si="7"/>
        <v>1170000</v>
      </c>
      <c r="E103" s="786">
        <f>C56</f>
        <v>1.3378280104128151</v>
      </c>
      <c r="F103" s="630">
        <f t="shared" si="8"/>
        <v>0.7474802382792306</v>
      </c>
      <c r="G103" s="86">
        <f>F103*D103</f>
        <v>874551.87878669985</v>
      </c>
      <c r="H103" s="86">
        <f ca="1">B56</f>
        <v>596836</v>
      </c>
      <c r="I103" s="90">
        <v>1</v>
      </c>
      <c r="J103" s="797">
        <f t="shared" ca="1" si="9"/>
        <v>596836</v>
      </c>
      <c r="K103" s="797">
        <f ca="1">(D103*$J$106)/I103</f>
        <v>818381.30005672504</v>
      </c>
      <c r="L103" s="630">
        <f t="shared" si="10"/>
        <v>0.2525197617207694</v>
      </c>
      <c r="M103" s="797">
        <f t="shared" ca="1" si="11"/>
        <v>206657.4508870577</v>
      </c>
      <c r="N103" s="797">
        <f t="shared" ca="1" si="12"/>
        <v>803493.4508870577</v>
      </c>
      <c r="Q103" s="18"/>
    </row>
    <row r="104" spans="1:17">
      <c r="A104" s="625" t="s">
        <v>132</v>
      </c>
      <c r="B104" s="792">
        <f>SUM(B99:B103)</f>
        <v>5417000</v>
      </c>
      <c r="D104" s="792">
        <f>SUM(D99:D103)</f>
        <v>5232053.846153846</v>
      </c>
      <c r="G104" s="83">
        <f>SUM(G99:G103)</f>
        <v>4529979.8924915334</v>
      </c>
      <c r="H104" s="83">
        <f ca="1">SUM(H99:H103)</f>
        <v>3303814</v>
      </c>
      <c r="I104" s="11"/>
      <c r="J104" s="794">
        <f ca="1">SUM(J99:J103)</f>
        <v>3168590.45610944</v>
      </c>
      <c r="K104" s="794">
        <f ca="1">SUM(K99:K103)</f>
        <v>3804072.5102060921</v>
      </c>
      <c r="L104" s="794"/>
      <c r="M104" s="794">
        <f ca="1">SUM(M99:M103)</f>
        <v>501136.09474133747</v>
      </c>
      <c r="N104" s="794">
        <f ca="1">SUM(N99:N103)</f>
        <v>3854950.094741337</v>
      </c>
      <c r="Q104" s="18"/>
    </row>
    <row r="105" spans="1:17">
      <c r="A105" s="3"/>
      <c r="B105" s="3"/>
      <c r="C105" s="3"/>
      <c r="D105" s="3"/>
      <c r="F105" s="3"/>
      <c r="G105" s="3"/>
      <c r="H105" s="3"/>
      <c r="I105" s="3"/>
      <c r="K105" s="3"/>
      <c r="L105" s="3"/>
      <c r="Q105" s="18"/>
    </row>
    <row r="106" spans="1:17">
      <c r="G106" s="2" t="s">
        <v>2889</v>
      </c>
      <c r="J106" s="793">
        <f ca="1">J104/G104</f>
        <v>0.69947119662967949</v>
      </c>
      <c r="Q106" s="18"/>
    </row>
    <row r="108" spans="1:17">
      <c r="A108" s="17" t="s">
        <v>545</v>
      </c>
      <c r="B108" s="1" t="s">
        <v>2890</v>
      </c>
      <c r="C108" s="1"/>
      <c r="D108" s="1"/>
      <c r="E108" s="1"/>
      <c r="F108" s="1"/>
      <c r="G108" s="1"/>
      <c r="H108" s="1"/>
      <c r="I108" s="1"/>
      <c r="J108" s="1"/>
      <c r="K108" s="1"/>
      <c r="L108" s="1"/>
    </row>
    <row r="109" spans="1:17">
      <c r="A109" s="3"/>
      <c r="B109" s="3"/>
      <c r="C109" s="3"/>
      <c r="D109" s="3"/>
      <c r="E109" s="3"/>
      <c r="F109" s="3"/>
      <c r="G109" s="3"/>
      <c r="H109" s="3"/>
      <c r="I109" s="3"/>
      <c r="J109" s="3"/>
      <c r="K109" s="3"/>
      <c r="L109" s="3"/>
    </row>
    <row r="110" spans="1:17">
      <c r="A110" s="3" t="s">
        <v>20</v>
      </c>
      <c r="B110" s="3"/>
      <c r="C110" s="3"/>
      <c r="D110" s="3"/>
      <c r="E110" s="3"/>
      <c r="F110" s="3"/>
      <c r="G110" s="3"/>
      <c r="H110" s="3"/>
      <c r="I110" s="3"/>
      <c r="J110" s="3"/>
      <c r="K110" s="3"/>
      <c r="L110" s="3"/>
    </row>
    <row r="111" spans="1:17">
      <c r="A111" s="3"/>
      <c r="B111" s="3"/>
      <c r="C111" s="3"/>
      <c r="D111" s="3"/>
      <c r="E111" s="3"/>
      <c r="F111" s="3"/>
      <c r="G111" s="3"/>
      <c r="H111" s="3"/>
      <c r="I111" s="3"/>
      <c r="J111" s="3"/>
      <c r="K111" s="3"/>
      <c r="L111" s="3"/>
    </row>
    <row r="112" spans="1:17">
      <c r="A112" s="2" t="s">
        <v>1134</v>
      </c>
    </row>
    <row r="113" spans="1:1">
      <c r="A113" s="60" t="s">
        <v>2891</v>
      </c>
    </row>
    <row r="114" spans="1:1">
      <c r="A114" s="60" t="s">
        <v>2892</v>
      </c>
    </row>
    <row r="115" spans="1:1">
      <c r="A115" s="60" t="s">
        <v>2893</v>
      </c>
    </row>
    <row r="116" spans="1:1">
      <c r="A116" s="60" t="s">
        <v>2894</v>
      </c>
    </row>
  </sheetData>
  <mergeCells count="5">
    <mergeCell ref="C5:G5"/>
    <mergeCell ref="B26:K27"/>
    <mergeCell ref="B32:F32"/>
    <mergeCell ref="A40:F40"/>
    <mergeCell ref="D90:H90"/>
  </mergeCells>
  <hyperlinks>
    <hyperlink ref="N1" location="TOC!A1" display="Table of Contents" xr:uid="{59765F3F-0B39-426C-9DA2-C5485424D977}"/>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DCF5-C70F-400B-BB6C-3A0000D47C3B}">
  <dimension ref="A1:AB128"/>
  <sheetViews>
    <sheetView zoomScaleNormal="100" workbookViewId="0"/>
  </sheetViews>
  <sheetFormatPr defaultRowHeight="15.6"/>
  <cols>
    <col min="1" max="1" width="11.6640625" style="2" customWidth="1"/>
    <col min="2" max="4" width="12.77734375" style="2" customWidth="1"/>
    <col min="5" max="5" width="11.44140625" style="2" customWidth="1"/>
    <col min="6" max="6" width="11.109375" style="2" customWidth="1"/>
    <col min="7" max="7" width="13" style="2" customWidth="1"/>
    <col min="8" max="8" width="8.88671875" style="2" customWidth="1"/>
    <col min="9" max="28" width="4" style="2" customWidth="1"/>
    <col min="29" max="16384" width="8.88671875" style="2"/>
  </cols>
  <sheetData>
    <row r="1" spans="1:19" ht="17.399999999999999">
      <c r="A1" s="13" t="s">
        <v>355</v>
      </c>
      <c r="B1" s="1"/>
      <c r="C1" s="1"/>
      <c r="D1" s="1" t="s">
        <v>240</v>
      </c>
      <c r="E1" s="1"/>
      <c r="F1" s="1"/>
      <c r="G1" s="1"/>
      <c r="H1" s="1"/>
      <c r="I1" s="1"/>
      <c r="J1" s="1"/>
      <c r="K1" s="1"/>
      <c r="L1" s="14"/>
      <c r="M1" s="14"/>
      <c r="N1" s="14"/>
      <c r="O1" s="14"/>
      <c r="P1" s="14"/>
      <c r="S1" s="21" t="s">
        <v>2927</v>
      </c>
    </row>
    <row r="2" spans="1:19">
      <c r="A2" s="1"/>
      <c r="B2" s="1"/>
      <c r="C2" s="1"/>
      <c r="D2" s="1"/>
      <c r="E2" s="1"/>
      <c r="F2" s="1"/>
      <c r="G2" s="1"/>
      <c r="H2" s="1"/>
      <c r="I2" s="1"/>
      <c r="J2" s="1"/>
      <c r="K2" s="1"/>
      <c r="L2" s="14"/>
      <c r="M2" s="14"/>
      <c r="N2" s="14"/>
      <c r="O2" s="14"/>
      <c r="P2" s="14"/>
    </row>
    <row r="3" spans="1:19">
      <c r="A3" s="1" t="s">
        <v>241</v>
      </c>
      <c r="B3" s="1"/>
      <c r="C3" s="1"/>
      <c r="D3" s="1"/>
      <c r="E3" s="1"/>
      <c r="F3" s="1"/>
      <c r="G3" s="1"/>
      <c r="H3" s="1"/>
      <c r="I3" s="1"/>
      <c r="J3" s="1"/>
      <c r="K3" s="1"/>
      <c r="L3" s="14"/>
      <c r="M3" s="14"/>
      <c r="N3" s="14"/>
      <c r="O3" s="14"/>
      <c r="P3" s="14"/>
    </row>
    <row r="4" spans="1:19">
      <c r="A4" s="1"/>
      <c r="B4" s="1"/>
      <c r="C4" s="1"/>
      <c r="D4" s="1"/>
      <c r="E4" s="1"/>
      <c r="F4" s="1"/>
      <c r="G4" s="1"/>
      <c r="H4" s="1"/>
      <c r="I4" s="1"/>
      <c r="J4" s="1"/>
      <c r="K4" s="1"/>
      <c r="L4" s="1"/>
      <c r="M4" s="14"/>
      <c r="N4" s="14"/>
      <c r="O4" s="14"/>
      <c r="P4" s="14"/>
    </row>
    <row r="5" spans="1:19">
      <c r="A5" s="1"/>
      <c r="B5" s="833" t="s">
        <v>242</v>
      </c>
      <c r="C5" s="833"/>
      <c r="D5" s="833"/>
      <c r="E5" s="1"/>
      <c r="F5" s="1"/>
      <c r="G5" s="1"/>
      <c r="H5" s="1"/>
      <c r="I5" s="1"/>
      <c r="J5" s="1"/>
      <c r="K5" s="1"/>
      <c r="L5" s="1"/>
      <c r="M5" s="14"/>
      <c r="N5" s="14"/>
      <c r="O5" s="14"/>
      <c r="P5" s="14"/>
    </row>
    <row r="6" spans="1:19">
      <c r="A6" s="1"/>
      <c r="B6" s="834" t="s">
        <v>243</v>
      </c>
      <c r="C6" s="835"/>
      <c r="D6" s="163" t="s">
        <v>244</v>
      </c>
      <c r="E6" s="1"/>
      <c r="F6" s="1"/>
      <c r="G6" s="1"/>
      <c r="H6" s="1"/>
      <c r="I6" s="1"/>
      <c r="J6" s="1"/>
      <c r="K6" s="1"/>
      <c r="L6" s="1"/>
      <c r="M6" s="14"/>
      <c r="N6" s="14"/>
      <c r="O6" s="14"/>
      <c r="P6" s="14"/>
    </row>
    <row r="7" spans="1:19">
      <c r="A7" s="1"/>
      <c r="B7" s="836" t="s">
        <v>245</v>
      </c>
      <c r="C7" s="837"/>
      <c r="D7" s="166" t="s">
        <v>246</v>
      </c>
      <c r="E7" s="1"/>
      <c r="F7" s="1"/>
      <c r="G7" s="1"/>
      <c r="H7" s="1"/>
      <c r="I7" s="1"/>
      <c r="J7" s="1"/>
      <c r="K7" s="1"/>
      <c r="L7" s="1"/>
      <c r="M7" s="14"/>
      <c r="N7" s="14"/>
      <c r="O7" s="14"/>
      <c r="P7" s="14"/>
    </row>
    <row r="8" spans="1:19">
      <c r="A8" s="1"/>
      <c r="B8" s="838">
        <v>42186</v>
      </c>
      <c r="C8" s="838"/>
      <c r="D8" s="167">
        <v>0.08</v>
      </c>
      <c r="E8" s="1"/>
      <c r="F8" s="1"/>
      <c r="G8" s="1"/>
      <c r="H8" s="1"/>
      <c r="I8" s="1"/>
      <c r="J8" s="1"/>
      <c r="K8" s="1"/>
      <c r="L8" s="1"/>
      <c r="M8" s="14"/>
      <c r="N8" s="14"/>
      <c r="O8" s="14"/>
      <c r="P8" s="14"/>
    </row>
    <row r="9" spans="1:19">
      <c r="A9" s="1"/>
      <c r="B9" s="839">
        <v>42736</v>
      </c>
      <c r="C9" s="839"/>
      <c r="D9" s="168">
        <v>0.1</v>
      </c>
      <c r="E9" s="1"/>
      <c r="F9" s="1"/>
      <c r="G9" s="1"/>
      <c r="H9" s="1"/>
      <c r="I9" s="1"/>
      <c r="J9" s="1"/>
      <c r="K9" s="1"/>
      <c r="L9" s="1"/>
      <c r="M9" s="14"/>
      <c r="N9" s="14"/>
      <c r="O9" s="14"/>
      <c r="P9" s="14"/>
    </row>
    <row r="10" spans="1:19">
      <c r="A10" s="1"/>
      <c r="B10" s="839">
        <v>43466</v>
      </c>
      <c r="C10" s="839"/>
      <c r="D10" s="168">
        <v>0.05</v>
      </c>
      <c r="E10" s="1"/>
      <c r="F10" s="1"/>
      <c r="G10" s="1"/>
      <c r="H10" s="1"/>
      <c r="I10" s="1"/>
      <c r="J10" s="1"/>
      <c r="K10" s="1"/>
      <c r="L10" s="1"/>
      <c r="M10" s="14"/>
      <c r="N10" s="14"/>
      <c r="O10" s="14"/>
      <c r="P10" s="14"/>
    </row>
    <row r="11" spans="1:19">
      <c r="A11" s="1"/>
      <c r="B11" s="1"/>
      <c r="C11" s="1"/>
      <c r="D11" s="1"/>
      <c r="E11" s="1"/>
      <c r="F11" s="1"/>
      <c r="G11" s="1"/>
      <c r="H11" s="1"/>
      <c r="I11" s="1"/>
      <c r="J11" s="1"/>
      <c r="K11" s="1"/>
      <c r="L11" s="1"/>
      <c r="M11" s="14"/>
      <c r="N11" s="14"/>
      <c r="O11" s="14"/>
      <c r="P11" s="14"/>
    </row>
    <row r="12" spans="1:19">
      <c r="A12" s="1"/>
      <c r="B12" s="16" t="s">
        <v>9</v>
      </c>
      <c r="C12" s="1" t="s">
        <v>247</v>
      </c>
      <c r="D12" s="1"/>
      <c r="E12" s="1"/>
      <c r="F12" s="1"/>
      <c r="G12" s="1"/>
      <c r="H12" s="1"/>
      <c r="I12" s="1"/>
      <c r="J12" s="1"/>
      <c r="K12" s="1"/>
      <c r="L12" s="1"/>
      <c r="M12" s="14"/>
      <c r="N12" s="14"/>
      <c r="O12" s="14"/>
      <c r="P12" s="14"/>
    </row>
    <row r="13" spans="1:19">
      <c r="A13" s="1"/>
      <c r="B13" s="16" t="s">
        <v>9</v>
      </c>
      <c r="C13" s="1" t="s">
        <v>181</v>
      </c>
      <c r="D13" s="1"/>
      <c r="E13" s="1"/>
      <c r="F13" s="1"/>
      <c r="G13" s="1"/>
      <c r="H13" s="1"/>
      <c r="I13" s="1"/>
      <c r="J13" s="1"/>
      <c r="K13" s="1"/>
      <c r="L13" s="1"/>
      <c r="M13" s="14"/>
      <c r="N13" s="14"/>
      <c r="O13" s="14"/>
      <c r="P13" s="14"/>
    </row>
    <row r="14" spans="1:19">
      <c r="A14" s="1"/>
      <c r="B14" s="16" t="s">
        <v>9</v>
      </c>
      <c r="C14" s="831" t="s">
        <v>248</v>
      </c>
      <c r="D14" s="840"/>
      <c r="E14" s="840"/>
      <c r="F14" s="840"/>
      <c r="G14" s="840"/>
      <c r="H14" s="840"/>
      <c r="I14" s="840"/>
      <c r="J14" s="840"/>
      <c r="K14" s="840"/>
      <c r="L14" s="840"/>
      <c r="M14" s="14"/>
      <c r="N14" s="14"/>
      <c r="O14" s="14"/>
      <c r="P14" s="14"/>
    </row>
    <row r="15" spans="1:19">
      <c r="A15" s="1"/>
      <c r="B15" s="1"/>
      <c r="C15" s="840"/>
      <c r="D15" s="840"/>
      <c r="E15" s="840"/>
      <c r="F15" s="840"/>
      <c r="G15" s="840"/>
      <c r="H15" s="840"/>
      <c r="I15" s="840"/>
      <c r="J15" s="840"/>
      <c r="K15" s="840"/>
      <c r="L15" s="840"/>
      <c r="M15" s="14"/>
      <c r="N15" s="14"/>
      <c r="O15" s="14"/>
      <c r="P15" s="14"/>
    </row>
    <row r="16" spans="1:19">
      <c r="A16" s="1"/>
      <c r="B16" s="1"/>
      <c r="C16" s="1"/>
      <c r="D16" s="1"/>
      <c r="E16" s="1"/>
      <c r="F16" s="1"/>
      <c r="G16" s="1"/>
      <c r="H16" s="1"/>
      <c r="I16" s="1"/>
      <c r="J16" s="1"/>
      <c r="K16" s="1"/>
      <c r="L16" s="1"/>
      <c r="M16" s="14"/>
      <c r="N16" s="14"/>
      <c r="O16" s="14"/>
      <c r="P16" s="14"/>
    </row>
    <row r="18" spans="1:28">
      <c r="A18" s="17" t="s">
        <v>91</v>
      </c>
      <c r="B18" s="1" t="s">
        <v>249</v>
      </c>
      <c r="C18" s="1"/>
      <c r="D18" s="1"/>
      <c r="E18" s="1"/>
      <c r="F18" s="1"/>
      <c r="G18" s="1"/>
      <c r="H18" s="1"/>
      <c r="I18" s="1"/>
      <c r="J18" s="1"/>
      <c r="K18" s="1"/>
      <c r="L18" s="1"/>
      <c r="M18" s="1"/>
      <c r="N18" s="1"/>
      <c r="O18" s="1"/>
      <c r="P18" s="1"/>
      <c r="Q18" s="9"/>
      <c r="R18" s="9"/>
    </row>
    <row r="19" spans="1:28">
      <c r="A19" s="14"/>
      <c r="B19" s="14"/>
      <c r="C19" s="14"/>
      <c r="D19" s="14"/>
      <c r="E19" s="14"/>
      <c r="F19" s="14"/>
      <c r="G19" s="1"/>
      <c r="H19" s="1"/>
      <c r="I19" s="1"/>
      <c r="J19" s="1"/>
      <c r="K19" s="1"/>
      <c r="L19" s="1"/>
      <c r="M19" s="14"/>
      <c r="N19" s="14"/>
      <c r="O19" s="14"/>
      <c r="P19" s="14"/>
    </row>
    <row r="20" spans="1:28">
      <c r="A20" s="3"/>
      <c r="B20" s="3"/>
      <c r="C20" s="3"/>
      <c r="D20" s="3"/>
      <c r="E20" s="3"/>
      <c r="F20" s="3"/>
      <c r="G20" s="3"/>
      <c r="H20" s="3"/>
      <c r="I20" s="3"/>
      <c r="J20" s="3"/>
      <c r="K20" s="3"/>
      <c r="L20" s="3"/>
      <c r="M20" s="3"/>
    </row>
    <row r="21" spans="1:28">
      <c r="A21" s="3" t="s">
        <v>20</v>
      </c>
      <c r="B21" s="3"/>
      <c r="C21" s="3"/>
      <c r="D21" s="3"/>
      <c r="E21" s="3"/>
      <c r="F21" s="3"/>
      <c r="G21" s="3"/>
      <c r="H21" s="3"/>
      <c r="I21" s="3"/>
      <c r="J21" s="3"/>
      <c r="K21" s="3"/>
      <c r="L21" s="3"/>
      <c r="M21" s="3"/>
      <c r="N21" s="9"/>
    </row>
    <row r="22" spans="1:28">
      <c r="A22" s="3"/>
      <c r="B22" s="3"/>
      <c r="C22" s="3"/>
      <c r="D22" s="3"/>
      <c r="E22" s="3"/>
      <c r="F22" s="3"/>
      <c r="G22" s="3"/>
      <c r="H22" s="3"/>
      <c r="I22" s="3"/>
      <c r="J22" s="3"/>
      <c r="K22" s="3"/>
      <c r="L22" s="3"/>
      <c r="M22" s="3"/>
      <c r="N22" s="9"/>
    </row>
    <row r="23" spans="1:28" ht="16.2">
      <c r="A23" s="114" t="s">
        <v>189</v>
      </c>
      <c r="B23" s="3"/>
      <c r="C23" s="3"/>
      <c r="D23" s="3"/>
      <c r="E23" s="3"/>
      <c r="F23" s="3"/>
      <c r="G23" s="3"/>
      <c r="H23" s="3"/>
      <c r="I23" s="3"/>
      <c r="J23" s="3"/>
      <c r="K23" s="3"/>
      <c r="L23" s="3"/>
      <c r="M23" s="3"/>
      <c r="N23" s="9"/>
    </row>
    <row r="24" spans="1:28">
      <c r="I24" s="823">
        <v>2015</v>
      </c>
      <c r="J24" s="823"/>
      <c r="K24" s="823"/>
      <c r="L24" s="823"/>
      <c r="M24" s="823">
        <f>I24+1</f>
        <v>2016</v>
      </c>
      <c r="N24" s="823"/>
      <c r="O24" s="823"/>
      <c r="P24" s="823"/>
      <c r="Q24" s="823">
        <f>M24+1</f>
        <v>2017</v>
      </c>
      <c r="R24" s="823"/>
      <c r="S24" s="823"/>
      <c r="T24" s="823"/>
      <c r="U24" s="823">
        <f>Q24+1</f>
        <v>2018</v>
      </c>
      <c r="V24" s="823"/>
      <c r="W24" s="823"/>
      <c r="X24" s="823"/>
      <c r="Y24" s="823">
        <f>U24+1</f>
        <v>2019</v>
      </c>
      <c r="Z24" s="823"/>
      <c r="AA24" s="823"/>
      <c r="AB24" s="823"/>
    </row>
    <row r="25" spans="1:28" ht="19.95" customHeight="1">
      <c r="I25" s="115"/>
      <c r="J25" s="116"/>
      <c r="K25" s="116"/>
      <c r="L25" s="117"/>
      <c r="M25" s="115"/>
      <c r="N25" s="116"/>
      <c r="O25" s="116"/>
      <c r="P25" s="117"/>
      <c r="Q25" s="115"/>
      <c r="R25" s="116"/>
      <c r="S25" s="116" t="s">
        <v>250</v>
      </c>
      <c r="T25" s="117"/>
      <c r="U25" s="115"/>
      <c r="V25" s="116"/>
      <c r="W25" s="116"/>
      <c r="X25" s="117"/>
      <c r="Y25" s="115"/>
      <c r="Z25" s="116"/>
      <c r="AA25" s="116"/>
      <c r="AB25" s="117"/>
    </row>
    <row r="26" spans="1:28" ht="19.95" customHeight="1">
      <c r="I26" s="118"/>
      <c r="J26" s="119" t="s">
        <v>190</v>
      </c>
      <c r="K26" s="119"/>
      <c r="L26" s="120"/>
      <c r="M26" s="118"/>
      <c r="N26" s="119"/>
      <c r="O26" s="119" t="s">
        <v>191</v>
      </c>
      <c r="P26" s="120"/>
      <c r="Q26" s="118"/>
      <c r="R26" s="119"/>
      <c r="S26" s="119"/>
      <c r="T26" s="120"/>
      <c r="U26" s="118"/>
      <c r="V26" s="119"/>
      <c r="W26" s="119"/>
      <c r="X26" s="120"/>
      <c r="Y26" s="118"/>
      <c r="Z26" s="119"/>
      <c r="AA26" s="119"/>
      <c r="AB26" s="120"/>
    </row>
    <row r="27" spans="1:28" ht="19.95" customHeight="1">
      <c r="I27" s="118"/>
      <c r="J27" s="119"/>
      <c r="K27" s="119"/>
      <c r="L27" s="120"/>
      <c r="M27" s="118"/>
      <c r="N27" s="119"/>
      <c r="O27" s="119"/>
      <c r="P27" s="120"/>
      <c r="Q27" s="118"/>
      <c r="R27" s="119"/>
      <c r="S27" s="119"/>
      <c r="T27" s="120" t="s">
        <v>251</v>
      </c>
      <c r="U27" s="118"/>
      <c r="V27" s="119"/>
      <c r="W27" s="119"/>
      <c r="X27" s="120"/>
      <c r="Y27" s="118"/>
      <c r="Z27" s="119"/>
      <c r="AA27" s="119" t="s">
        <v>252</v>
      </c>
      <c r="AB27" s="120"/>
    </row>
    <row r="28" spans="1:28" ht="19.95" customHeight="1">
      <c r="I28" s="121"/>
      <c r="J28" s="122"/>
      <c r="K28" s="122"/>
      <c r="L28" s="123"/>
      <c r="M28" s="121"/>
      <c r="N28" s="122"/>
      <c r="O28" s="122"/>
      <c r="P28" s="123"/>
      <c r="Q28" s="121"/>
      <c r="R28" s="122" t="s">
        <v>192</v>
      </c>
      <c r="S28" s="122"/>
      <c r="T28" s="123"/>
      <c r="U28" s="121"/>
      <c r="V28" s="122"/>
      <c r="W28" s="122"/>
      <c r="X28" s="123"/>
      <c r="Y28" s="121"/>
      <c r="Z28" s="122"/>
      <c r="AA28" s="122"/>
      <c r="AB28" s="123"/>
    </row>
    <row r="29" spans="1:28">
      <c r="I29" s="9"/>
      <c r="J29" s="9"/>
      <c r="K29" s="9"/>
      <c r="L29" s="9"/>
      <c r="M29" s="9"/>
      <c r="N29" s="9"/>
      <c r="O29" s="9"/>
      <c r="P29" s="9"/>
      <c r="Q29" s="9"/>
      <c r="R29" s="9"/>
      <c r="S29" s="9"/>
      <c r="T29" s="9"/>
      <c r="U29" s="9"/>
      <c r="V29" s="9"/>
      <c r="W29" s="9"/>
      <c r="X29" s="9"/>
      <c r="Y29" s="9"/>
      <c r="Z29" s="9"/>
      <c r="AA29" s="9"/>
      <c r="AB29" s="9"/>
    </row>
    <row r="30" spans="1:28">
      <c r="A30" s="124"/>
      <c r="B30" s="3"/>
      <c r="C30" s="94" t="s">
        <v>193</v>
      </c>
      <c r="D30" s="169" t="s">
        <v>194</v>
      </c>
      <c r="E30" s="3"/>
      <c r="F30" s="3"/>
      <c r="G30" s="3"/>
      <c r="H30" s="3"/>
      <c r="I30" s="9"/>
      <c r="J30" s="9"/>
      <c r="K30" s="9"/>
      <c r="L30" s="9"/>
      <c r="M30" s="9"/>
      <c r="N30" s="9"/>
      <c r="O30" s="9"/>
      <c r="P30" s="9"/>
      <c r="Q30" s="9"/>
      <c r="R30" s="9"/>
      <c r="S30" s="9"/>
      <c r="T30" s="9"/>
      <c r="U30" s="9"/>
      <c r="V30" s="9"/>
      <c r="W30" s="9"/>
      <c r="X30" s="9"/>
      <c r="Y30" s="9"/>
      <c r="Z30" s="9"/>
      <c r="AA30" s="9"/>
      <c r="AB30" s="9"/>
    </row>
    <row r="31" spans="1:28">
      <c r="A31" s="124"/>
      <c r="B31" s="107" t="s">
        <v>195</v>
      </c>
      <c r="C31" s="107" t="s">
        <v>196</v>
      </c>
      <c r="D31" s="107">
        <v>2015</v>
      </c>
      <c r="E31" s="107">
        <v>2016</v>
      </c>
      <c r="F31" s="107">
        <v>2017</v>
      </c>
      <c r="G31" s="107">
        <v>2018</v>
      </c>
      <c r="H31" s="107">
        <v>2019</v>
      </c>
      <c r="I31" s="9"/>
      <c r="J31" s="9"/>
      <c r="K31" s="9"/>
      <c r="L31" s="9"/>
      <c r="M31" s="9"/>
      <c r="N31" s="9"/>
      <c r="O31" s="9"/>
      <c r="P31" s="9"/>
      <c r="Q31" s="9"/>
      <c r="R31" s="9"/>
      <c r="S31" s="9"/>
      <c r="T31" s="9"/>
      <c r="U31" s="9"/>
      <c r="V31" s="9"/>
      <c r="W31" s="9"/>
      <c r="X31" s="9"/>
      <c r="Y31" s="9"/>
      <c r="Z31" s="9"/>
      <c r="AA31" s="9"/>
      <c r="AB31" s="9"/>
    </row>
    <row r="32" spans="1:28">
      <c r="B32" s="125" t="s">
        <v>190</v>
      </c>
      <c r="C32" s="126">
        <v>1</v>
      </c>
      <c r="D32" s="127">
        <f>7/8</f>
        <v>0.875</v>
      </c>
      <c r="E32" s="127">
        <f>1/8</f>
        <v>0.125</v>
      </c>
      <c r="F32" s="127"/>
      <c r="G32" s="127"/>
      <c r="H32" s="127"/>
      <c r="I32" s="9"/>
      <c r="J32" s="9"/>
      <c r="K32" s="9"/>
      <c r="L32" s="9"/>
      <c r="M32" s="9"/>
      <c r="N32" s="9"/>
      <c r="O32" s="9"/>
      <c r="P32" s="9"/>
      <c r="Q32" s="9"/>
      <c r="R32" s="9"/>
      <c r="S32" s="9"/>
      <c r="T32" s="9"/>
      <c r="U32" s="9"/>
      <c r="V32" s="9"/>
      <c r="W32" s="9"/>
      <c r="X32" s="9"/>
      <c r="Y32" s="9"/>
      <c r="Z32" s="9"/>
      <c r="AA32" s="9"/>
      <c r="AB32" s="9"/>
    </row>
    <row r="33" spans="1:28">
      <c r="B33" s="125" t="s">
        <v>191</v>
      </c>
      <c r="C33" s="126">
        <v>1.08</v>
      </c>
      <c r="D33" s="127">
        <f>1/8</f>
        <v>0.125</v>
      </c>
      <c r="E33" s="127">
        <f>7/8</f>
        <v>0.875</v>
      </c>
      <c r="F33" s="127">
        <f>3/8</f>
        <v>0.375</v>
      </c>
      <c r="G33" s="127"/>
      <c r="H33" s="127"/>
      <c r="I33" s="9"/>
      <c r="J33" s="9"/>
      <c r="K33" s="9"/>
      <c r="L33" s="9"/>
      <c r="M33" s="9"/>
      <c r="N33" s="9"/>
      <c r="O33" s="9"/>
      <c r="P33" s="9"/>
      <c r="Q33" s="9"/>
      <c r="R33" s="9"/>
      <c r="S33" s="9"/>
      <c r="T33" s="9"/>
      <c r="U33" s="9"/>
      <c r="V33" s="9"/>
      <c r="W33" s="9"/>
      <c r="X33" s="9"/>
      <c r="Y33" s="9"/>
      <c r="Z33" s="9"/>
      <c r="AA33" s="9"/>
      <c r="AB33" s="9"/>
    </row>
    <row r="34" spans="1:28">
      <c r="B34" s="125" t="s">
        <v>192</v>
      </c>
      <c r="C34" s="126">
        <f>1.08*1.1</f>
        <v>1.1880000000000002</v>
      </c>
      <c r="D34" s="127"/>
      <c r="E34" s="127"/>
      <c r="F34" s="127">
        <f>1/8</f>
        <v>0.125</v>
      </c>
      <c r="G34" s="127"/>
      <c r="H34" s="127"/>
      <c r="I34" s="9"/>
      <c r="J34" s="9"/>
      <c r="K34" s="9"/>
      <c r="L34" s="9"/>
      <c r="M34" s="9"/>
      <c r="N34" s="9"/>
      <c r="O34" s="9"/>
      <c r="P34" s="9"/>
      <c r="Q34" s="9"/>
      <c r="R34" s="9"/>
      <c r="S34" s="9"/>
      <c r="T34" s="9"/>
      <c r="U34" s="9"/>
      <c r="V34" s="9"/>
      <c r="W34" s="9"/>
      <c r="X34" s="9"/>
      <c r="Y34" s="9"/>
      <c r="Z34" s="9"/>
      <c r="AA34" s="9"/>
      <c r="AB34" s="9"/>
    </row>
    <row r="35" spans="1:28">
      <c r="B35" s="125" t="s">
        <v>250</v>
      </c>
      <c r="C35" s="126">
        <f>1.08*0.8</f>
        <v>0.8640000000000001</v>
      </c>
      <c r="D35" s="127"/>
      <c r="E35" s="127"/>
      <c r="F35" s="127">
        <f>1/8</f>
        <v>0.125</v>
      </c>
      <c r="G35" s="127"/>
      <c r="H35" s="127"/>
      <c r="I35" s="9"/>
      <c r="J35" s="9"/>
      <c r="K35" s="9"/>
      <c r="L35" s="9"/>
      <c r="M35" s="9"/>
      <c r="N35" s="9"/>
      <c r="O35" s="9"/>
      <c r="P35" s="9"/>
      <c r="Q35" s="9"/>
      <c r="R35" s="9"/>
      <c r="S35" s="9"/>
      <c r="T35" s="9"/>
      <c r="U35" s="9"/>
      <c r="V35" s="9"/>
      <c r="W35" s="9"/>
      <c r="X35" s="9"/>
      <c r="Y35" s="9"/>
      <c r="Z35" s="9"/>
      <c r="AA35" s="9"/>
      <c r="AB35" s="9"/>
    </row>
    <row r="36" spans="1:28">
      <c r="B36" s="125" t="s">
        <v>251</v>
      </c>
      <c r="C36" s="126">
        <f>1.08*1.1*0.8</f>
        <v>0.95040000000000013</v>
      </c>
      <c r="D36" s="127"/>
      <c r="E36" s="127"/>
      <c r="F36" s="127">
        <f>3/8</f>
        <v>0.375</v>
      </c>
      <c r="G36" s="127">
        <v>1</v>
      </c>
      <c r="H36" s="127">
        <v>0.5</v>
      </c>
      <c r="I36" s="9"/>
      <c r="J36" s="9"/>
      <c r="K36" s="9"/>
      <c r="L36" s="9"/>
      <c r="M36" s="9"/>
      <c r="N36" s="9"/>
      <c r="O36" s="9"/>
      <c r="P36" s="9"/>
      <c r="Q36" s="9"/>
      <c r="R36" s="9"/>
      <c r="S36" s="9"/>
      <c r="T36" s="9"/>
      <c r="U36" s="9"/>
      <c r="V36" s="9"/>
      <c r="W36" s="9"/>
      <c r="X36" s="9"/>
      <c r="Y36" s="9"/>
      <c r="Z36" s="9"/>
      <c r="AA36" s="9"/>
      <c r="AB36" s="9"/>
    </row>
    <row r="37" spans="1:28">
      <c r="B37" s="128" t="s">
        <v>252</v>
      </c>
      <c r="C37" s="129">
        <f>C36*1.05</f>
        <v>0.99792000000000014</v>
      </c>
      <c r="D37" s="130"/>
      <c r="E37" s="130"/>
      <c r="F37" s="130"/>
      <c r="G37" s="130"/>
      <c r="H37" s="130">
        <v>0.5</v>
      </c>
      <c r="I37" s="9"/>
      <c r="J37" s="9"/>
      <c r="K37" s="9"/>
      <c r="L37" s="9"/>
      <c r="M37" s="9"/>
      <c r="N37" s="9"/>
      <c r="O37" s="9"/>
      <c r="P37" s="9"/>
      <c r="Q37" s="9"/>
      <c r="R37" s="9"/>
      <c r="S37" s="9"/>
      <c r="T37" s="9"/>
      <c r="U37" s="9"/>
      <c r="V37" s="9"/>
      <c r="W37" s="9"/>
      <c r="X37" s="9"/>
      <c r="Y37" s="9"/>
      <c r="Z37" s="9"/>
      <c r="AA37" s="9"/>
      <c r="AB37" s="9"/>
    </row>
    <row r="38" spans="1:28">
      <c r="B38" s="34" t="s">
        <v>132</v>
      </c>
      <c r="D38" s="131">
        <f>SUM(D32:D37)</f>
        <v>1</v>
      </c>
      <c r="E38" s="131">
        <f t="shared" ref="E38:H38" si="0">SUM(E32:E37)</f>
        <v>1</v>
      </c>
      <c r="F38" s="131">
        <f t="shared" si="0"/>
        <v>1</v>
      </c>
      <c r="G38" s="131">
        <f t="shared" si="0"/>
        <v>1</v>
      </c>
      <c r="H38" s="131">
        <f t="shared" si="0"/>
        <v>1</v>
      </c>
      <c r="I38" s="9"/>
      <c r="J38" s="9"/>
      <c r="K38" s="9"/>
      <c r="L38" s="9"/>
      <c r="M38" s="9"/>
      <c r="N38" s="9"/>
      <c r="O38" s="9"/>
      <c r="P38" s="9"/>
      <c r="Q38" s="9"/>
      <c r="R38" s="9"/>
      <c r="S38" s="9"/>
      <c r="T38" s="9"/>
      <c r="U38" s="9"/>
      <c r="V38" s="9"/>
      <c r="W38" s="9"/>
      <c r="X38" s="9"/>
      <c r="Y38" s="9"/>
      <c r="Z38" s="9"/>
      <c r="AA38" s="9"/>
      <c r="AB38" s="9"/>
    </row>
    <row r="39" spans="1:28">
      <c r="I39" s="9"/>
      <c r="J39" s="9"/>
      <c r="K39" s="9"/>
      <c r="L39" s="9"/>
      <c r="M39" s="9"/>
      <c r="N39" s="9"/>
      <c r="O39" s="9"/>
      <c r="P39" s="9"/>
      <c r="Q39" s="9"/>
      <c r="R39" s="9"/>
      <c r="S39" s="9"/>
      <c r="T39" s="9"/>
      <c r="U39" s="9"/>
      <c r="V39" s="9"/>
      <c r="W39" s="9"/>
      <c r="X39" s="9"/>
      <c r="Y39" s="9"/>
      <c r="Z39" s="9"/>
      <c r="AA39" s="9"/>
      <c r="AB39" s="9"/>
    </row>
    <row r="40" spans="1:28">
      <c r="A40" s="2" t="s">
        <v>197</v>
      </c>
      <c r="D40" s="132">
        <f>SUMPRODUCT(C32:C37,D32:D37)</f>
        <v>1.01</v>
      </c>
      <c r="E40" s="132">
        <f>SUMPRODUCT(C32:C37,E32:E37)</f>
        <v>1.07</v>
      </c>
      <c r="F40" s="132">
        <f>SUMPRODUCT(C32:C37,F32:F37)</f>
        <v>1.0179</v>
      </c>
      <c r="G40" s="132">
        <f>SUMPRODUCT(C32:C37,G32:G37)</f>
        <v>0.95040000000000013</v>
      </c>
      <c r="H40" s="132">
        <f>SUMPRODUCT(C32:C37,H32:H37)</f>
        <v>0.97416000000000014</v>
      </c>
      <c r="I40" s="9"/>
      <c r="J40" s="9"/>
      <c r="K40" s="9"/>
      <c r="L40" s="9"/>
      <c r="M40" s="9"/>
      <c r="N40" s="9"/>
      <c r="O40" s="9"/>
      <c r="P40" s="9"/>
      <c r="Q40" s="9"/>
      <c r="R40" s="9"/>
      <c r="S40" s="9"/>
      <c r="T40" s="9"/>
      <c r="U40" s="9"/>
      <c r="V40" s="9"/>
      <c r="W40" s="9"/>
      <c r="X40" s="9"/>
      <c r="Y40" s="9"/>
      <c r="Z40" s="9"/>
      <c r="AA40" s="9"/>
      <c r="AB40" s="9"/>
    </row>
    <row r="41" spans="1:28">
      <c r="I41" s="9"/>
      <c r="J41" s="9"/>
      <c r="K41" s="9"/>
      <c r="L41" s="9"/>
      <c r="M41" s="9"/>
      <c r="N41" s="9"/>
      <c r="O41" s="9"/>
      <c r="P41" s="9"/>
      <c r="Q41" s="9"/>
      <c r="R41" s="9"/>
      <c r="S41" s="9"/>
      <c r="T41" s="9"/>
      <c r="U41" s="9"/>
      <c r="V41" s="9"/>
      <c r="W41" s="9"/>
      <c r="X41" s="9"/>
      <c r="Y41" s="9"/>
      <c r="Z41" s="9"/>
      <c r="AA41" s="9"/>
      <c r="AB41" s="9"/>
    </row>
    <row r="42" spans="1:28">
      <c r="A42" s="2" t="s">
        <v>253</v>
      </c>
      <c r="D42" s="82">
        <f>C37/D40</f>
        <v>0.98803960396039614</v>
      </c>
      <c r="E42" s="82">
        <f>C37/E40</f>
        <v>0.93263551401869171</v>
      </c>
      <c r="F42" s="82">
        <f>C37/F40</f>
        <v>0.98037135278514598</v>
      </c>
      <c r="G42" s="82">
        <f>C37/G40</f>
        <v>1.05</v>
      </c>
      <c r="H42" s="82">
        <f>C37/H40</f>
        <v>1.024390243902439</v>
      </c>
      <c r="I42" s="9"/>
      <c r="J42" s="9"/>
      <c r="K42" s="9"/>
      <c r="L42" s="9"/>
      <c r="M42" s="9"/>
      <c r="N42" s="9"/>
      <c r="O42" s="9"/>
      <c r="P42" s="9"/>
      <c r="Q42" s="9"/>
      <c r="R42" s="9"/>
      <c r="S42" s="9"/>
      <c r="T42" s="9"/>
      <c r="U42" s="9"/>
      <c r="V42" s="9"/>
      <c r="W42" s="9"/>
      <c r="X42" s="9"/>
      <c r="Y42" s="9"/>
      <c r="Z42" s="9"/>
      <c r="AA42" s="9"/>
      <c r="AB42" s="9"/>
    </row>
    <row r="43" spans="1:28">
      <c r="M43" s="9"/>
      <c r="N43" s="9"/>
    </row>
    <row r="44" spans="1:28">
      <c r="A44" s="1" t="s">
        <v>12</v>
      </c>
      <c r="B44" s="1"/>
      <c r="C44" s="1"/>
      <c r="D44" s="1"/>
      <c r="E44" s="1"/>
      <c r="F44" s="1"/>
      <c r="G44" s="1"/>
      <c r="H44" s="1"/>
      <c r="I44" s="1"/>
      <c r="J44" s="1"/>
      <c r="K44" s="1"/>
      <c r="L44" s="14"/>
      <c r="M44" s="1"/>
      <c r="N44" s="1"/>
      <c r="O44" s="14"/>
      <c r="P44" s="14"/>
    </row>
    <row r="45" spans="1:28">
      <c r="A45" s="1"/>
      <c r="B45" s="1"/>
      <c r="C45" s="1"/>
      <c r="D45" s="1"/>
      <c r="E45" s="1"/>
      <c r="F45" s="1"/>
      <c r="G45" s="1"/>
      <c r="H45" s="1"/>
      <c r="I45" s="1"/>
      <c r="J45" s="1"/>
      <c r="K45" s="1"/>
      <c r="L45" s="14"/>
      <c r="M45" s="1"/>
      <c r="N45" s="1"/>
      <c r="O45" s="14"/>
      <c r="P45" s="14"/>
    </row>
    <row r="46" spans="1:28" ht="31.2">
      <c r="A46" s="1"/>
      <c r="B46" s="5" t="s">
        <v>49</v>
      </c>
      <c r="C46" s="5" t="s">
        <v>47</v>
      </c>
      <c r="D46" s="5" t="s">
        <v>131</v>
      </c>
      <c r="E46" s="1"/>
      <c r="F46" s="1"/>
      <c r="G46" s="1"/>
      <c r="H46" s="1"/>
      <c r="I46" s="1"/>
      <c r="J46" s="1"/>
      <c r="K46" s="1"/>
      <c r="L46" s="14"/>
      <c r="M46" s="1"/>
      <c r="N46" s="1"/>
      <c r="O46" s="14"/>
      <c r="P46" s="14"/>
    </row>
    <row r="47" spans="1:28">
      <c r="A47" s="1"/>
      <c r="B47" s="32">
        <v>2015</v>
      </c>
      <c r="C47" s="92">
        <v>11755570</v>
      </c>
      <c r="D47" s="92">
        <v>8130150</v>
      </c>
      <c r="E47" s="1"/>
      <c r="F47" s="1"/>
      <c r="G47" s="1"/>
      <c r="H47" s="1"/>
      <c r="I47" s="1"/>
      <c r="J47" s="1"/>
      <c r="K47" s="1"/>
      <c r="L47" s="14"/>
      <c r="M47" s="1"/>
      <c r="N47" s="1"/>
      <c r="O47" s="14"/>
      <c r="P47" s="14"/>
    </row>
    <row r="48" spans="1:28">
      <c r="A48" s="1"/>
      <c r="B48" s="32">
        <v>2016</v>
      </c>
      <c r="C48" s="92">
        <v>11864520</v>
      </c>
      <c r="D48" s="92">
        <v>7970110</v>
      </c>
      <c r="E48" s="1"/>
      <c r="F48" s="1"/>
      <c r="G48" s="1"/>
      <c r="H48" s="1"/>
      <c r="I48" s="1"/>
      <c r="J48" s="1"/>
      <c r="K48" s="1"/>
      <c r="L48" s="14"/>
      <c r="M48" s="1"/>
      <c r="N48" s="1"/>
      <c r="O48" s="14"/>
      <c r="P48" s="14"/>
    </row>
    <row r="49" spans="1:16">
      <c r="A49" s="1"/>
      <c r="B49" s="32">
        <v>2017</v>
      </c>
      <c r="C49" s="92">
        <v>12406530</v>
      </c>
      <c r="D49" s="92">
        <v>7781380</v>
      </c>
      <c r="E49" s="1"/>
      <c r="F49" s="1"/>
      <c r="G49" s="1"/>
      <c r="H49" s="1"/>
      <c r="I49" s="1"/>
      <c r="J49" s="1"/>
      <c r="K49" s="1"/>
      <c r="L49" s="14"/>
      <c r="M49" s="1"/>
      <c r="N49" s="1"/>
      <c r="O49" s="14"/>
      <c r="P49" s="14"/>
    </row>
    <row r="50" spans="1:16">
      <c r="A50" s="1"/>
      <c r="B50" s="32">
        <v>2018</v>
      </c>
      <c r="C50" s="92">
        <v>12492860</v>
      </c>
      <c r="D50" s="92">
        <v>8001680</v>
      </c>
      <c r="E50" s="1"/>
      <c r="F50" s="1"/>
      <c r="G50" s="1"/>
      <c r="H50" s="1"/>
      <c r="I50" s="1"/>
      <c r="J50" s="1"/>
      <c r="K50" s="1"/>
      <c r="L50" s="14"/>
      <c r="M50" s="1"/>
      <c r="N50" s="1"/>
      <c r="O50" s="14"/>
      <c r="P50" s="14"/>
    </row>
    <row r="51" spans="1:16">
      <c r="A51" s="1"/>
      <c r="B51" s="32">
        <v>2019</v>
      </c>
      <c r="C51" s="92">
        <v>12394530</v>
      </c>
      <c r="D51" s="92">
        <v>7995960</v>
      </c>
      <c r="E51" s="1"/>
      <c r="F51" s="1"/>
      <c r="G51" s="1"/>
      <c r="H51" s="1"/>
      <c r="I51" s="1"/>
      <c r="J51" s="1"/>
      <c r="K51" s="1"/>
      <c r="L51" s="14"/>
      <c r="M51" s="1"/>
      <c r="N51" s="1"/>
      <c r="O51" s="14"/>
      <c r="P51" s="14"/>
    </row>
    <row r="52" spans="1:16">
      <c r="A52" s="1"/>
      <c r="B52" s="1"/>
      <c r="C52" s="1"/>
      <c r="D52" s="1"/>
      <c r="E52" s="1"/>
      <c r="F52" s="1"/>
      <c r="G52" s="1"/>
      <c r="H52" s="1"/>
      <c r="I52" s="1"/>
      <c r="J52" s="1"/>
      <c r="K52" s="1"/>
      <c r="L52" s="14"/>
      <c r="M52" s="1"/>
      <c r="N52" s="1"/>
      <c r="O52" s="14"/>
      <c r="P52" s="14"/>
    </row>
    <row r="53" spans="1:16">
      <c r="A53" s="1"/>
      <c r="B53" s="16" t="s">
        <v>9</v>
      </c>
      <c r="C53" s="1" t="s">
        <v>254</v>
      </c>
      <c r="D53" s="1"/>
      <c r="E53" s="1"/>
      <c r="F53" s="1"/>
      <c r="G53" s="1"/>
      <c r="H53" s="1"/>
      <c r="I53" s="1"/>
      <c r="J53" s="1"/>
      <c r="K53" s="1"/>
      <c r="L53" s="14"/>
      <c r="M53" s="1"/>
      <c r="N53" s="1"/>
      <c r="O53" s="14"/>
      <c r="P53" s="14"/>
    </row>
    <row r="54" spans="1:16">
      <c r="A54" s="1"/>
      <c r="B54" s="16" t="s">
        <v>9</v>
      </c>
      <c r="C54" s="1" t="s">
        <v>255</v>
      </c>
      <c r="D54" s="1"/>
      <c r="E54" s="1"/>
      <c r="F54" s="1"/>
      <c r="G54" s="1"/>
      <c r="H54" s="1"/>
      <c r="I54" s="1"/>
      <c r="J54" s="1"/>
      <c r="K54" s="1"/>
      <c r="L54" s="14"/>
      <c r="M54" s="1"/>
      <c r="N54" s="1"/>
      <c r="O54" s="14"/>
      <c r="P54" s="14"/>
    </row>
    <row r="55" spans="1:16">
      <c r="A55" s="1"/>
      <c r="B55" s="16" t="s">
        <v>9</v>
      </c>
      <c r="C55" s="1" t="s">
        <v>256</v>
      </c>
      <c r="D55" s="1"/>
      <c r="E55" s="1"/>
      <c r="F55" s="1"/>
      <c r="G55" s="1"/>
      <c r="H55" s="1"/>
      <c r="I55" s="1"/>
      <c r="J55" s="1"/>
      <c r="K55" s="1"/>
      <c r="L55" s="14"/>
      <c r="M55" s="1"/>
      <c r="N55" s="1"/>
      <c r="O55" s="14"/>
      <c r="P55" s="14"/>
    </row>
    <row r="56" spans="1:16">
      <c r="A56" s="1"/>
      <c r="B56" s="16" t="s">
        <v>9</v>
      </c>
      <c r="C56" s="1" t="s">
        <v>257</v>
      </c>
      <c r="D56" s="1"/>
      <c r="E56" s="1"/>
      <c r="F56" s="1"/>
      <c r="G56" s="1"/>
      <c r="H56" s="1"/>
      <c r="I56" s="1"/>
      <c r="J56" s="1"/>
      <c r="K56" s="1"/>
      <c r="L56" s="14"/>
      <c r="M56" s="1"/>
      <c r="N56" s="1"/>
      <c r="O56" s="14"/>
      <c r="P56" s="14"/>
    </row>
    <row r="57" spans="1:16">
      <c r="A57" s="1"/>
      <c r="B57" s="16" t="s">
        <v>9</v>
      </c>
      <c r="C57" s="831" t="s">
        <v>258</v>
      </c>
      <c r="D57" s="840"/>
      <c r="E57" s="840"/>
      <c r="F57" s="840"/>
      <c r="G57" s="840"/>
      <c r="H57" s="840"/>
      <c r="I57" s="840"/>
      <c r="J57" s="840"/>
      <c r="K57" s="840"/>
      <c r="L57" s="840"/>
      <c r="M57" s="1"/>
      <c r="N57" s="1"/>
      <c r="O57" s="14"/>
      <c r="P57" s="14"/>
    </row>
    <row r="58" spans="1:16">
      <c r="A58" s="1"/>
      <c r="B58" s="1"/>
      <c r="C58" s="840"/>
      <c r="D58" s="840"/>
      <c r="E58" s="840"/>
      <c r="F58" s="840"/>
      <c r="G58" s="840"/>
      <c r="H58" s="840"/>
      <c r="I58" s="840"/>
      <c r="J58" s="840"/>
      <c r="K58" s="840"/>
      <c r="L58" s="840"/>
      <c r="M58" s="1"/>
      <c r="N58" s="1"/>
      <c r="O58" s="14"/>
      <c r="P58" s="14"/>
    </row>
    <row r="59" spans="1:16">
      <c r="A59" s="1"/>
      <c r="B59" s="1"/>
      <c r="C59" s="1"/>
      <c r="D59" s="1"/>
      <c r="E59" s="1"/>
      <c r="F59" s="1"/>
      <c r="G59" s="1"/>
      <c r="H59" s="1"/>
      <c r="I59" s="1"/>
      <c r="J59" s="1"/>
      <c r="K59" s="1"/>
      <c r="L59" s="1"/>
      <c r="M59" s="1"/>
      <c r="N59" s="1"/>
      <c r="O59" s="14"/>
      <c r="P59" s="14"/>
    </row>
    <row r="61" spans="1:16">
      <c r="A61" s="17" t="s">
        <v>133</v>
      </c>
      <c r="B61" s="1" t="s">
        <v>259</v>
      </c>
      <c r="C61" s="1"/>
      <c r="D61" s="1"/>
      <c r="E61" s="1"/>
      <c r="F61" s="1"/>
      <c r="G61" s="1"/>
      <c r="H61" s="1"/>
      <c r="I61" s="1"/>
      <c r="J61" s="1"/>
      <c r="K61" s="1"/>
      <c r="L61" s="1"/>
      <c r="M61" s="14"/>
      <c r="N61" s="14"/>
      <c r="O61" s="14"/>
      <c r="P61" s="14"/>
    </row>
    <row r="62" spans="1:16">
      <c r="A62" s="14"/>
      <c r="B62" s="14"/>
      <c r="C62" s="14"/>
      <c r="D62" s="14"/>
      <c r="E62" s="14"/>
      <c r="F62" s="14"/>
      <c r="G62" s="1"/>
      <c r="H62" s="1"/>
      <c r="I62" s="1"/>
      <c r="J62" s="1"/>
      <c r="K62" s="1"/>
      <c r="L62" s="1"/>
      <c r="M62" s="14"/>
      <c r="N62" s="14"/>
      <c r="O62" s="14"/>
      <c r="P62" s="14"/>
    </row>
    <row r="63" spans="1:16">
      <c r="A63" s="3"/>
      <c r="B63" s="3"/>
      <c r="C63" s="3"/>
      <c r="D63" s="3"/>
      <c r="E63" s="3"/>
      <c r="F63" s="3"/>
      <c r="G63" s="3"/>
      <c r="H63" s="3"/>
      <c r="I63" s="3"/>
      <c r="J63" s="3"/>
      <c r="K63" s="3"/>
      <c r="L63" s="3"/>
    </row>
    <row r="64" spans="1:16">
      <c r="A64" s="3" t="s">
        <v>20</v>
      </c>
      <c r="B64" s="3"/>
      <c r="C64" s="3"/>
      <c r="D64" s="3"/>
      <c r="E64" s="3"/>
      <c r="F64" s="3"/>
      <c r="G64" s="3"/>
      <c r="H64" s="3"/>
      <c r="I64" s="3"/>
      <c r="J64" s="3"/>
      <c r="K64" s="3"/>
      <c r="L64" s="3"/>
    </row>
    <row r="65" spans="1:12">
      <c r="A65" s="3"/>
      <c r="B65" s="3"/>
      <c r="C65" s="3"/>
      <c r="D65" s="3"/>
      <c r="E65" s="3"/>
      <c r="F65" s="3"/>
      <c r="G65" s="3"/>
      <c r="H65" s="3"/>
      <c r="I65" s="3"/>
      <c r="J65" s="3"/>
      <c r="K65" s="3"/>
      <c r="L65" s="3"/>
    </row>
    <row r="66" spans="1:12">
      <c r="A66" s="3"/>
      <c r="B66" s="2" t="s">
        <v>260</v>
      </c>
      <c r="L66" s="170"/>
    </row>
    <row r="67" spans="1:12">
      <c r="A67" s="3"/>
      <c r="B67" s="3" t="s">
        <v>261</v>
      </c>
      <c r="C67" s="3"/>
      <c r="D67" s="3"/>
      <c r="E67" s="3"/>
      <c r="G67" s="171">
        <v>44501</v>
      </c>
      <c r="L67" s="172"/>
    </row>
    <row r="68" spans="1:12">
      <c r="A68" s="3"/>
      <c r="L68" s="172"/>
    </row>
    <row r="69" spans="1:12">
      <c r="A69" s="3"/>
      <c r="G69" s="34" t="s">
        <v>262</v>
      </c>
    </row>
    <row r="70" spans="1:12">
      <c r="A70" s="3"/>
      <c r="C70" s="34" t="s">
        <v>263</v>
      </c>
      <c r="E70" s="173" t="s">
        <v>264</v>
      </c>
      <c r="F70" s="173"/>
      <c r="G70" s="34" t="s">
        <v>265</v>
      </c>
    </row>
    <row r="71" spans="1:12">
      <c r="A71" s="3"/>
      <c r="B71" s="34" t="s">
        <v>53</v>
      </c>
      <c r="C71" s="34" t="s">
        <v>266</v>
      </c>
      <c r="D71" s="34" t="s">
        <v>267</v>
      </c>
      <c r="E71" s="34" t="s">
        <v>268</v>
      </c>
      <c r="G71" s="34" t="s">
        <v>269</v>
      </c>
    </row>
    <row r="72" spans="1:12">
      <c r="A72" s="3"/>
      <c r="B72" s="35" t="s">
        <v>55</v>
      </c>
      <c r="C72" s="35" t="s">
        <v>270</v>
      </c>
      <c r="D72" s="35" t="s">
        <v>271</v>
      </c>
      <c r="E72" s="174">
        <v>0.01</v>
      </c>
      <c r="F72" s="35" t="s">
        <v>272</v>
      </c>
      <c r="G72" s="35" t="s">
        <v>193</v>
      </c>
    </row>
    <row r="73" spans="1:12">
      <c r="A73" s="3"/>
      <c r="B73" s="34">
        <v>2015</v>
      </c>
      <c r="C73" s="160">
        <f>(YEAR($G$67)+(MONTH($G$67)-1)/12)-(B73+0.5)</f>
        <v>6.3333333333332575</v>
      </c>
      <c r="D73" s="83">
        <f>C47</f>
        <v>11755570</v>
      </c>
      <c r="E73" s="82">
        <f>(1+$E$72)^C73</f>
        <v>1.0650468215269371</v>
      </c>
      <c r="F73" s="89">
        <f>HLOOKUP(B73,$D$31:$H$42,12,)</f>
        <v>0.98803960396039614</v>
      </c>
      <c r="G73" s="83">
        <f>PRODUCT(D73:F73)</f>
        <v>12370485.524963211</v>
      </c>
    </row>
    <row r="74" spans="1:12">
      <c r="A74" s="3"/>
      <c r="B74" s="34">
        <v>2016</v>
      </c>
      <c r="C74" s="160">
        <f>(YEAR($G$67)+(MONTH($G$67)-1)/12)-(B74+0.5)</f>
        <v>5.3333333333332575</v>
      </c>
      <c r="D74" s="83">
        <f t="shared" ref="D74:D77" si="1">C48</f>
        <v>11864520</v>
      </c>
      <c r="E74" s="82">
        <f t="shared" ref="E74:E77" si="2">(1+$E$72)^C74</f>
        <v>1.0545018034920168</v>
      </c>
      <c r="F74" s="89">
        <f t="shared" ref="F74:F77" si="3">HLOOKUP(B74,$D$31:$H$42,12,)</f>
        <v>0.93263551401869171</v>
      </c>
      <c r="G74" s="83">
        <f t="shared" ref="G74:G77" si="4">PRODUCT(D74:F74)</f>
        <v>11668350.027544828</v>
      </c>
    </row>
    <row r="75" spans="1:12">
      <c r="A75" s="3"/>
      <c r="B75" s="34">
        <v>2017</v>
      </c>
      <c r="C75" s="160">
        <f>(YEAR($G$67)+(MONTH($G$67)-1)/12)-(B75+0.5)</f>
        <v>4.3333333333332575</v>
      </c>
      <c r="D75" s="83">
        <f t="shared" si="1"/>
        <v>12406530</v>
      </c>
      <c r="E75" s="82">
        <f t="shared" si="2"/>
        <v>1.0440611915762543</v>
      </c>
      <c r="F75" s="89">
        <f t="shared" si="3"/>
        <v>0.98037135278514598</v>
      </c>
      <c r="G75" s="83">
        <f t="shared" si="4"/>
        <v>12698923.163391968</v>
      </c>
    </row>
    <row r="76" spans="1:12">
      <c r="A76" s="3"/>
      <c r="B76" s="34">
        <v>2018</v>
      </c>
      <c r="C76" s="160">
        <f>(YEAR($G$67)+(MONTH($G$67)-1)/12)-(B76+0.5)</f>
        <v>3.3333333333332575</v>
      </c>
      <c r="D76" s="83">
        <f t="shared" si="1"/>
        <v>12492860</v>
      </c>
      <c r="E76" s="82">
        <f t="shared" si="2"/>
        <v>1.0337239520556973</v>
      </c>
      <c r="F76" s="89">
        <f t="shared" si="3"/>
        <v>1.05</v>
      </c>
      <c r="G76" s="83">
        <f t="shared" si="4"/>
        <v>13559877.042262467</v>
      </c>
    </row>
    <row r="77" spans="1:12">
      <c r="A77" s="3"/>
      <c r="B77" s="35">
        <v>2019</v>
      </c>
      <c r="C77" s="175">
        <f>(YEAR($G$67)+(MONTH($G$67)-1)/12)-(B77+0.5)</f>
        <v>2.3333333333332575</v>
      </c>
      <c r="D77" s="86">
        <f t="shared" si="1"/>
        <v>12394530</v>
      </c>
      <c r="E77" s="85">
        <f t="shared" si="2"/>
        <v>1.0234890614412844</v>
      </c>
      <c r="F77" s="90">
        <f t="shared" si="3"/>
        <v>1.024390243902439</v>
      </c>
      <c r="G77" s="86">
        <f t="shared" si="4"/>
        <v>12995072.361503545</v>
      </c>
    </row>
    <row r="78" spans="1:12">
      <c r="A78" s="3"/>
      <c r="B78" s="3"/>
      <c r="C78" s="3"/>
      <c r="D78" s="3"/>
      <c r="E78" s="3"/>
      <c r="F78" s="3"/>
      <c r="G78" s="3"/>
      <c r="H78" s="3"/>
      <c r="I78" s="3"/>
      <c r="J78" s="3"/>
      <c r="K78" s="3"/>
      <c r="L78" s="3"/>
    </row>
    <row r="79" spans="1:12">
      <c r="A79" s="3"/>
      <c r="B79" s="3"/>
      <c r="D79" s="34" t="s">
        <v>273</v>
      </c>
      <c r="E79" s="34"/>
      <c r="H79" s="3"/>
      <c r="I79" s="3"/>
      <c r="J79" s="3"/>
      <c r="K79" s="3"/>
      <c r="L79" s="3"/>
    </row>
    <row r="80" spans="1:12">
      <c r="A80" s="3"/>
      <c r="B80" s="3"/>
      <c r="D80" s="34" t="s">
        <v>274</v>
      </c>
      <c r="E80" s="34" t="s">
        <v>275</v>
      </c>
      <c r="G80" s="34" t="s">
        <v>262</v>
      </c>
      <c r="H80" s="3"/>
      <c r="I80" s="3"/>
      <c r="J80" s="3"/>
      <c r="K80" s="3"/>
      <c r="L80" s="3"/>
    </row>
    <row r="81" spans="1:16">
      <c r="A81" s="3"/>
      <c r="B81" s="34" t="s">
        <v>53</v>
      </c>
      <c r="C81" s="34" t="s">
        <v>276</v>
      </c>
      <c r="D81" s="34" t="s">
        <v>277</v>
      </c>
      <c r="E81" s="34" t="s">
        <v>278</v>
      </c>
      <c r="F81" s="34" t="s">
        <v>262</v>
      </c>
      <c r="G81" s="34" t="s">
        <v>279</v>
      </c>
      <c r="H81" s="3"/>
      <c r="I81" s="3"/>
      <c r="J81" s="3"/>
      <c r="K81" s="3"/>
      <c r="L81" s="3"/>
    </row>
    <row r="82" spans="1:16">
      <c r="A82" s="3"/>
      <c r="B82" s="35" t="s">
        <v>55</v>
      </c>
      <c r="C82" s="35" t="s">
        <v>124</v>
      </c>
      <c r="D82" s="111">
        <v>0.04</v>
      </c>
      <c r="E82" s="111" t="s">
        <v>280</v>
      </c>
      <c r="F82" s="35" t="s">
        <v>124</v>
      </c>
      <c r="G82" s="35" t="s">
        <v>281</v>
      </c>
      <c r="H82" s="3"/>
      <c r="I82" s="3"/>
      <c r="J82" s="3"/>
      <c r="K82" s="3"/>
      <c r="L82" s="3"/>
    </row>
    <row r="83" spans="1:16">
      <c r="A83" s="3"/>
      <c r="B83" s="34">
        <v>2015</v>
      </c>
      <c r="C83" s="83">
        <f>D47</f>
        <v>8130150</v>
      </c>
      <c r="D83" s="82">
        <f>(1+$D$82)^C73</f>
        <v>1.2819698624217357</v>
      </c>
      <c r="E83" s="176">
        <v>0.8</v>
      </c>
      <c r="F83" s="83">
        <f>PRODUCT(C83:E83)</f>
        <v>8338085.8215744607</v>
      </c>
      <c r="G83" s="177">
        <f>F83/G73</f>
        <v>0.67403060330562548</v>
      </c>
      <c r="H83" s="3"/>
      <c r="I83" s="3"/>
      <c r="J83" s="3"/>
      <c r="K83" s="3"/>
      <c r="L83" s="3"/>
    </row>
    <row r="84" spans="1:16">
      <c r="A84" s="3"/>
      <c r="B84" s="34">
        <v>2016</v>
      </c>
      <c r="C84" s="83">
        <f>D48</f>
        <v>7970110</v>
      </c>
      <c r="D84" s="82">
        <f t="shared" ref="D84:D87" si="5">(1+$D$82)^C74</f>
        <v>1.2326633292516689</v>
      </c>
      <c r="E84" s="176">
        <v>0.8</v>
      </c>
      <c r="F84" s="83">
        <f t="shared" ref="F84:F87" si="6">PRODUCT(C84:E84)</f>
        <v>7859569.861681615</v>
      </c>
      <c r="G84" s="177">
        <f>F84/G74</f>
        <v>0.67358022712105514</v>
      </c>
      <c r="H84" s="3"/>
      <c r="I84" s="3"/>
      <c r="J84" s="3"/>
      <c r="K84" s="3"/>
      <c r="L84" s="3"/>
    </row>
    <row r="85" spans="1:16">
      <c r="A85" s="3"/>
      <c r="B85" s="34">
        <v>2017</v>
      </c>
      <c r="C85" s="83">
        <f>D49</f>
        <v>7781380</v>
      </c>
      <c r="D85" s="82">
        <f t="shared" si="5"/>
        <v>1.1852532012035277</v>
      </c>
      <c r="E85" s="176">
        <v>0.9</v>
      </c>
      <c r="F85" s="83">
        <f t="shared" si="6"/>
        <v>8300614.9993029963</v>
      </c>
      <c r="G85" s="177">
        <f>F85/G75</f>
        <v>0.65364715515656735</v>
      </c>
      <c r="H85" s="3"/>
      <c r="I85" s="3"/>
      <c r="J85" s="3"/>
      <c r="K85" s="3"/>
      <c r="L85" s="3"/>
    </row>
    <row r="86" spans="1:16">
      <c r="B86" s="34">
        <v>2018</v>
      </c>
      <c r="C86" s="83">
        <f>D50</f>
        <v>8001680</v>
      </c>
      <c r="D86" s="82">
        <f t="shared" si="5"/>
        <v>1.1396665396187766</v>
      </c>
      <c r="E86" s="176">
        <v>1</v>
      </c>
      <c r="F86" s="83">
        <f t="shared" si="6"/>
        <v>9119246.9567367733</v>
      </c>
      <c r="G86" s="177">
        <f>F86/G76</f>
        <v>0.67251693568566651</v>
      </c>
      <c r="M86" s="3"/>
    </row>
    <row r="87" spans="1:16">
      <c r="B87" s="35">
        <v>2019</v>
      </c>
      <c r="C87" s="86">
        <f>D51</f>
        <v>7995960</v>
      </c>
      <c r="D87" s="85">
        <f t="shared" si="5"/>
        <v>1.0958332111719005</v>
      </c>
      <c r="E87" s="178">
        <v>1</v>
      </c>
      <c r="F87" s="86">
        <f t="shared" si="6"/>
        <v>8762238.5232020691</v>
      </c>
      <c r="G87" s="179">
        <f>F87/G77</f>
        <v>0.67427393087546206</v>
      </c>
      <c r="M87" s="3"/>
    </row>
    <row r="89" spans="1:16">
      <c r="A89" s="17" t="s">
        <v>18</v>
      </c>
      <c r="B89" s="1" t="s">
        <v>282</v>
      </c>
      <c r="C89" s="1"/>
      <c r="D89" s="1"/>
      <c r="E89" s="1"/>
      <c r="F89" s="1"/>
      <c r="G89" s="1"/>
      <c r="H89" s="1"/>
      <c r="I89" s="1"/>
      <c r="J89" s="1"/>
      <c r="K89" s="1"/>
      <c r="L89" s="1"/>
      <c r="M89" s="14"/>
      <c r="N89" s="14"/>
      <c r="O89" s="14"/>
      <c r="P89" s="14"/>
    </row>
    <row r="90" spans="1:16">
      <c r="A90" s="14"/>
      <c r="B90" s="14"/>
      <c r="C90" s="14"/>
      <c r="D90" s="14"/>
      <c r="E90" s="14"/>
      <c r="F90" s="14"/>
      <c r="G90" s="1"/>
      <c r="H90" s="1"/>
      <c r="I90" s="1"/>
      <c r="J90" s="1"/>
      <c r="K90" s="1"/>
      <c r="L90" s="1"/>
      <c r="M90" s="14"/>
      <c r="N90" s="14"/>
      <c r="O90" s="14"/>
      <c r="P90" s="14"/>
    </row>
    <row r="91" spans="1:16">
      <c r="A91" s="3"/>
      <c r="B91" s="3"/>
      <c r="C91" s="3"/>
      <c r="D91" s="3"/>
      <c r="E91" s="3"/>
      <c r="F91" s="3"/>
      <c r="G91" s="3"/>
      <c r="H91" s="3"/>
      <c r="I91" s="3"/>
      <c r="J91" s="3"/>
      <c r="K91" s="3"/>
      <c r="L91" s="3"/>
    </row>
    <row r="92" spans="1:16">
      <c r="A92" s="3" t="s">
        <v>20</v>
      </c>
      <c r="B92" s="3"/>
      <c r="C92" s="3"/>
      <c r="D92" s="3"/>
      <c r="E92" s="3"/>
      <c r="F92" s="3"/>
      <c r="G92" s="3"/>
      <c r="H92" s="3"/>
      <c r="I92" s="3"/>
      <c r="J92" s="3"/>
      <c r="K92" s="3"/>
      <c r="L92" s="3"/>
    </row>
    <row r="93" spans="1:16">
      <c r="A93" s="3"/>
      <c r="C93" s="34" t="s">
        <v>262</v>
      </c>
      <c r="D93" s="34" t="s">
        <v>53</v>
      </c>
      <c r="F93" s="3"/>
      <c r="G93" s="3"/>
      <c r="H93" s="3"/>
      <c r="I93" s="3"/>
      <c r="J93" s="3"/>
      <c r="K93" s="3"/>
      <c r="L93" s="3"/>
    </row>
    <row r="94" spans="1:16">
      <c r="A94" s="3"/>
      <c r="B94" s="34" t="s">
        <v>53</v>
      </c>
      <c r="C94" s="34" t="s">
        <v>279</v>
      </c>
      <c r="D94" s="34" t="s">
        <v>55</v>
      </c>
      <c r="F94" s="3"/>
      <c r="G94" s="3"/>
      <c r="H94" s="3"/>
      <c r="I94" s="3"/>
      <c r="J94" s="3"/>
      <c r="K94" s="3"/>
      <c r="L94" s="3"/>
    </row>
    <row r="95" spans="1:16">
      <c r="B95" s="35" t="s">
        <v>55</v>
      </c>
      <c r="C95" s="35" t="s">
        <v>281</v>
      </c>
      <c r="D95" s="35" t="s">
        <v>283</v>
      </c>
    </row>
    <row r="96" spans="1:16">
      <c r="B96" s="180">
        <v>2015</v>
      </c>
      <c r="C96" s="177">
        <f>G83</f>
        <v>0.67403060330562548</v>
      </c>
      <c r="D96" s="181">
        <v>0.1</v>
      </c>
    </row>
    <row r="97" spans="1:16">
      <c r="B97" s="180">
        <v>2016</v>
      </c>
      <c r="C97" s="177">
        <f t="shared" ref="C97:C100" si="7">G84</f>
        <v>0.67358022712105514</v>
      </c>
      <c r="D97" s="181">
        <v>0.15</v>
      </c>
      <c r="M97" s="3"/>
      <c r="N97" s="3"/>
    </row>
    <row r="98" spans="1:16">
      <c r="B98" s="180">
        <v>2017</v>
      </c>
      <c r="C98" s="177">
        <f t="shared" si="7"/>
        <v>0.65364715515656735</v>
      </c>
      <c r="D98" s="181">
        <v>0.2</v>
      </c>
      <c r="M98" s="3"/>
      <c r="N98" s="3"/>
    </row>
    <row r="99" spans="1:16">
      <c r="B99" s="180">
        <v>2018</v>
      </c>
      <c r="C99" s="177">
        <f t="shared" si="7"/>
        <v>0.67251693568566651</v>
      </c>
      <c r="D99" s="181">
        <v>0.25</v>
      </c>
      <c r="M99" s="3"/>
      <c r="N99" s="3"/>
    </row>
    <row r="100" spans="1:16">
      <c r="B100" s="182">
        <v>2019</v>
      </c>
      <c r="C100" s="179">
        <f t="shared" si="7"/>
        <v>0.67427393087546206</v>
      </c>
      <c r="D100" s="183">
        <v>0.3</v>
      </c>
    </row>
    <row r="101" spans="1:16">
      <c r="D101" s="181">
        <f>SUM(D96:D100)</f>
        <v>1</v>
      </c>
    </row>
    <row r="103" spans="1:16">
      <c r="B103" s="2" t="s">
        <v>284</v>
      </c>
      <c r="E103" s="177">
        <f>SUMPRODUCT(C96:C100,D96:D100)</f>
        <v>0.66958093861408952</v>
      </c>
    </row>
    <row r="104" spans="1:16">
      <c r="C104" s="2" t="s">
        <v>285</v>
      </c>
      <c r="E104" s="177"/>
    </row>
    <row r="106" spans="1:16">
      <c r="A106" s="1" t="s">
        <v>12</v>
      </c>
      <c r="B106" s="1"/>
      <c r="C106" s="1"/>
      <c r="D106" s="1"/>
      <c r="E106" s="1"/>
      <c r="F106" s="1"/>
      <c r="G106" s="1"/>
      <c r="H106" s="1"/>
      <c r="I106" s="1"/>
      <c r="J106" s="1"/>
      <c r="K106" s="1"/>
      <c r="L106" s="14"/>
      <c r="M106" s="14"/>
      <c r="N106" s="14"/>
      <c r="O106" s="14"/>
      <c r="P106" s="14"/>
    </row>
    <row r="107" spans="1:16">
      <c r="A107" s="1"/>
      <c r="B107" s="1"/>
      <c r="C107" s="1"/>
      <c r="D107" s="1"/>
      <c r="E107" s="1"/>
      <c r="F107" s="1"/>
      <c r="G107" s="1"/>
      <c r="H107" s="1"/>
      <c r="I107" s="1"/>
      <c r="J107" s="1"/>
      <c r="K107" s="1"/>
      <c r="L107" s="14"/>
      <c r="M107" s="14"/>
      <c r="N107" s="14"/>
      <c r="O107" s="14"/>
      <c r="P107" s="14"/>
    </row>
    <row r="108" spans="1:16">
      <c r="A108" s="1"/>
      <c r="B108" s="16" t="s">
        <v>9</v>
      </c>
      <c r="C108" s="1" t="s">
        <v>286</v>
      </c>
      <c r="D108" s="1"/>
      <c r="E108" s="1"/>
      <c r="F108" s="1"/>
      <c r="G108" s="1"/>
      <c r="H108" s="1"/>
      <c r="I108" s="1"/>
      <c r="J108" s="1"/>
      <c r="K108" s="1"/>
      <c r="L108" s="14"/>
      <c r="M108" s="14"/>
      <c r="N108" s="14"/>
      <c r="O108" s="14"/>
      <c r="P108" s="14"/>
    </row>
    <row r="109" spans="1:16">
      <c r="A109" s="1"/>
      <c r="B109" s="16" t="s">
        <v>9</v>
      </c>
      <c r="C109" s="1" t="s">
        <v>287</v>
      </c>
      <c r="D109" s="1"/>
      <c r="E109" s="1"/>
      <c r="F109" s="1"/>
      <c r="G109" s="1"/>
      <c r="H109" s="1"/>
      <c r="I109" s="1"/>
      <c r="J109" s="1"/>
      <c r="K109" s="1"/>
      <c r="L109" s="14"/>
      <c r="M109" s="14"/>
      <c r="N109" s="14"/>
      <c r="O109" s="14"/>
      <c r="P109" s="14"/>
    </row>
    <row r="110" spans="1:16">
      <c r="A110" s="1"/>
      <c r="B110" s="16" t="s">
        <v>9</v>
      </c>
      <c r="C110" s="1" t="s">
        <v>288</v>
      </c>
      <c r="D110" s="1"/>
      <c r="E110" s="1"/>
      <c r="F110" s="1"/>
      <c r="G110" s="1"/>
      <c r="H110" s="1"/>
      <c r="I110" s="1"/>
      <c r="J110" s="1"/>
      <c r="K110" s="1"/>
      <c r="L110" s="14"/>
      <c r="M110" s="14"/>
      <c r="N110" s="14"/>
      <c r="O110" s="14"/>
      <c r="P110" s="14"/>
    </row>
    <row r="111" spans="1:16">
      <c r="A111" s="1"/>
      <c r="B111" s="16" t="s">
        <v>9</v>
      </c>
      <c r="C111" s="1" t="s">
        <v>289</v>
      </c>
      <c r="D111" s="1"/>
      <c r="E111" s="1"/>
      <c r="F111" s="1"/>
      <c r="G111" s="1"/>
      <c r="H111" s="1"/>
      <c r="I111" s="1"/>
      <c r="J111" s="1"/>
      <c r="K111" s="1"/>
      <c r="L111" s="14"/>
      <c r="M111" s="14"/>
      <c r="N111" s="14"/>
      <c r="O111" s="14"/>
      <c r="P111" s="14"/>
    </row>
    <row r="112" spans="1:16">
      <c r="A112" s="1"/>
      <c r="B112" s="1"/>
      <c r="C112" s="1"/>
      <c r="D112" s="1"/>
      <c r="E112" s="1"/>
      <c r="F112" s="1"/>
      <c r="G112" s="1"/>
      <c r="H112" s="1"/>
      <c r="I112" s="1"/>
      <c r="J112" s="1"/>
      <c r="K112" s="1"/>
      <c r="L112" s="14"/>
      <c r="M112" s="14"/>
      <c r="N112" s="14"/>
      <c r="O112" s="14"/>
      <c r="P112" s="14"/>
    </row>
    <row r="114" spans="1:16">
      <c r="A114" s="17" t="s">
        <v>25</v>
      </c>
      <c r="B114" s="1" t="s">
        <v>290</v>
      </c>
      <c r="C114" s="1"/>
      <c r="D114" s="1"/>
      <c r="E114" s="1"/>
      <c r="F114" s="1"/>
      <c r="G114" s="1"/>
      <c r="H114" s="1"/>
      <c r="I114" s="1"/>
      <c r="J114" s="1"/>
      <c r="K114" s="1"/>
      <c r="L114" s="1"/>
      <c r="M114" s="14"/>
      <c r="N114" s="14"/>
      <c r="O114" s="14"/>
      <c r="P114" s="14"/>
    </row>
    <row r="115" spans="1:16">
      <c r="A115" s="14"/>
      <c r="B115" s="14"/>
      <c r="C115" s="14"/>
      <c r="D115" s="14"/>
      <c r="E115" s="14"/>
      <c r="F115" s="14"/>
      <c r="G115" s="1"/>
      <c r="H115" s="1"/>
      <c r="I115" s="1"/>
      <c r="J115" s="1"/>
      <c r="K115" s="1"/>
      <c r="L115" s="1"/>
      <c r="M115" s="14"/>
      <c r="N115" s="14"/>
      <c r="O115" s="14"/>
      <c r="P115" s="14"/>
    </row>
    <row r="116" spans="1:16">
      <c r="A116" s="3"/>
      <c r="B116" s="3"/>
      <c r="C116" s="3"/>
      <c r="D116" s="3"/>
      <c r="E116" s="3"/>
      <c r="F116" s="3"/>
      <c r="G116" s="3"/>
      <c r="H116" s="3"/>
      <c r="I116" s="3"/>
      <c r="J116" s="3"/>
      <c r="K116" s="3"/>
      <c r="L116" s="3"/>
    </row>
    <row r="117" spans="1:16">
      <c r="A117" s="3" t="s">
        <v>20</v>
      </c>
      <c r="B117" s="3"/>
      <c r="C117" s="3"/>
      <c r="D117" s="3"/>
      <c r="E117" s="3"/>
      <c r="F117" s="3"/>
      <c r="G117" s="3"/>
      <c r="H117" s="3"/>
      <c r="I117" s="3"/>
      <c r="J117" s="3"/>
      <c r="K117" s="3"/>
      <c r="L117" s="3"/>
    </row>
    <row r="118" spans="1:16">
      <c r="A118" s="3"/>
      <c r="B118" s="3"/>
      <c r="C118" s="3"/>
      <c r="D118" s="3"/>
      <c r="E118" s="3"/>
      <c r="F118" s="3"/>
      <c r="G118" s="3"/>
      <c r="H118" s="3"/>
      <c r="I118" s="3"/>
      <c r="J118" s="3"/>
      <c r="K118" s="3"/>
      <c r="L118" s="3"/>
    </row>
    <row r="119" spans="1:16">
      <c r="A119" s="2" t="s">
        <v>291</v>
      </c>
      <c r="F119" s="10">
        <f>E103</f>
        <v>0.66958093861408952</v>
      </c>
      <c r="I119" s="3"/>
      <c r="J119" s="3"/>
      <c r="K119" s="3"/>
      <c r="L119" s="3"/>
    </row>
    <row r="120" spans="1:16">
      <c r="A120" s="2" t="s">
        <v>292</v>
      </c>
      <c r="F120" s="10">
        <v>0.1</v>
      </c>
      <c r="I120" s="3"/>
      <c r="J120" s="3"/>
      <c r="K120" s="3"/>
      <c r="L120" s="3"/>
    </row>
    <row r="121" spans="1:16">
      <c r="A121" s="2" t="s">
        <v>293</v>
      </c>
      <c r="F121" s="10">
        <f>F119*(1+F120)</f>
        <v>0.73653903247549857</v>
      </c>
      <c r="I121" s="3"/>
      <c r="J121" s="3"/>
      <c r="K121" s="3"/>
      <c r="L121" s="3"/>
    </row>
    <row r="122" spans="1:16">
      <c r="A122" s="2" t="s">
        <v>294</v>
      </c>
      <c r="F122" s="10">
        <v>0.06</v>
      </c>
      <c r="K122" s="3"/>
      <c r="L122" s="3"/>
    </row>
    <row r="123" spans="1:16">
      <c r="A123" s="2" t="s">
        <v>295</v>
      </c>
      <c r="F123" s="10">
        <v>0.19</v>
      </c>
    </row>
    <row r="124" spans="1:16">
      <c r="A124" s="2" t="s">
        <v>296</v>
      </c>
      <c r="F124" s="10">
        <v>0.05</v>
      </c>
    </row>
    <row r="125" spans="1:16">
      <c r="A125" s="2" t="s">
        <v>297</v>
      </c>
      <c r="F125" s="10">
        <f>(1-F123-F124)/(1+F122/F121)</f>
        <v>0.70275233461154629</v>
      </c>
    </row>
    <row r="126" spans="1:16">
      <c r="A126" s="2" t="s">
        <v>298</v>
      </c>
      <c r="F126" s="10">
        <f>F121/F125-1</f>
        <v>4.8077674309866536E-2</v>
      </c>
    </row>
    <row r="128" spans="1:16">
      <c r="A128" s="15" t="s">
        <v>28</v>
      </c>
      <c r="B128" s="14"/>
      <c r="C128" s="14"/>
      <c r="D128" s="14"/>
      <c r="E128" s="14"/>
      <c r="F128" s="14"/>
      <c r="G128" s="14"/>
      <c r="H128" s="14"/>
      <c r="I128" s="14"/>
      <c r="J128" s="14"/>
      <c r="K128" s="14"/>
      <c r="L128" s="14"/>
      <c r="M128" s="14"/>
      <c r="N128" s="14"/>
      <c r="O128" s="14"/>
      <c r="P128" s="14"/>
    </row>
  </sheetData>
  <mergeCells count="13">
    <mergeCell ref="C57:L58"/>
    <mergeCell ref="C14:L15"/>
    <mergeCell ref="I24:L24"/>
    <mergeCell ref="M24:P24"/>
    <mergeCell ref="Q24:T24"/>
    <mergeCell ref="U24:X24"/>
    <mergeCell ref="Y24:AB24"/>
    <mergeCell ref="B5:D5"/>
    <mergeCell ref="B6:C6"/>
    <mergeCell ref="B7:C7"/>
    <mergeCell ref="B8:C8"/>
    <mergeCell ref="B9:C9"/>
    <mergeCell ref="B10:C10"/>
  </mergeCells>
  <hyperlinks>
    <hyperlink ref="S1" location="TOC!A1" display="Table of Contents" xr:uid="{09691134-9750-4157-ADA6-E8F673E480A6}"/>
  </hyperlinks>
  <pageMargins left="0.39370078740157483" right="0.39370078740157483" top="0.39370078740157483" bottom="0.39370078740157483" header="0.31496062992125984" footer="0.31496062992125984"/>
  <pageSetup scale="60" orientation="portrait" verticalDpi="1200" r:id="rId1"/>
  <headerFooter>
    <oddFooter>&amp;L&amp;F [&amp;A]&amp;R&amp;P of &amp;N</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D4FA-16A1-4091-A8EF-E6F255016DD8}">
  <dimension ref="A1:R66"/>
  <sheetViews>
    <sheetView zoomScaleNormal="100" workbookViewId="0"/>
  </sheetViews>
  <sheetFormatPr defaultColWidth="8.88671875" defaultRowHeight="15.6"/>
  <cols>
    <col min="1" max="1" width="10.6640625" style="2" customWidth="1"/>
    <col min="2" max="3" width="14.6640625" style="2" customWidth="1"/>
    <col min="4" max="4" width="15.88671875" style="2" customWidth="1"/>
    <col min="5" max="6" width="14.6640625" style="2" customWidth="1"/>
    <col min="7" max="8" width="12.6640625" style="2" customWidth="1"/>
    <col min="9" max="9" width="14.44140625" style="2" customWidth="1"/>
    <col min="10" max="10" width="8.88671875" style="2"/>
    <col min="11" max="11" width="11.33203125" style="2" bestFit="1" customWidth="1"/>
    <col min="12" max="14" width="8.88671875" style="2"/>
    <col min="15" max="15" width="11.33203125" style="2" bestFit="1" customWidth="1"/>
    <col min="16" max="16384" width="8.88671875" style="2"/>
  </cols>
  <sheetData>
    <row r="1" spans="1:15" ht="17.399999999999999">
      <c r="A1" s="13" t="s">
        <v>2916</v>
      </c>
      <c r="B1" s="1"/>
      <c r="C1" s="1"/>
      <c r="D1" s="1" t="s">
        <v>216</v>
      </c>
      <c r="E1" s="1"/>
      <c r="F1" s="1"/>
      <c r="G1" s="1"/>
      <c r="H1" s="1"/>
      <c r="I1" s="1"/>
      <c r="J1" s="1"/>
      <c r="K1" s="1"/>
      <c r="L1" s="14"/>
      <c r="O1" s="21" t="s">
        <v>2927</v>
      </c>
    </row>
    <row r="2" spans="1:15">
      <c r="A2" s="1"/>
      <c r="B2" s="1"/>
      <c r="C2" s="1"/>
      <c r="D2" s="1"/>
      <c r="E2" s="1"/>
      <c r="F2" s="1"/>
      <c r="G2" s="1"/>
      <c r="H2" s="1"/>
      <c r="I2" s="1"/>
      <c r="J2" s="1"/>
      <c r="K2" s="1"/>
      <c r="L2" s="14"/>
    </row>
    <row r="3" spans="1:15">
      <c r="A3" s="1" t="s">
        <v>2895</v>
      </c>
      <c r="B3" s="1"/>
      <c r="C3" s="1"/>
      <c r="D3" s="1"/>
      <c r="E3" s="1"/>
      <c r="F3" s="1"/>
      <c r="G3" s="1"/>
      <c r="H3" s="1"/>
      <c r="I3" s="1"/>
      <c r="J3" s="1"/>
      <c r="K3" s="1"/>
      <c r="L3" s="14"/>
    </row>
    <row r="4" spans="1:15">
      <c r="A4" s="43"/>
      <c r="B4" s="1"/>
      <c r="C4" s="1"/>
      <c r="D4" s="1"/>
      <c r="E4" s="1"/>
      <c r="F4" s="1"/>
      <c r="G4" s="1"/>
      <c r="H4" s="1"/>
      <c r="I4" s="1"/>
      <c r="J4" s="1"/>
      <c r="K4" s="1"/>
      <c r="L4" s="1"/>
    </row>
    <row r="5" spans="1:15" ht="32.4" customHeight="1">
      <c r="A5" s="43"/>
      <c r="B5" s="828" t="s">
        <v>970</v>
      </c>
      <c r="C5" s="828" t="s">
        <v>4</v>
      </c>
      <c r="D5" s="828" t="s">
        <v>2896</v>
      </c>
      <c r="E5" s="828" t="s">
        <v>511</v>
      </c>
      <c r="F5" s="828"/>
      <c r="G5" s="1"/>
      <c r="H5" s="1"/>
      <c r="I5" s="1"/>
      <c r="J5" s="1"/>
      <c r="K5" s="1"/>
      <c r="L5" s="1"/>
    </row>
    <row r="6" spans="1:15">
      <c r="A6" s="43"/>
      <c r="B6" s="828"/>
      <c r="C6" s="828"/>
      <c r="D6" s="828"/>
      <c r="E6" s="4" t="s">
        <v>124</v>
      </c>
      <c r="F6" s="4" t="s">
        <v>304</v>
      </c>
      <c r="G6" s="1"/>
      <c r="H6" s="1"/>
      <c r="I6" s="1"/>
      <c r="J6" s="1"/>
      <c r="K6" s="1"/>
      <c r="L6" s="1"/>
    </row>
    <row r="7" spans="1:15">
      <c r="A7" s="43"/>
      <c r="B7" s="6">
        <v>2017</v>
      </c>
      <c r="C7" s="7">
        <v>4082</v>
      </c>
      <c r="D7" s="7">
        <v>5002004</v>
      </c>
      <c r="E7" s="7">
        <v>5002004</v>
      </c>
      <c r="F7" s="6">
        <v>174</v>
      </c>
      <c r="G7" s="1"/>
      <c r="H7" s="1"/>
      <c r="I7" s="1"/>
      <c r="J7" s="1"/>
      <c r="K7" s="1"/>
      <c r="L7" s="1"/>
    </row>
    <row r="8" spans="1:15">
      <c r="A8" s="43"/>
      <c r="B8" s="6">
        <v>2018</v>
      </c>
      <c r="C8" s="7">
        <v>4248</v>
      </c>
      <c r="D8" s="7">
        <v>5420340</v>
      </c>
      <c r="E8" s="7">
        <v>5451477</v>
      </c>
      <c r="F8" s="6">
        <v>182</v>
      </c>
      <c r="G8" s="1"/>
      <c r="H8" s="1"/>
      <c r="I8" s="1"/>
      <c r="J8" s="1"/>
      <c r="K8" s="1"/>
      <c r="L8" s="1"/>
    </row>
    <row r="9" spans="1:15">
      <c r="A9" s="1"/>
      <c r="B9" s="6">
        <v>2019</v>
      </c>
      <c r="C9" s="7">
        <v>4274</v>
      </c>
      <c r="D9" s="7">
        <v>5649182</v>
      </c>
      <c r="E9" s="7">
        <v>5729118</v>
      </c>
      <c r="F9" s="6">
        <v>184</v>
      </c>
      <c r="G9" s="1"/>
      <c r="H9" s="1"/>
      <c r="I9" s="1"/>
      <c r="J9" s="1"/>
      <c r="K9" s="1"/>
      <c r="L9" s="1"/>
    </row>
    <row r="10" spans="1:15">
      <c r="A10" s="1"/>
      <c r="B10" s="6">
        <v>2020</v>
      </c>
      <c r="C10" s="7">
        <v>4437</v>
      </c>
      <c r="D10" s="7">
        <v>6034903</v>
      </c>
      <c r="E10" s="7">
        <v>6218509</v>
      </c>
      <c r="F10" s="6">
        <v>192</v>
      </c>
      <c r="G10" s="1"/>
      <c r="H10" s="1"/>
      <c r="I10" s="1"/>
      <c r="J10" s="1"/>
      <c r="K10" s="1"/>
      <c r="L10" s="1"/>
    </row>
    <row r="11" spans="1:15">
      <c r="A11" s="43"/>
      <c r="B11" s="6">
        <v>2021</v>
      </c>
      <c r="C11" s="7">
        <v>4438</v>
      </c>
      <c r="D11" s="7">
        <v>6167181</v>
      </c>
      <c r="E11" s="7">
        <v>6510280</v>
      </c>
      <c r="F11" s="6">
        <v>193</v>
      </c>
      <c r="G11" s="1"/>
      <c r="H11" s="1"/>
      <c r="I11" s="1"/>
      <c r="J11" s="1"/>
      <c r="K11" s="1"/>
      <c r="L11" s="1"/>
    </row>
    <row r="12" spans="1:15">
      <c r="A12" s="1"/>
      <c r="B12" s="6">
        <v>2022</v>
      </c>
      <c r="C12" s="7">
        <v>4668</v>
      </c>
      <c r="D12" s="7">
        <v>5673216</v>
      </c>
      <c r="E12" s="7">
        <v>7159008</v>
      </c>
      <c r="F12" s="6">
        <v>204</v>
      </c>
      <c r="G12" s="1"/>
      <c r="H12" s="1"/>
      <c r="I12" s="1"/>
      <c r="J12" s="1"/>
      <c r="K12" s="1"/>
      <c r="L12" s="1"/>
    </row>
    <row r="13" spans="1:15">
      <c r="A13" s="1"/>
      <c r="B13" s="6">
        <v>2023</v>
      </c>
      <c r="C13" s="7">
        <v>4706</v>
      </c>
      <c r="D13" s="7">
        <v>2889081</v>
      </c>
      <c r="E13" s="7">
        <v>7850014</v>
      </c>
      <c r="F13" s="6">
        <v>217</v>
      </c>
      <c r="G13" s="1"/>
      <c r="H13" s="1"/>
      <c r="I13" s="1"/>
      <c r="J13" s="1"/>
      <c r="K13" s="1"/>
      <c r="L13" s="1"/>
    </row>
    <row r="14" spans="1:15">
      <c r="A14" s="1"/>
      <c r="B14" s="1"/>
      <c r="C14" s="1"/>
      <c r="D14" s="1"/>
      <c r="E14" s="1"/>
      <c r="F14" s="1"/>
      <c r="G14" s="1"/>
      <c r="H14" s="1"/>
      <c r="I14" s="1"/>
      <c r="J14" s="1"/>
      <c r="K14" s="1"/>
      <c r="L14" s="1"/>
    </row>
    <row r="15" spans="1:15">
      <c r="A15" s="1"/>
      <c r="B15" s="519" t="s">
        <v>1586</v>
      </c>
      <c r="C15" s="1"/>
      <c r="D15" s="398">
        <v>0.04</v>
      </c>
      <c r="E15" s="1"/>
      <c r="F15" s="1"/>
      <c r="G15" s="1"/>
      <c r="H15" s="1"/>
      <c r="I15" s="1"/>
      <c r="J15" s="1"/>
      <c r="K15" s="1"/>
      <c r="L15" s="1"/>
    </row>
    <row r="16" spans="1:15">
      <c r="A16" s="1"/>
      <c r="B16" s="519" t="s">
        <v>2897</v>
      </c>
      <c r="C16" s="1"/>
      <c r="D16" s="1"/>
      <c r="E16" s="1"/>
      <c r="F16" s="1"/>
      <c r="G16" s="1"/>
      <c r="H16" s="1"/>
      <c r="I16" s="1"/>
      <c r="J16" s="1"/>
      <c r="K16" s="1"/>
      <c r="L16" s="1"/>
    </row>
    <row r="17" spans="1:18">
      <c r="A17" s="1"/>
      <c r="B17" s="519" t="s">
        <v>2898</v>
      </c>
      <c r="C17" s="1"/>
      <c r="D17" s="1"/>
      <c r="E17" s="377">
        <v>0.05</v>
      </c>
      <c r="F17" s="204" t="s">
        <v>2899</v>
      </c>
      <c r="G17" s="1"/>
      <c r="H17" s="1"/>
      <c r="I17" s="1"/>
      <c r="J17" s="1"/>
      <c r="K17" s="1"/>
      <c r="L17" s="1"/>
    </row>
    <row r="18" spans="1:18">
      <c r="A18" s="1"/>
      <c r="B18" s="519" t="s">
        <v>2900</v>
      </c>
      <c r="C18" s="1"/>
      <c r="D18" s="1"/>
      <c r="E18" s="1"/>
      <c r="F18" s="1"/>
      <c r="G18" s="1"/>
      <c r="H18" s="1"/>
      <c r="I18" s="1"/>
      <c r="J18" s="1"/>
      <c r="K18" s="1"/>
      <c r="L18" s="1"/>
    </row>
    <row r="19" spans="1:18">
      <c r="A19" s="3"/>
      <c r="B19" s="3"/>
      <c r="C19" s="3"/>
      <c r="D19" s="3"/>
      <c r="E19" s="3"/>
      <c r="F19" s="3"/>
      <c r="G19" s="3"/>
      <c r="H19" s="3"/>
      <c r="I19" s="3"/>
      <c r="J19" s="3"/>
      <c r="K19" s="3"/>
      <c r="L19" s="3"/>
    </row>
    <row r="20" spans="1:18">
      <c r="A20" s="17" t="s">
        <v>91</v>
      </c>
      <c r="B20" s="1" t="s">
        <v>2901</v>
      </c>
      <c r="C20" s="1"/>
      <c r="D20" s="1"/>
      <c r="E20" s="1"/>
      <c r="F20" s="1"/>
      <c r="G20" s="1"/>
      <c r="H20" s="1"/>
      <c r="I20" s="1"/>
      <c r="J20" s="1"/>
      <c r="K20" s="1"/>
      <c r="L20" s="1"/>
      <c r="M20" s="9"/>
      <c r="N20" s="9"/>
      <c r="O20" s="9"/>
      <c r="P20" s="9"/>
      <c r="Q20" s="9"/>
      <c r="R20" s="9"/>
    </row>
    <row r="21" spans="1:18">
      <c r="A21" s="3"/>
      <c r="B21" s="3"/>
      <c r="C21" s="3"/>
      <c r="D21" s="3"/>
      <c r="E21" s="3"/>
      <c r="F21" s="3"/>
      <c r="G21" s="3"/>
      <c r="H21" s="3"/>
      <c r="I21" s="3"/>
      <c r="J21" s="3"/>
      <c r="K21" s="3"/>
      <c r="L21" s="3"/>
      <c r="M21" s="3"/>
    </row>
    <row r="22" spans="1:18">
      <c r="A22" s="3" t="s">
        <v>20</v>
      </c>
      <c r="B22" s="3"/>
      <c r="C22" s="3"/>
      <c r="D22" s="3"/>
      <c r="E22" s="3"/>
      <c r="F22" s="3"/>
      <c r="G22" s="3"/>
      <c r="H22" s="3"/>
      <c r="I22" s="3"/>
      <c r="J22" s="3"/>
      <c r="K22" s="3"/>
      <c r="L22" s="3"/>
      <c r="M22" s="3"/>
      <c r="N22" s="9"/>
    </row>
    <row r="23" spans="1:18" ht="46.8">
      <c r="A23" s="36" t="s">
        <v>642</v>
      </c>
      <c r="B23" s="35" t="s">
        <v>889</v>
      </c>
      <c r="C23" s="36" t="s">
        <v>892</v>
      </c>
      <c r="D23" s="36" t="s">
        <v>2902</v>
      </c>
      <c r="E23" s="36" t="s">
        <v>1750</v>
      </c>
      <c r="F23" s="3"/>
      <c r="G23" s="3"/>
      <c r="H23" s="3"/>
      <c r="I23" s="3"/>
      <c r="J23" s="3"/>
      <c r="K23" s="3"/>
      <c r="L23" s="3"/>
      <c r="M23" s="3"/>
      <c r="N23" s="9"/>
    </row>
    <row r="24" spans="1:18">
      <c r="A24" s="34">
        <f t="shared" ref="A24:A30" si="0">B7</f>
        <v>2017</v>
      </c>
      <c r="B24" s="798">
        <f t="shared" ref="B24:B30" si="1">F7/C7</f>
        <v>4.2626163645271928E-2</v>
      </c>
      <c r="C24" s="799">
        <v>1.05</v>
      </c>
      <c r="D24" s="800">
        <f t="shared" ref="D24:D30" si="2">B24*C24</f>
        <v>4.4757471827535526E-2</v>
      </c>
      <c r="E24" s="794"/>
      <c r="F24" s="3"/>
      <c r="G24" s="3"/>
      <c r="H24" s="3"/>
      <c r="I24" s="3"/>
      <c r="J24" s="3"/>
      <c r="K24" s="3"/>
      <c r="L24" s="3"/>
      <c r="M24" s="3"/>
      <c r="N24" s="9"/>
    </row>
    <row r="25" spans="1:18">
      <c r="A25" s="34">
        <f t="shared" si="0"/>
        <v>2018</v>
      </c>
      <c r="B25" s="798">
        <f t="shared" si="1"/>
        <v>4.2843691148775898E-2</v>
      </c>
      <c r="C25" s="799">
        <f>C24</f>
        <v>1.05</v>
      </c>
      <c r="D25" s="800">
        <f t="shared" si="2"/>
        <v>4.4985875706214692E-2</v>
      </c>
      <c r="E25" s="177">
        <f t="shared" ref="E25:E30" si="3">D25/D24-1</f>
        <v>5.1031452258805121E-3</v>
      </c>
      <c r="F25" s="3"/>
      <c r="G25" s="3"/>
      <c r="H25" s="3"/>
      <c r="I25" s="3"/>
      <c r="J25" s="3"/>
      <c r="K25" s="3"/>
      <c r="L25" s="3"/>
      <c r="M25" s="3"/>
      <c r="N25" s="9"/>
    </row>
    <row r="26" spans="1:18">
      <c r="A26" s="34">
        <f t="shared" si="0"/>
        <v>2019</v>
      </c>
      <c r="B26" s="798">
        <f t="shared" si="1"/>
        <v>4.3051006083294339E-2</v>
      </c>
      <c r="C26" s="799">
        <f>C25</f>
        <v>1.05</v>
      </c>
      <c r="D26" s="800">
        <f t="shared" si="2"/>
        <v>4.5203556387459057E-2</v>
      </c>
      <c r="E26" s="177">
        <f t="shared" si="3"/>
        <v>4.8388672628261187E-3</v>
      </c>
      <c r="F26" s="3"/>
      <c r="G26" s="3"/>
      <c r="H26" s="3"/>
      <c r="I26" s="3"/>
      <c r="J26" s="3"/>
      <c r="K26" s="3"/>
      <c r="L26" s="3"/>
      <c r="M26" s="3"/>
      <c r="N26" s="9"/>
    </row>
    <row r="27" spans="1:18">
      <c r="A27" s="34">
        <f t="shared" si="0"/>
        <v>2020</v>
      </c>
      <c r="B27" s="798">
        <f t="shared" si="1"/>
        <v>4.3272481406355645E-2</v>
      </c>
      <c r="C27" s="799">
        <f>C26</f>
        <v>1.05</v>
      </c>
      <c r="D27" s="800">
        <f t="shared" si="2"/>
        <v>4.5436105476673427E-2</v>
      </c>
      <c r="E27" s="177">
        <f t="shared" si="3"/>
        <v>5.1444865802392492E-3</v>
      </c>
      <c r="F27" s="3"/>
      <c r="G27" s="3"/>
      <c r="H27" s="3"/>
      <c r="I27" s="3"/>
      <c r="J27" s="3"/>
      <c r="K27" s="3"/>
      <c r="L27" s="3"/>
      <c r="M27" s="3"/>
      <c r="N27" s="9"/>
    </row>
    <row r="28" spans="1:18">
      <c r="A28" s="34">
        <f t="shared" si="0"/>
        <v>2021</v>
      </c>
      <c r="B28" s="798">
        <f t="shared" si="1"/>
        <v>4.3488057683641279E-2</v>
      </c>
      <c r="C28" s="799">
        <f>C27</f>
        <v>1.05</v>
      </c>
      <c r="D28" s="800">
        <f t="shared" si="2"/>
        <v>4.5662460567823346E-2</v>
      </c>
      <c r="E28" s="177">
        <f t="shared" si="3"/>
        <v>4.9818330328976757E-3</v>
      </c>
      <c r="F28" s="3"/>
      <c r="G28" s="3"/>
      <c r="H28" s="3"/>
      <c r="I28" s="3"/>
      <c r="J28" s="3"/>
      <c r="K28" s="3"/>
      <c r="L28" s="3"/>
      <c r="M28" s="3"/>
      <c r="N28" s="9"/>
    </row>
    <row r="29" spans="1:18">
      <c r="A29" s="34">
        <f t="shared" si="0"/>
        <v>2022</v>
      </c>
      <c r="B29" s="798">
        <f t="shared" si="1"/>
        <v>4.3701799485861184E-2</v>
      </c>
      <c r="C29" s="799">
        <f>C28</f>
        <v>1.05</v>
      </c>
      <c r="D29" s="800">
        <f t="shared" si="2"/>
        <v>4.5886889460154248E-2</v>
      </c>
      <c r="E29" s="177">
        <f t="shared" si="3"/>
        <v>4.9149539805799503E-3</v>
      </c>
      <c r="F29" s="3"/>
      <c r="G29" s="3"/>
      <c r="H29" s="3"/>
      <c r="I29" s="3"/>
      <c r="J29" s="3"/>
      <c r="K29" s="3"/>
      <c r="L29" s="3"/>
      <c r="M29" s="3"/>
      <c r="N29" s="9"/>
    </row>
    <row r="30" spans="1:18">
      <c r="A30" s="35">
        <f t="shared" si="0"/>
        <v>2023</v>
      </c>
      <c r="B30" s="801">
        <f t="shared" si="1"/>
        <v>4.6111347216319591E-2</v>
      </c>
      <c r="C30" s="802">
        <v>1</v>
      </c>
      <c r="D30" s="803">
        <f t="shared" si="2"/>
        <v>4.6111347216319591E-2</v>
      </c>
      <c r="E30" s="179">
        <f t="shared" si="3"/>
        <v>4.8915443780570556E-3</v>
      </c>
      <c r="F30" s="3"/>
      <c r="G30" s="3"/>
      <c r="H30" s="3"/>
      <c r="I30" s="3"/>
      <c r="J30" s="3"/>
      <c r="K30" s="3"/>
      <c r="L30" s="3"/>
      <c r="M30" s="3"/>
      <c r="N30" s="9"/>
    </row>
    <row r="31" spans="1:18">
      <c r="D31" s="151" t="s">
        <v>893</v>
      </c>
      <c r="E31" s="96">
        <f>AVERAGE(E25:E30)</f>
        <v>4.9791384100800933E-3</v>
      </c>
      <c r="F31" s="3"/>
      <c r="G31" s="3"/>
      <c r="H31" s="3"/>
      <c r="I31" s="3"/>
      <c r="J31" s="3"/>
      <c r="K31" s="3"/>
      <c r="L31" s="3"/>
      <c r="M31" s="3"/>
      <c r="N31" s="9"/>
    </row>
    <row r="32" spans="1:18">
      <c r="D32" s="151" t="s">
        <v>2903</v>
      </c>
      <c r="E32" s="96">
        <f>AVERAGE(E25:E29)</f>
        <v>4.9966572164847015E-3</v>
      </c>
      <c r="F32" s="3"/>
      <c r="G32" s="3"/>
      <c r="H32" s="3"/>
      <c r="I32" s="3"/>
      <c r="J32" s="3"/>
      <c r="K32" s="3"/>
      <c r="L32" s="3"/>
      <c r="M32" s="3"/>
      <c r="N32" s="9"/>
    </row>
    <row r="33" spans="1:15">
      <c r="F33" s="3"/>
      <c r="G33" s="3"/>
      <c r="H33" s="3"/>
      <c r="I33" s="3"/>
      <c r="J33" s="3"/>
      <c r="K33" s="3"/>
      <c r="L33" s="3"/>
      <c r="M33" s="3"/>
      <c r="N33" s="9"/>
    </row>
    <row r="34" spans="1:15">
      <c r="A34" s="2" t="s">
        <v>2904</v>
      </c>
      <c r="E34" s="96">
        <v>5.0000000000000001E-3</v>
      </c>
      <c r="F34" s="3"/>
      <c r="G34" s="3"/>
      <c r="H34" s="3"/>
      <c r="I34" s="3"/>
      <c r="J34" s="3"/>
      <c r="K34" s="3"/>
      <c r="L34" s="3"/>
      <c r="M34" s="3"/>
      <c r="N34" s="9"/>
    </row>
    <row r="36" spans="1:15">
      <c r="A36" s="17" t="s">
        <v>133</v>
      </c>
      <c r="B36" s="1" t="s">
        <v>2905</v>
      </c>
      <c r="C36" s="1"/>
      <c r="D36" s="1"/>
      <c r="E36" s="1"/>
      <c r="F36" s="1"/>
      <c r="G36" s="1"/>
      <c r="H36" s="1"/>
      <c r="I36" s="1"/>
      <c r="J36" s="1"/>
      <c r="K36" s="1"/>
      <c r="L36" s="1"/>
    </row>
    <row r="37" spans="1:15">
      <c r="A37" s="3"/>
      <c r="B37" s="3"/>
      <c r="C37" s="3"/>
      <c r="D37" s="3"/>
      <c r="E37" s="3"/>
      <c r="F37" s="3"/>
      <c r="G37" s="3"/>
      <c r="H37" s="3"/>
      <c r="I37" s="3"/>
      <c r="J37" s="3"/>
      <c r="K37" s="3"/>
      <c r="L37" s="3"/>
    </row>
    <row r="38" spans="1:15">
      <c r="A38" s="3" t="s">
        <v>20</v>
      </c>
      <c r="B38" s="3"/>
      <c r="C38" s="3"/>
      <c r="D38" s="3"/>
      <c r="E38" s="3"/>
      <c r="F38" s="3"/>
      <c r="G38" s="3"/>
      <c r="H38" s="3"/>
      <c r="I38" s="3"/>
      <c r="J38" s="3"/>
      <c r="K38" s="3"/>
      <c r="L38" s="3"/>
    </row>
    <row r="39" spans="1:15" ht="31.2">
      <c r="A39" s="36" t="s">
        <v>58</v>
      </c>
      <c r="B39" s="35" t="s">
        <v>889</v>
      </c>
      <c r="C39" s="35" t="s">
        <v>512</v>
      </c>
      <c r="D39" s="36" t="s">
        <v>890</v>
      </c>
      <c r="E39" s="36" t="s">
        <v>2906</v>
      </c>
      <c r="F39" s="36" t="s">
        <v>892</v>
      </c>
      <c r="G39" s="36" t="s">
        <v>518</v>
      </c>
      <c r="H39" s="36" t="s">
        <v>526</v>
      </c>
      <c r="I39" s="36" t="s">
        <v>131</v>
      </c>
      <c r="J39" s="3"/>
      <c r="K39" s="3"/>
      <c r="L39" s="3"/>
    </row>
    <row r="40" spans="1:15">
      <c r="A40" s="34">
        <f t="shared" ref="A40:A46" si="4">B7</f>
        <v>2017</v>
      </c>
      <c r="B40" s="798">
        <f t="shared" ref="B40:B46" si="5">F7/C7</f>
        <v>4.2626163645271928E-2</v>
      </c>
      <c r="C40" s="727">
        <f t="shared" ref="C40:C46" si="6">E7/F7</f>
        <v>28747.149425287356</v>
      </c>
      <c r="D40" s="800">
        <f t="shared" ref="D40:D45" si="7">D41*(1+$E$34)</f>
        <v>1.0303775093937648</v>
      </c>
      <c r="E40" s="800">
        <f t="shared" ref="E40:E44" si="8">E41*(1+4%)</f>
        <v>1.2653190184960004</v>
      </c>
      <c r="F40" s="799">
        <v>1.05</v>
      </c>
      <c r="G40" s="800">
        <f>B40*D40*F40</f>
        <v>4.6117092348417647E-2</v>
      </c>
      <c r="H40" s="804">
        <f t="shared" ref="H40:H46" si="9">C40*E40</f>
        <v>36374.314895362462</v>
      </c>
      <c r="I40" s="727">
        <f t="shared" ref="I40:I46" si="10">$G$49*$H$49*C7/D40/E40/F40</f>
        <v>5011552.601367427</v>
      </c>
      <c r="J40" s="3"/>
      <c r="K40" s="18"/>
      <c r="L40" s="3"/>
      <c r="M40" s="18"/>
      <c r="N40" s="18"/>
      <c r="O40" s="18"/>
    </row>
    <row r="41" spans="1:15">
      <c r="A41" s="34">
        <f t="shared" si="4"/>
        <v>2018</v>
      </c>
      <c r="B41" s="798">
        <f t="shared" si="5"/>
        <v>4.2843691148775898E-2</v>
      </c>
      <c r="C41" s="727">
        <f t="shared" si="6"/>
        <v>29953.170329670331</v>
      </c>
      <c r="D41" s="800">
        <f t="shared" si="7"/>
        <v>1.0252512531281244</v>
      </c>
      <c r="E41" s="800">
        <f t="shared" si="8"/>
        <v>1.2166529024000003</v>
      </c>
      <c r="F41" s="799">
        <f>F40</f>
        <v>1.05</v>
      </c>
      <c r="G41" s="800">
        <f t="shared" ref="G41:G46" si="11">B41*D41*F41</f>
        <v>4.6121825440862664E-2</v>
      </c>
      <c r="H41" s="804">
        <f t="shared" si="9"/>
        <v>36442.611617674986</v>
      </c>
      <c r="I41" s="727">
        <f t="shared" si="10"/>
        <v>5451088.1090093944</v>
      </c>
      <c r="J41" s="3"/>
      <c r="K41" s="18"/>
      <c r="L41" s="3"/>
      <c r="M41" s="18"/>
      <c r="N41" s="18"/>
      <c r="O41" s="18"/>
    </row>
    <row r="42" spans="1:15">
      <c r="A42" s="34">
        <f t="shared" si="4"/>
        <v>2019</v>
      </c>
      <c r="B42" s="798">
        <f t="shared" si="5"/>
        <v>4.3051006083294339E-2</v>
      </c>
      <c r="C42" s="727">
        <f t="shared" si="6"/>
        <v>31136.510869565216</v>
      </c>
      <c r="D42" s="800">
        <f t="shared" si="7"/>
        <v>1.0201505006249996</v>
      </c>
      <c r="E42" s="800">
        <f t="shared" si="8"/>
        <v>1.1698585600000002</v>
      </c>
      <c r="F42" s="799">
        <f t="shared" ref="F42:F45" si="12">F41</f>
        <v>1.05</v>
      </c>
      <c r="G42" s="800">
        <f t="shared" si="11"/>
        <v>4.6114430678696749E-2</v>
      </c>
      <c r="H42" s="804">
        <f t="shared" si="9"/>
        <v>36425.31376929392</v>
      </c>
      <c r="I42" s="727">
        <f t="shared" si="10"/>
        <v>5732348.856880297</v>
      </c>
      <c r="J42" s="3"/>
      <c r="K42" s="18"/>
      <c r="L42" s="3"/>
      <c r="M42" s="18"/>
      <c r="N42" s="18"/>
      <c r="O42" s="18"/>
    </row>
    <row r="43" spans="1:15">
      <c r="A43" s="34">
        <f t="shared" si="4"/>
        <v>2020</v>
      </c>
      <c r="B43" s="798">
        <f t="shared" si="5"/>
        <v>4.3272481406355645E-2</v>
      </c>
      <c r="C43" s="727">
        <f t="shared" si="6"/>
        <v>32388.067708333332</v>
      </c>
      <c r="D43" s="800">
        <f t="shared" si="7"/>
        <v>1.0150751249999996</v>
      </c>
      <c r="E43" s="800">
        <f t="shared" si="8"/>
        <v>1.1248640000000001</v>
      </c>
      <c r="F43" s="799">
        <f t="shared" si="12"/>
        <v>1.05</v>
      </c>
      <c r="G43" s="800">
        <f t="shared" si="11"/>
        <v>4.6121060446247447E-2</v>
      </c>
      <c r="H43" s="804">
        <f t="shared" si="9"/>
        <v>36432.171394666671</v>
      </c>
      <c r="I43" s="727">
        <f t="shared" si="10"/>
        <v>6219950.444282284</v>
      </c>
      <c r="J43" s="3"/>
      <c r="K43" s="18"/>
      <c r="L43" s="3"/>
      <c r="M43" s="18"/>
      <c r="N43" s="18"/>
      <c r="O43" s="18"/>
    </row>
    <row r="44" spans="1:15">
      <c r="A44" s="34">
        <f t="shared" si="4"/>
        <v>2021</v>
      </c>
      <c r="B44" s="798">
        <f t="shared" si="5"/>
        <v>4.3488057683641279E-2</v>
      </c>
      <c r="C44" s="727">
        <f t="shared" si="6"/>
        <v>33732.020725388604</v>
      </c>
      <c r="D44" s="800">
        <f t="shared" si="7"/>
        <v>1.0100249999999997</v>
      </c>
      <c r="E44" s="800">
        <f t="shared" si="8"/>
        <v>1.0816000000000001</v>
      </c>
      <c r="F44" s="799">
        <f t="shared" si="12"/>
        <v>1.05</v>
      </c>
      <c r="G44" s="800">
        <f t="shared" si="11"/>
        <v>4.6120226735015764E-2</v>
      </c>
      <c r="H44" s="804">
        <f t="shared" si="9"/>
        <v>36484.553616580321</v>
      </c>
      <c r="I44" s="727">
        <f t="shared" si="10"/>
        <v>6502557.4043197511</v>
      </c>
      <c r="J44" s="3"/>
      <c r="K44" s="18"/>
      <c r="L44" s="3"/>
      <c r="M44" s="18"/>
      <c r="N44" s="18"/>
      <c r="O44" s="18"/>
    </row>
    <row r="45" spans="1:15">
      <c r="A45" s="34">
        <f t="shared" si="4"/>
        <v>2022</v>
      </c>
      <c r="B45" s="798">
        <f t="shared" si="5"/>
        <v>4.3701799485861184E-2</v>
      </c>
      <c r="C45" s="727">
        <f t="shared" si="6"/>
        <v>35093.176470588238</v>
      </c>
      <c r="D45" s="800">
        <f t="shared" si="7"/>
        <v>1.0049999999999999</v>
      </c>
      <c r="E45" s="800">
        <f>E46*(1+4%)</f>
        <v>1.04</v>
      </c>
      <c r="F45" s="799">
        <f t="shared" si="12"/>
        <v>1.05</v>
      </c>
      <c r="G45" s="800">
        <f t="shared" si="11"/>
        <v>4.6116323907455008E-2</v>
      </c>
      <c r="H45" s="804">
        <f t="shared" si="9"/>
        <v>36496.903529411771</v>
      </c>
      <c r="I45" s="727">
        <f t="shared" si="10"/>
        <v>7148701.2075954648</v>
      </c>
      <c r="J45" s="3"/>
      <c r="K45" s="18"/>
      <c r="L45" s="3"/>
      <c r="M45" s="18"/>
      <c r="N45" s="18"/>
      <c r="O45" s="18"/>
    </row>
    <row r="46" spans="1:15">
      <c r="A46" s="35">
        <f t="shared" si="4"/>
        <v>2023</v>
      </c>
      <c r="B46" s="801">
        <f t="shared" si="5"/>
        <v>4.6111347216319591E-2</v>
      </c>
      <c r="C46" s="805">
        <f t="shared" si="6"/>
        <v>36175.179723502304</v>
      </c>
      <c r="D46" s="803">
        <v>1</v>
      </c>
      <c r="E46" s="803">
        <v>1</v>
      </c>
      <c r="F46" s="802">
        <v>1</v>
      </c>
      <c r="G46" s="803">
        <f t="shared" si="11"/>
        <v>4.6111347216319591E-2</v>
      </c>
      <c r="H46" s="806">
        <f t="shared" si="9"/>
        <v>36175.179723502304</v>
      </c>
      <c r="I46" s="805">
        <f t="shared" si="10"/>
        <v>7909279.462299915</v>
      </c>
      <c r="J46" s="3"/>
      <c r="K46" s="18"/>
      <c r="L46" s="3"/>
      <c r="M46" s="18"/>
      <c r="N46" s="18"/>
      <c r="O46" s="18"/>
    </row>
    <row r="47" spans="1:15">
      <c r="E47" s="893" t="s">
        <v>2907</v>
      </c>
      <c r="F47" s="893"/>
      <c r="G47" s="800">
        <f>AVERAGE(G40:G46)</f>
        <v>4.6117472396144985E-2</v>
      </c>
      <c r="H47" s="804">
        <f>AVERAGE(H40:H46)</f>
        <v>36404.43550664177</v>
      </c>
      <c r="I47" s="727">
        <f>SUM(I40:I46)</f>
        <v>43975478.085754529</v>
      </c>
      <c r="J47" s="3"/>
      <c r="K47" s="18"/>
      <c r="L47" s="3"/>
      <c r="M47" s="18"/>
      <c r="N47" s="18"/>
      <c r="O47" s="18"/>
    </row>
    <row r="48" spans="1:15">
      <c r="D48" s="893" t="s">
        <v>2908</v>
      </c>
      <c r="E48" s="893"/>
      <c r="F48" s="893"/>
      <c r="G48" s="800">
        <f>AVERAGE(G40:G45)</f>
        <v>4.6118493259449216E-2</v>
      </c>
      <c r="H48" s="804">
        <f>AVERAGE(H40:H45)</f>
        <v>36442.644803831681</v>
      </c>
      <c r="M48" s="18"/>
      <c r="N48" s="18"/>
      <c r="O48" s="18"/>
    </row>
    <row r="49" spans="1:12">
      <c r="E49" s="151"/>
      <c r="F49" s="151" t="s">
        <v>1732</v>
      </c>
      <c r="G49" s="89">
        <f>G48</f>
        <v>4.6118493259449216E-2</v>
      </c>
      <c r="H49" s="804">
        <f>H48</f>
        <v>36442.644803831681</v>
      </c>
    </row>
    <row r="51" spans="1:12">
      <c r="A51" s="14"/>
      <c r="B51" s="14"/>
      <c r="C51" s="14"/>
      <c r="D51" s="14"/>
      <c r="E51" s="14"/>
      <c r="F51" s="14"/>
      <c r="G51" s="1"/>
      <c r="H51" s="1"/>
      <c r="I51" s="1"/>
      <c r="J51" s="1"/>
      <c r="K51" s="1"/>
      <c r="L51" s="1"/>
    </row>
    <row r="52" spans="1:12">
      <c r="A52" s="260" t="s">
        <v>2909</v>
      </c>
      <c r="B52" s="14"/>
      <c r="C52" s="14"/>
      <c r="D52" s="14"/>
      <c r="E52" s="14"/>
      <c r="F52" s="14"/>
      <c r="G52" s="1"/>
      <c r="H52" s="1"/>
      <c r="I52" s="1"/>
      <c r="J52" s="1"/>
      <c r="K52" s="1"/>
      <c r="L52" s="1"/>
    </row>
    <row r="54" spans="1:12">
      <c r="A54" s="17" t="s">
        <v>18</v>
      </c>
      <c r="B54" s="1" t="s">
        <v>2910</v>
      </c>
      <c r="C54" s="1"/>
      <c r="D54" s="1"/>
      <c r="E54" s="1"/>
      <c r="F54" s="1"/>
      <c r="G54" s="1"/>
      <c r="H54" s="1"/>
      <c r="I54" s="1"/>
      <c r="J54" s="1"/>
      <c r="K54" s="1"/>
      <c r="L54" s="1"/>
    </row>
    <row r="55" spans="1:12">
      <c r="A55" s="3"/>
      <c r="B55" s="3"/>
      <c r="C55" s="3"/>
      <c r="D55" s="3"/>
      <c r="E55" s="3"/>
      <c r="F55" s="3"/>
      <c r="G55" s="3"/>
      <c r="H55" s="3"/>
      <c r="I55" s="3"/>
      <c r="J55" s="3"/>
      <c r="K55" s="3"/>
      <c r="L55" s="3"/>
    </row>
    <row r="56" spans="1:12">
      <c r="A56" s="3" t="s">
        <v>20</v>
      </c>
      <c r="B56" s="3"/>
      <c r="C56" s="3"/>
      <c r="D56" s="3"/>
      <c r="E56" s="3"/>
      <c r="F56" s="3"/>
      <c r="G56" s="3"/>
      <c r="H56" s="3"/>
      <c r="I56" s="3"/>
      <c r="J56" s="3"/>
      <c r="K56" s="3"/>
      <c r="L56" s="3"/>
    </row>
    <row r="57" spans="1:12">
      <c r="A57" s="3"/>
      <c r="B57" s="3"/>
      <c r="C57" s="3"/>
      <c r="D57" s="3"/>
      <c r="E57" s="3"/>
      <c r="F57" s="3"/>
      <c r="G57" s="3"/>
      <c r="H57" s="3"/>
      <c r="I57" s="3"/>
      <c r="J57" s="3"/>
      <c r="K57" s="3"/>
      <c r="L57" s="3"/>
    </row>
    <row r="58" spans="1:12">
      <c r="A58" s="3" t="s">
        <v>2911</v>
      </c>
      <c r="B58" s="3"/>
      <c r="C58" s="3"/>
      <c r="D58" s="3"/>
      <c r="E58" s="3"/>
      <c r="F58" s="3"/>
      <c r="G58" s="3"/>
      <c r="H58" s="3"/>
      <c r="I58" s="3"/>
      <c r="J58" s="3"/>
      <c r="K58" s="3"/>
      <c r="L58" s="3"/>
    </row>
    <row r="59" spans="1:12">
      <c r="A59" s="2" t="s">
        <v>2912</v>
      </c>
    </row>
    <row r="61" spans="1:12">
      <c r="A61" s="17" t="s">
        <v>25</v>
      </c>
      <c r="B61" s="1" t="s">
        <v>2913</v>
      </c>
      <c r="C61" s="1"/>
      <c r="D61" s="1"/>
      <c r="E61" s="1"/>
      <c r="F61" s="1"/>
      <c r="G61" s="1"/>
      <c r="H61" s="1"/>
      <c r="I61" s="1"/>
      <c r="J61" s="1"/>
      <c r="K61" s="1"/>
      <c r="L61" s="1"/>
    </row>
    <row r="62" spans="1:12">
      <c r="A62" s="3"/>
      <c r="B62" s="3"/>
      <c r="C62" s="3"/>
      <c r="D62" s="3"/>
      <c r="E62" s="3"/>
      <c r="F62" s="3"/>
      <c r="G62" s="3"/>
      <c r="H62" s="3"/>
      <c r="I62" s="3"/>
      <c r="J62" s="3"/>
      <c r="K62" s="3"/>
      <c r="L62" s="3"/>
    </row>
    <row r="63" spans="1:12">
      <c r="A63" s="3" t="s">
        <v>20</v>
      </c>
      <c r="B63" s="3"/>
      <c r="C63" s="3"/>
      <c r="D63" s="3"/>
      <c r="E63" s="3"/>
      <c r="F63" s="3"/>
      <c r="G63" s="3"/>
      <c r="H63" s="3"/>
      <c r="I63" s="3"/>
      <c r="J63" s="3"/>
      <c r="K63" s="3"/>
      <c r="L63" s="3"/>
    </row>
    <row r="64" spans="1:12">
      <c r="A64" s="3"/>
      <c r="B64" s="3"/>
      <c r="C64" s="3"/>
      <c r="D64" s="3"/>
      <c r="E64" s="3"/>
      <c r="F64" s="3"/>
      <c r="G64" s="3"/>
      <c r="H64" s="3"/>
      <c r="I64" s="3"/>
      <c r="J64" s="3"/>
      <c r="K64" s="3"/>
      <c r="L64" s="3"/>
    </row>
    <row r="65" spans="1:1">
      <c r="A65" s="2" t="s">
        <v>2914</v>
      </c>
    </row>
    <row r="66" spans="1:1">
      <c r="A66" s="2" t="s">
        <v>2915</v>
      </c>
    </row>
  </sheetData>
  <mergeCells count="6">
    <mergeCell ref="D48:F48"/>
    <mergeCell ref="B5:B6"/>
    <mergeCell ref="C5:C6"/>
    <mergeCell ref="D5:D6"/>
    <mergeCell ref="E5:F5"/>
    <mergeCell ref="E47:F47"/>
  </mergeCells>
  <hyperlinks>
    <hyperlink ref="O1" location="TOC!A1" display="Table of Contents" xr:uid="{D827B4CC-1A8B-4AA3-B02C-FC314E4D5E9F}"/>
  </hyperlink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C20B2D-0B3F-4693-A792-AF5EF15F23F2}"/>
</file>

<file path=customXml/itemProps2.xml><?xml version="1.0" encoding="utf-8"?>
<ds:datastoreItem xmlns:ds="http://schemas.openxmlformats.org/officeDocument/2006/customXml" ds:itemID="{73B47C61-EAE3-4CBF-8292-9043C3A932F9}"/>
</file>

<file path=customXml/itemProps3.xml><?xml version="1.0" encoding="utf-8"?>
<ds:datastoreItem xmlns:ds="http://schemas.openxmlformats.org/officeDocument/2006/customXml" ds:itemID="{FE6AC97F-BAE4-4C6A-89AE-715402B8DFAB}"/>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28</vt:i4>
      </vt:variant>
    </vt:vector>
  </HeadingPairs>
  <TitlesOfParts>
    <vt:vector size="118" baseType="lpstr">
      <vt:lpstr>Cover </vt:lpstr>
      <vt:lpstr>TOC</vt:lpstr>
      <vt:lpstr>F2020_Q1</vt:lpstr>
      <vt:lpstr>F2020_Q2</vt:lpstr>
      <vt:lpstr>F2020_Q5</vt:lpstr>
      <vt:lpstr>F2020_Q9</vt:lpstr>
      <vt:lpstr>F2020_Q13</vt:lpstr>
      <vt:lpstr>F2020_Q15</vt:lpstr>
      <vt:lpstr>F2020_Q16</vt:lpstr>
      <vt:lpstr>F2020_Q19</vt:lpstr>
      <vt:lpstr>F2020_Q20</vt:lpstr>
      <vt:lpstr>S2021_Q1</vt:lpstr>
      <vt:lpstr>S2021_Q2</vt:lpstr>
      <vt:lpstr>S2021_Q3</vt:lpstr>
      <vt:lpstr>S2021_Q9</vt:lpstr>
      <vt:lpstr>S2021_Q12</vt:lpstr>
      <vt:lpstr>S2021_Q14</vt:lpstr>
      <vt:lpstr>S2021_Q16</vt:lpstr>
      <vt:lpstr>S2021_Q18</vt:lpstr>
      <vt:lpstr>S2021_Q19</vt:lpstr>
      <vt:lpstr>F2021_Q1</vt:lpstr>
      <vt:lpstr>F2021_Q2</vt:lpstr>
      <vt:lpstr>F2021_Q4</vt:lpstr>
      <vt:lpstr>F2021_Q5</vt:lpstr>
      <vt:lpstr>F2021_Q6</vt:lpstr>
      <vt:lpstr>F2021_Q11</vt:lpstr>
      <vt:lpstr>F2021_Q15</vt:lpstr>
      <vt:lpstr>F2021_Q16</vt:lpstr>
      <vt:lpstr>F2021_Q18</vt:lpstr>
      <vt:lpstr>F2021_Q20</vt:lpstr>
      <vt:lpstr>S2022_Q1</vt:lpstr>
      <vt:lpstr>S2022_Q2</vt:lpstr>
      <vt:lpstr>S2022_Q8</vt:lpstr>
      <vt:lpstr>S2022_Q12</vt:lpstr>
      <vt:lpstr>S2022_Q15</vt:lpstr>
      <vt:lpstr>S2022_Q16</vt:lpstr>
      <vt:lpstr>S2022_Q17</vt:lpstr>
      <vt:lpstr>F2022_Q2</vt:lpstr>
      <vt:lpstr>F2022_Q5</vt:lpstr>
      <vt:lpstr>F2022_Q6</vt:lpstr>
      <vt:lpstr>F2022_Q11</vt:lpstr>
      <vt:lpstr>F2022_Q12</vt:lpstr>
      <vt:lpstr>F2022_Q14</vt:lpstr>
      <vt:lpstr>F2022_Q15</vt:lpstr>
      <vt:lpstr>F2022_Q16</vt:lpstr>
      <vt:lpstr>F2022_Q17</vt:lpstr>
      <vt:lpstr>F2022_Q18</vt:lpstr>
      <vt:lpstr>S2023_Q1</vt:lpstr>
      <vt:lpstr>S2023_Q2</vt:lpstr>
      <vt:lpstr>S2023_Q3</vt:lpstr>
      <vt:lpstr>S2023_Q4</vt:lpstr>
      <vt:lpstr>S2023_Q5</vt:lpstr>
      <vt:lpstr>S2023_Q6</vt:lpstr>
      <vt:lpstr>S2023_Q8</vt:lpstr>
      <vt:lpstr>S2023_Q9</vt:lpstr>
      <vt:lpstr>S2023_Q11</vt:lpstr>
      <vt:lpstr>S2023_Q13</vt:lpstr>
      <vt:lpstr>S2023_Q14</vt:lpstr>
      <vt:lpstr>F2023_Q1</vt:lpstr>
      <vt:lpstr>F2023_Q3</vt:lpstr>
      <vt:lpstr>F2023_Q4</vt:lpstr>
      <vt:lpstr>F2023_Q5</vt:lpstr>
      <vt:lpstr>F2023_Q8</vt:lpstr>
      <vt:lpstr>F2023_Q9</vt:lpstr>
      <vt:lpstr>F2023_Q10</vt:lpstr>
      <vt:lpstr>F2023_Q11</vt:lpstr>
      <vt:lpstr>F2023_Q12</vt:lpstr>
      <vt:lpstr>F2023_Q13</vt:lpstr>
      <vt:lpstr>F2023_Q14</vt:lpstr>
      <vt:lpstr>F2023_Q15</vt:lpstr>
      <vt:lpstr>S2024_Q1</vt:lpstr>
      <vt:lpstr>S2024_Q2</vt:lpstr>
      <vt:lpstr>S2024_Q3</vt:lpstr>
      <vt:lpstr>S2024_Q5</vt:lpstr>
      <vt:lpstr>S2024_Q7</vt:lpstr>
      <vt:lpstr>S2024_Q8</vt:lpstr>
      <vt:lpstr>S2024_Q10</vt:lpstr>
      <vt:lpstr>S2024_Q12</vt:lpstr>
      <vt:lpstr>S2024_Q13</vt:lpstr>
      <vt:lpstr>F2024_Q2</vt:lpstr>
      <vt:lpstr>F2024_Q3</vt:lpstr>
      <vt:lpstr>F2024_Q4</vt:lpstr>
      <vt:lpstr>F2024_Q5</vt:lpstr>
      <vt:lpstr>F2024_Q6</vt:lpstr>
      <vt:lpstr>F2024_Q8</vt:lpstr>
      <vt:lpstr>F2024_Q9</vt:lpstr>
      <vt:lpstr>F2024_Q10</vt:lpstr>
      <vt:lpstr>F2024_Q11</vt:lpstr>
      <vt:lpstr>F2024_Q12</vt:lpstr>
      <vt:lpstr>F2024_Q13</vt:lpstr>
      <vt:lpstr>F2020_Q1!Print_Area</vt:lpstr>
      <vt:lpstr>F2020_Q13!Print_Area</vt:lpstr>
      <vt:lpstr>F2020_Q15!Print_Area</vt:lpstr>
      <vt:lpstr>F2020_Q16!Print_Area</vt:lpstr>
      <vt:lpstr>F2020_Q19!Print_Area</vt:lpstr>
      <vt:lpstr>F2020_Q2!Print_Area</vt:lpstr>
      <vt:lpstr>F2020_Q20!Print_Area</vt:lpstr>
      <vt:lpstr>F2020_Q5!Print_Area</vt:lpstr>
      <vt:lpstr>F2020_Q9!Print_Area</vt:lpstr>
      <vt:lpstr>F2021_Q1!Print_Area</vt:lpstr>
      <vt:lpstr>F2021_Q11!Print_Area</vt:lpstr>
      <vt:lpstr>F2021_Q15!Print_Area</vt:lpstr>
      <vt:lpstr>F2021_Q16!Print_Area</vt:lpstr>
      <vt:lpstr>F2021_Q18!Print_Area</vt:lpstr>
      <vt:lpstr>F2021_Q2!Print_Area</vt:lpstr>
      <vt:lpstr>F2021_Q20!Print_Area</vt:lpstr>
      <vt:lpstr>F2021_Q4!Print_Area</vt:lpstr>
      <vt:lpstr>F2021_Q5!Print_Area</vt:lpstr>
      <vt:lpstr>F2021_Q6!Print_Area</vt:lpstr>
      <vt:lpstr>F2020_Q1!Print_Titles</vt:lpstr>
      <vt:lpstr>F2020_Q13!Print_Titles</vt:lpstr>
      <vt:lpstr>F2020_Q15!Print_Titles</vt:lpstr>
      <vt:lpstr>F2020_Q16!Print_Titles</vt:lpstr>
      <vt:lpstr>F2020_Q19!Print_Titles</vt:lpstr>
      <vt:lpstr>F2020_Q2!Print_Titles</vt:lpstr>
      <vt:lpstr>F2020_Q20!Print_Titles</vt:lpstr>
      <vt:lpstr>F2020_Q5!Print_Titles</vt:lpstr>
      <vt:lpstr>F2020_Q9!Print_Titles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Lennox</dc:creator>
  <cp:lastModifiedBy>Douglas Norris</cp:lastModifiedBy>
  <dcterms:created xsi:type="dcterms:W3CDTF">2025-06-26T22:46:45Z</dcterms:created>
  <dcterms:modified xsi:type="dcterms:W3CDTF">2025-06-30T15:39:47Z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