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Q:\Aleshia\Spring 2024 solutions\"/>
    </mc:Choice>
  </mc:AlternateContent>
  <xr:revisionPtr revIDLastSave="0" documentId="8_{BAAC4869-D5E3-4D25-BC6A-8FF589358749}" xr6:coauthVersionLast="47" xr6:coauthVersionMax="47" xr10:uidLastSave="{00000000-0000-0000-0000-000000000000}"/>
  <bookViews>
    <workbookView xWindow="-120" yWindow="-120" windowWidth="29040" windowHeight="15720" activeTab="2" xr2:uid="{1A33858F-ECC2-420D-8B0B-4D80639E6564}"/>
  </bookViews>
  <sheets>
    <sheet name="Q9" sheetId="1" r:id="rId1"/>
    <sheet name="Q9 Alt" sheetId="2" r:id="rId2"/>
    <sheet name="Q11" sheetId="3" r:id="rId3"/>
  </sheets>
  <definedNames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2</definedName>
    <definedName name="_AtRisk_SimSetting_MultipleCPUManualCount" hidden="1">2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8" i="3" l="1"/>
  <c r="C104" i="3"/>
  <c r="C124" i="3" s="1"/>
  <c r="C105" i="3"/>
  <c r="C115" i="3" s="1"/>
  <c r="C107" i="3"/>
  <c r="C127" i="3" s="1"/>
  <c r="C113" i="3"/>
  <c r="C123" i="3"/>
  <c r="F122" i="3" s="1"/>
  <c r="C125" i="3"/>
  <c r="F124" i="3" l="1"/>
  <c r="L122" i="3"/>
  <c r="F123" i="3"/>
  <c r="I122" i="3"/>
  <c r="F112" i="3"/>
  <c r="C117" i="3"/>
  <c r="C114" i="3"/>
  <c r="F102" i="3"/>
  <c r="D52" i="2"/>
  <c r="D53" i="2" s="1"/>
  <c r="D54" i="2" s="1"/>
  <c r="D55" i="2" s="1"/>
  <c r="D56" i="2" s="1"/>
  <c r="D57" i="2" s="1"/>
  <c r="L112" i="3" l="1"/>
  <c r="F113" i="3"/>
  <c r="F114" i="3"/>
  <c r="I112" i="3"/>
  <c r="F125" i="3"/>
  <c r="I123" i="3"/>
  <c r="F127" i="3" s="1"/>
  <c r="L123" i="3"/>
  <c r="F104" i="3"/>
  <c r="I102" i="3"/>
  <c r="F103" i="3"/>
  <c r="L102" i="3"/>
  <c r="I124" i="3"/>
  <c r="L124" i="3"/>
  <c r="D58" i="1"/>
  <c r="D57" i="1"/>
  <c r="D56" i="1"/>
  <c r="D55" i="1"/>
  <c r="D54" i="1"/>
  <c r="D53" i="1"/>
  <c r="D41" i="1"/>
  <c r="D40" i="1"/>
  <c r="D39" i="1"/>
  <c r="D38" i="1"/>
  <c r="D37" i="1"/>
  <c r="D36" i="1"/>
  <c r="I125" i="3" l="1"/>
  <c r="I127" i="3" s="1"/>
  <c r="L127" i="3" s="1"/>
  <c r="C76" i="3" s="1"/>
  <c r="L125" i="3"/>
  <c r="L114" i="3"/>
  <c r="I114" i="3"/>
  <c r="I113" i="3"/>
  <c r="F117" i="3" s="1"/>
  <c r="L117" i="3" s="1"/>
  <c r="C75" i="3" s="1"/>
  <c r="L113" i="3"/>
  <c r="F115" i="3"/>
  <c r="I103" i="3"/>
  <c r="F107" i="3" s="1"/>
  <c r="L107" i="3" s="1"/>
  <c r="C74" i="3" s="1"/>
  <c r="L103" i="3"/>
  <c r="F105" i="3"/>
  <c r="I104" i="3"/>
  <c r="L104" i="3"/>
  <c r="C80" i="3" l="1"/>
  <c r="I115" i="3"/>
  <c r="I117" i="3" s="1"/>
  <c r="L115" i="3"/>
  <c r="I105" i="3"/>
  <c r="I107" i="3" s="1"/>
  <c r="L105" i="3"/>
</calcChain>
</file>

<file path=xl/sharedStrings.xml><?xml version="1.0" encoding="utf-8"?>
<sst xmlns="http://schemas.openxmlformats.org/spreadsheetml/2006/main" count="141" uniqueCount="69">
  <si>
    <t>9.</t>
  </si>
  <si>
    <t>Fill in your final answers here: (change 23%, 25% with your real answer.)</t>
  </si>
  <si>
    <t>Volatility term structure</t>
  </si>
  <si>
    <t>Tenor (Month)</t>
  </si>
  <si>
    <t>Market volatility</t>
  </si>
  <si>
    <t>Monte Carlo Step Vol</t>
  </si>
  <si>
    <t>Show your work here:</t>
  </si>
  <si>
    <t>This solution corresponds to the recursive formula:</t>
  </si>
  <si>
    <t>This solution corresponds to the  formula:</t>
  </si>
  <si>
    <t xml:space="preserve">Therefore, it is a trade-off between increasing cap rate versus participation rate. </t>
  </si>
  <si>
    <t xml:space="preserve">The reason is that increasing either the participating rate or cap rate will increase the cost of the portfolio of options. </t>
  </si>
  <si>
    <t xml:space="preserve">In order to keep the same cost of portfolio of options, the cap rate needs to be decreased if participation rate is increased. </t>
  </si>
  <si>
    <t>Fill in your final answers here:</t>
  </si>
  <si>
    <t>For 125% participation rate, a cap rate of 35% gives an option cost that is closest to the option cost in part (b)(i). (11.12 vs. 11.31)</t>
  </si>
  <si>
    <t>Cap Rate</t>
  </si>
  <si>
    <t>&lt;-- Choose Call or Put / Long or Short</t>
  </si>
  <si>
    <t>Option 3</t>
  </si>
  <si>
    <t>Put</t>
  </si>
  <si>
    <t>Call</t>
  </si>
  <si>
    <t>σ</t>
  </si>
  <si>
    <t>q</t>
  </si>
  <si>
    <t>N'(-d2)</t>
  </si>
  <si>
    <t>N(-d2)</t>
  </si>
  <si>
    <t>-d2</t>
  </si>
  <si>
    <t>r</t>
  </si>
  <si>
    <t>N'(-d1)</t>
  </si>
  <si>
    <t>N(-d1)</t>
  </si>
  <si>
    <t>-d1</t>
  </si>
  <si>
    <t>T</t>
  </si>
  <si>
    <t>N'(d2)</t>
  </si>
  <si>
    <t>N(d2)</t>
  </si>
  <si>
    <t>d2</t>
  </si>
  <si>
    <t>K</t>
  </si>
  <si>
    <t>N'(d1)</t>
  </si>
  <si>
    <t>N(d1)</t>
  </si>
  <si>
    <t>d1</t>
  </si>
  <si>
    <t>S</t>
  </si>
  <si>
    <t>Black Scholes Formula for Option 3</t>
  </si>
  <si>
    <t>Option 2</t>
  </si>
  <si>
    <t>Black Scholes Formula for Option 2</t>
  </si>
  <si>
    <t>Option 1</t>
  </si>
  <si>
    <t>Black Scholes Formula for Option 1</t>
  </si>
  <si>
    <t>Participation rate (     )</t>
  </si>
  <si>
    <t>Cap Rate% (C)</t>
  </si>
  <si>
    <t>Buffer Rate% (B)</t>
  </si>
  <si>
    <t>Risk-Free Rate (r)</t>
  </si>
  <si>
    <t>Term (T)</t>
  </si>
  <si>
    <t>Implied Volatility (σ)</t>
  </si>
  <si>
    <t>Calculated Result</t>
  </si>
  <si>
    <t>Dividend Yield (q)</t>
  </si>
  <si>
    <t>Input</t>
  </si>
  <si>
    <r>
      <t>Underlying Asset – Current Price (S</t>
    </r>
    <r>
      <rPr>
        <vertAlign val="sub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)</t>
    </r>
  </si>
  <si>
    <t>spVA</t>
  </si>
  <si>
    <t>position and this data table would be correctly populated for all these combination.</t>
  </si>
  <si>
    <t>Then, candidate is required to write formula for option 1, 2, 3 (L107, L117, L 127) with correct sign and units for Long/Short</t>
  </si>
  <si>
    <t>Candidate first modify Black-Scholes parameters (e.g., strike, etc.) to reflect the embedded options of spVA.</t>
  </si>
  <si>
    <t>Cap Rate and Participation rate.</t>
  </si>
  <si>
    <t xml:space="preserve">Results of SpVA Option Value (C80) which is sum of (C74,C75, C76) will be automatically populated for all combinations of </t>
  </si>
  <si>
    <t>This table is "what-if" table where two inputs are Cap Rate (D97) and Participation rate (D98)</t>
  </si>
  <si>
    <t>PLEASE READ THIS FIRST</t>
  </si>
  <si>
    <t>Participation Rate</t>
  </si>
  <si>
    <t>Price of Option Portfolio</t>
  </si>
  <si>
    <t>&lt;--Link to L127</t>
  </si>
  <si>
    <t>&lt;--Link to L117</t>
  </si>
  <si>
    <t>&lt;--Link to L107</t>
  </si>
  <si>
    <t>Risk-free rate (r)</t>
  </si>
  <si>
    <t>S0</t>
  </si>
  <si>
    <t>Risk budget</t>
  </si>
  <si>
    <t>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</si>
</sst>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&quot;$&quot;#,##0.00"/>
    <numFmt numFmtId="166" formatCode="0.0000000"/>
    <numFmt numFmtId="167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0000"/>
      <name val="Times New Roman"/>
      <family val="1"/>
    </font>
    <font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quotePrefix="1" applyFont="1" applyAlignment="1">
      <alignment vertical="center"/>
    </xf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 wrapText="1"/>
    </xf>
    <xf numFmtId="0" fontId="1" fillId="0" borderId="2" xfId="0" applyFont="1" applyBorder="1"/>
    <xf numFmtId="0" fontId="0" fillId="0" borderId="2" xfId="0" applyBorder="1"/>
    <xf numFmtId="164" fontId="0" fillId="0" borderId="2" xfId="0" applyNumberFormat="1" applyBorder="1"/>
    <xf numFmtId="164" fontId="0" fillId="3" borderId="0" xfId="0" applyNumberFormat="1" applyFill="1"/>
    <xf numFmtId="0" fontId="0" fillId="3" borderId="0" xfId="0" applyFill="1"/>
    <xf numFmtId="9" fontId="0" fillId="3" borderId="0" xfId="0" applyNumberForma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9" fontId="0" fillId="4" borderId="0" xfId="0" applyNumberFormat="1" applyFill="1"/>
    <xf numFmtId="0" fontId="0" fillId="5" borderId="7" xfId="0" applyFill="1" applyBorder="1"/>
    <xf numFmtId="0" fontId="0" fillId="5" borderId="0" xfId="0" applyFill="1"/>
    <xf numFmtId="2" fontId="0" fillId="5" borderId="0" xfId="0" applyNumberFormat="1" applyFill="1"/>
    <xf numFmtId="0" fontId="0" fillId="0" borderId="0" xfId="0" quotePrefix="1"/>
    <xf numFmtId="9" fontId="0" fillId="3" borderId="0" xfId="2" applyFont="1" applyFill="1"/>
    <xf numFmtId="0" fontId="0" fillId="5" borderId="8" xfId="0" applyFill="1" applyBorder="1"/>
    <xf numFmtId="0" fontId="0" fillId="0" borderId="9" xfId="0" applyBorder="1"/>
    <xf numFmtId="0" fontId="0" fillId="5" borderId="9" xfId="0" applyFill="1" applyBorder="1"/>
    <xf numFmtId="2" fontId="0" fillId="5" borderId="9" xfId="0" applyNumberFormat="1" applyFill="1" applyBorder="1"/>
    <xf numFmtId="0" fontId="0" fillId="4" borderId="9" xfId="0" applyFill="1" applyBorder="1"/>
    <xf numFmtId="0" fontId="0" fillId="0" borderId="10" xfId="0" applyBorder="1"/>
    <xf numFmtId="0" fontId="1" fillId="0" borderId="0" xfId="0" applyFont="1"/>
    <xf numFmtId="165" fontId="0" fillId="0" borderId="0" xfId="1" applyNumberFormat="1" applyFont="1"/>
    <xf numFmtId="166" fontId="0" fillId="0" borderId="0" xfId="0" applyNumberFormat="1"/>
    <xf numFmtId="9" fontId="1" fillId="5" borderId="3" xfId="2" applyFont="1" applyFill="1" applyBorder="1"/>
    <xf numFmtId="9" fontId="1" fillId="5" borderId="7" xfId="2" applyFont="1" applyFill="1" applyBorder="1"/>
    <xf numFmtId="43" fontId="1" fillId="0" borderId="0" xfId="1" applyFont="1" applyFill="1"/>
    <xf numFmtId="9" fontId="0" fillId="0" borderId="7" xfId="0" applyNumberFormat="1" applyBorder="1"/>
    <xf numFmtId="43" fontId="0" fillId="0" borderId="0" xfId="0" applyNumberFormat="1"/>
    <xf numFmtId="9" fontId="0" fillId="0" borderId="7" xfId="2" applyFont="1" applyBorder="1"/>
    <xf numFmtId="167" fontId="0" fillId="0" borderId="7" xfId="1" applyNumberFormat="1" applyFont="1" applyBorder="1"/>
    <xf numFmtId="0" fontId="1" fillId="5" borderId="0" xfId="0" applyFont="1" applyFill="1"/>
    <xf numFmtId="0" fontId="0" fillId="4" borderId="0" xfId="0" applyFill="1"/>
    <xf numFmtId="0" fontId="0" fillId="0" borderId="8" xfId="0" applyBorder="1"/>
    <xf numFmtId="43" fontId="1" fillId="5" borderId="2" xfId="1" applyFont="1" applyFill="1" applyBorder="1"/>
    <xf numFmtId="9" fontId="5" fillId="0" borderId="1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right" vertical="center"/>
    </xf>
    <xf numFmtId="0" fontId="1" fillId="3" borderId="0" xfId="0" applyFont="1" applyFill="1"/>
    <xf numFmtId="9" fontId="5" fillId="0" borderId="13" xfId="0" applyNumberFormat="1" applyFont="1" applyBorder="1" applyAlignment="1">
      <alignment horizontal="center" vertical="center"/>
    </xf>
    <xf numFmtId="2" fontId="1" fillId="5" borderId="0" xfId="0" applyNumberFormat="1" applyFont="1" applyFill="1"/>
    <xf numFmtId="9" fontId="0" fillId="0" borderId="0" xfId="0" applyNumberFormat="1"/>
    <xf numFmtId="0" fontId="6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Monte Carlo Step Vol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'Q9'!$D$35</c:f>
              <c:strCache>
                <c:ptCount val="1"/>
                <c:pt idx="0">
                  <c:v>Monte Carlo Step Vol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'Q9'!$B$36:$B$41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'Q9'!$D$36:$D$41</c:f>
              <c:numCache>
                <c:formatCode>0.0%</c:formatCode>
                <c:ptCount val="6"/>
                <c:pt idx="0">
                  <c:v>0.27</c:v>
                </c:pt>
                <c:pt idx="1">
                  <c:v>0.2896549671592048</c:v>
                </c:pt>
                <c:pt idx="2">
                  <c:v>0.21447610589527219</c:v>
                </c:pt>
                <c:pt idx="3">
                  <c:v>0.16613247725836136</c:v>
                </c:pt>
                <c:pt idx="4">
                  <c:v>0.15074813431681353</c:v>
                </c:pt>
                <c:pt idx="5">
                  <c:v>0.14714278779471293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94-4FB6-B35D-36963B066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18127"/>
        <c:axId val="1808393583"/>
      </c:scatterChart>
      <c:valAx>
        <c:axId val="257181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Tenor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393583"/>
        <c:crosses val="autoZero"/>
        <c:crossBetween val="midCat"/>
      </c:valAx>
      <c:valAx>
        <c:axId val="1808393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Monte Carlo Step Vol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181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Monte Carlo Step Vol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'Q9 Alt'!$D$35</c:f>
              <c:strCache>
                <c:ptCount val="1"/>
                <c:pt idx="0">
                  <c:v>Monte Carlo Step Vol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'Q9 Alt'!$B$36:$B$41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xVal>
          <c:yVal>
            <c:numRef>
              <c:f>'Q9 Alt'!$D$36:$D$41</c:f>
              <c:numCache>
                <c:formatCode>0.0%</c:formatCode>
                <c:ptCount val="6"/>
                <c:pt idx="0">
                  <c:v>0.27</c:v>
                </c:pt>
                <c:pt idx="1">
                  <c:v>0.2896549671592048</c:v>
                </c:pt>
                <c:pt idx="2">
                  <c:v>0.21447610589527219</c:v>
                </c:pt>
                <c:pt idx="3">
                  <c:v>0.16613247725836136</c:v>
                </c:pt>
                <c:pt idx="4">
                  <c:v>0.15074813431681353</c:v>
                </c:pt>
                <c:pt idx="5">
                  <c:v>0.14714278779471293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6A-4A2A-9EFB-EA91DCE65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18127"/>
        <c:axId val="1808393583"/>
      </c:scatterChart>
      <c:valAx>
        <c:axId val="257181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Tenor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8393583"/>
        <c:crosses val="autoZero"/>
        <c:crossBetween val="midCat"/>
      </c:valAx>
      <c:valAx>
        <c:axId val="1808393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Monte Carlo Step Vol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181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10</xdr:col>
      <xdr:colOff>305800</xdr:colOff>
      <xdr:row>24</xdr:row>
      <xdr:rowOff>76230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9ABF0A-636F-4EF4-AB74-E078FAF26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76250"/>
          <a:ext cx="6116050" cy="4267230"/>
        </a:xfrm>
        <a:prstGeom prst="rect">
          <a:avLst/>
        </a:prstGeom>
      </xdr:spPr>
    </xdr:pic>
    <xdr:clientData/>
  </xdr:twoCellAnchor>
  <xdr:twoCellAnchor>
    <xdr:from>
      <xdr:col>6</xdr:col>
      <xdr:colOff>4763</xdr:colOff>
      <xdr:row>33</xdr:row>
      <xdr:rowOff>38099</xdr:rowOff>
    </xdr:from>
    <xdr:to>
      <xdr:col>13</xdr:col>
      <xdr:colOff>309563</xdr:colOff>
      <xdr:row>47</xdr:row>
      <xdr:rowOff>114299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E8063B5-EC93-42E3-A358-AF8981DAB9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68</xdr:row>
      <xdr:rowOff>0</xdr:rowOff>
    </xdr:from>
    <xdr:to>
      <xdr:col>11</xdr:col>
      <xdr:colOff>355335</xdr:colOff>
      <xdr:row>80</xdr:row>
      <xdr:rowOff>57167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4258B43-844A-4B88-B1EE-27D6A9B3E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13049250"/>
          <a:ext cx="6775185" cy="234316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5</xdr:col>
      <xdr:colOff>323850</xdr:colOff>
      <xdr:row>63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037EFA4-6DD6-CAC5-2DB5-B6BD9CC9C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1906250"/>
          <a:ext cx="3086100" cy="295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10</xdr:col>
      <xdr:colOff>305800</xdr:colOff>
      <xdr:row>24</xdr:row>
      <xdr:rowOff>76230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3E9804-4E17-4E5A-AA74-55FF5E3890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76250"/>
          <a:ext cx="6116050" cy="4267230"/>
        </a:xfrm>
        <a:prstGeom prst="rect">
          <a:avLst/>
        </a:prstGeom>
      </xdr:spPr>
    </xdr:pic>
    <xdr:clientData/>
  </xdr:twoCellAnchor>
  <xdr:twoCellAnchor>
    <xdr:from>
      <xdr:col>6</xdr:col>
      <xdr:colOff>4763</xdr:colOff>
      <xdr:row>33</xdr:row>
      <xdr:rowOff>38099</xdr:rowOff>
    </xdr:from>
    <xdr:to>
      <xdr:col>13</xdr:col>
      <xdr:colOff>309563</xdr:colOff>
      <xdr:row>47</xdr:row>
      <xdr:rowOff>114299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C4CE403-51D8-410A-8FCD-3622EB027B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68</xdr:row>
      <xdr:rowOff>0</xdr:rowOff>
    </xdr:from>
    <xdr:to>
      <xdr:col>11</xdr:col>
      <xdr:colOff>355335</xdr:colOff>
      <xdr:row>80</xdr:row>
      <xdr:rowOff>57167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947B54-F4C3-479F-9B18-3E81A8CBE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13049250"/>
          <a:ext cx="6775185" cy="2343167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62</xdr:row>
      <xdr:rowOff>0</xdr:rowOff>
    </xdr:from>
    <xdr:to>
      <xdr:col>10</xdr:col>
      <xdr:colOff>180975</xdr:colOff>
      <xdr:row>63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70DD41F-AECC-C749-F055-D1C6AEEAF9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906250"/>
          <a:ext cx="5381625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2</xdr:row>
      <xdr:rowOff>0</xdr:rowOff>
    </xdr:from>
    <xdr:ext cx="6076044" cy="8292525"/>
    <xdr:pic>
      <xdr:nvPicPr>
        <xdr:cNvPr id="2" name="Picture 1">
          <a:extLst>
            <a:ext uri="{FF2B5EF4-FFF2-40B4-BE49-F238E27FC236}">
              <a16:creationId xmlns:a16="http://schemas.microsoft.com/office/drawing/2014/main" id="{2DBEB27C-040E-4625-9E1B-BF878CFB00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365760"/>
          <a:ext cx="6076044" cy="8292525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49</xdr:row>
      <xdr:rowOff>0</xdr:rowOff>
    </xdr:from>
    <xdr:ext cx="6098904" cy="992512"/>
    <xdr:pic>
      <xdr:nvPicPr>
        <xdr:cNvPr id="3" name="Picture 2">
          <a:extLst>
            <a:ext uri="{FF2B5EF4-FFF2-40B4-BE49-F238E27FC236}">
              <a16:creationId xmlns:a16="http://schemas.microsoft.com/office/drawing/2014/main" id="{947CF4EA-876D-4B36-AB7C-0D38649167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600" y="8961120"/>
          <a:ext cx="6098904" cy="992512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68</xdr:row>
      <xdr:rowOff>0</xdr:rowOff>
    </xdr:from>
    <xdr:ext cx="6076044" cy="657230"/>
    <xdr:pic>
      <xdr:nvPicPr>
        <xdr:cNvPr id="4" name="Picture 3">
          <a:extLst>
            <a:ext uri="{FF2B5EF4-FFF2-40B4-BE49-F238E27FC236}">
              <a16:creationId xmlns:a16="http://schemas.microsoft.com/office/drawing/2014/main" id="{B95A7986-47B9-47B7-86E9-CCCF2A01A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12435840"/>
          <a:ext cx="6076044" cy="657230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130</xdr:row>
      <xdr:rowOff>0</xdr:rowOff>
    </xdr:from>
    <xdr:ext cx="5984604" cy="853446"/>
    <xdr:pic>
      <xdr:nvPicPr>
        <xdr:cNvPr id="5" name="Picture 4">
          <a:extLst>
            <a:ext uri="{FF2B5EF4-FFF2-40B4-BE49-F238E27FC236}">
              <a16:creationId xmlns:a16="http://schemas.microsoft.com/office/drawing/2014/main" id="{3D7AFC19-6500-4537-AD5D-095FC5C46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600" y="23774400"/>
          <a:ext cx="5984604" cy="853446"/>
        </a:xfrm>
        <a:prstGeom prst="rect">
          <a:avLst/>
        </a:prstGeom>
      </xdr:spPr>
    </xdr:pic>
    <xdr:clientData/>
  </xdr:oneCellAnchor>
  <xdr:oneCellAnchor>
    <xdr:from>
      <xdr:col>1</xdr:col>
      <xdr:colOff>0</xdr:colOff>
      <xdr:row>148</xdr:row>
      <xdr:rowOff>180974</xdr:rowOff>
    </xdr:from>
    <xdr:ext cx="5927453" cy="832491"/>
    <xdr:pic>
      <xdr:nvPicPr>
        <xdr:cNvPr id="6" name="Picture 5">
          <a:extLst>
            <a:ext uri="{FF2B5EF4-FFF2-40B4-BE49-F238E27FC236}">
              <a16:creationId xmlns:a16="http://schemas.microsoft.com/office/drawing/2014/main" id="{2E07C709-952B-4929-B8F7-D9DA9F205E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09600" y="27247214"/>
          <a:ext cx="5927453" cy="832491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AE33D-75BE-4BF3-9B3D-B8D54AA6B697}">
  <dimension ref="A2:N61"/>
  <sheetViews>
    <sheetView topLeftCell="A47" workbookViewId="0">
      <selection activeCell="B61" sqref="B61"/>
    </sheetView>
  </sheetViews>
  <sheetFormatPr defaultRowHeight="15" x14ac:dyDescent="0.25"/>
  <cols>
    <col min="3" max="3" width="14" customWidth="1"/>
  </cols>
  <sheetData>
    <row r="2" spans="1:1" ht="22.5" x14ac:dyDescent="0.25">
      <c r="A2" s="1" t="s">
        <v>0</v>
      </c>
    </row>
    <row r="31" spans="2:14" x14ac:dyDescent="0.25">
      <c r="B31" s="2" t="s">
        <v>1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  <row r="34" spans="2:4" x14ac:dyDescent="0.25">
      <c r="B34" t="s">
        <v>2</v>
      </c>
    </row>
    <row r="35" spans="2:4" x14ac:dyDescent="0.25">
      <c r="B35" s="4" t="s">
        <v>3</v>
      </c>
      <c r="C35" s="4" t="s">
        <v>4</v>
      </c>
      <c r="D35" s="4" t="s">
        <v>5</v>
      </c>
    </row>
    <row r="36" spans="2:4" x14ac:dyDescent="0.25">
      <c r="B36" s="5">
        <v>1</v>
      </c>
      <c r="C36" s="6">
        <v>0.27</v>
      </c>
      <c r="D36" s="7">
        <f>C36</f>
        <v>0.27</v>
      </c>
    </row>
    <row r="37" spans="2:4" x14ac:dyDescent="0.25">
      <c r="B37" s="5">
        <v>2</v>
      </c>
      <c r="C37" s="6">
        <v>0.28000000000000003</v>
      </c>
      <c r="D37" s="7">
        <f>SQRT((C37^2*B37-C36^2*B36))</f>
        <v>0.2896549671592048</v>
      </c>
    </row>
    <row r="38" spans="2:4" x14ac:dyDescent="0.25">
      <c r="B38" s="5">
        <v>3</v>
      </c>
      <c r="C38" s="6">
        <v>0.26</v>
      </c>
      <c r="D38" s="7">
        <f t="shared" ref="D38:D41" si="0">SQRT((C38^2*B38-C37^2*B37))</f>
        <v>0.21447610589527219</v>
      </c>
    </row>
    <row r="39" spans="2:4" x14ac:dyDescent="0.25">
      <c r="B39" s="5">
        <v>4</v>
      </c>
      <c r="C39" s="6">
        <v>0.24</v>
      </c>
      <c r="D39" s="7">
        <f t="shared" si="0"/>
        <v>0.16613247725836136</v>
      </c>
    </row>
    <row r="40" spans="2:4" x14ac:dyDescent="0.25">
      <c r="B40" s="5">
        <v>5</v>
      </c>
      <c r="C40" s="6">
        <v>0.22500000000000001</v>
      </c>
      <c r="D40" s="7">
        <f t="shared" si="0"/>
        <v>0.15074813431681353</v>
      </c>
    </row>
    <row r="41" spans="2:4" x14ac:dyDescent="0.25">
      <c r="B41" s="5">
        <v>6</v>
      </c>
      <c r="C41" s="6">
        <v>0.214</v>
      </c>
      <c r="D41" s="7">
        <f t="shared" si="0"/>
        <v>0.14714278779471293</v>
      </c>
    </row>
    <row r="49" spans="2:14" x14ac:dyDescent="0.25">
      <c r="B49" s="2" t="s">
        <v>6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</row>
    <row r="51" spans="2:14" x14ac:dyDescent="0.25">
      <c r="B51" t="s">
        <v>2</v>
      </c>
    </row>
    <row r="52" spans="2:14" x14ac:dyDescent="0.25">
      <c r="B52" s="4" t="s">
        <v>3</v>
      </c>
      <c r="C52" s="4" t="s">
        <v>4</v>
      </c>
      <c r="D52" s="4" t="s">
        <v>5</v>
      </c>
    </row>
    <row r="53" spans="2:14" x14ac:dyDescent="0.25">
      <c r="B53" s="5">
        <v>1</v>
      </c>
      <c r="C53" s="6">
        <v>0.27</v>
      </c>
      <c r="D53" s="7">
        <f>C53</f>
        <v>0.27</v>
      </c>
    </row>
    <row r="54" spans="2:14" x14ac:dyDescent="0.25">
      <c r="B54" s="5">
        <v>2</v>
      </c>
      <c r="C54" s="6">
        <v>0.28000000000000003</v>
      </c>
      <c r="D54" s="7">
        <f>SQRT((C54^2*B54-C53^2*B53))</f>
        <v>0.2896549671592048</v>
      </c>
    </row>
    <row r="55" spans="2:14" x14ac:dyDescent="0.25">
      <c r="B55" s="5">
        <v>3</v>
      </c>
      <c r="C55" s="6">
        <v>0.26</v>
      </c>
      <c r="D55" s="7">
        <f t="shared" ref="D55:D58" si="1">SQRT((C55^2*B55-C54^2*B54))</f>
        <v>0.21447610589527219</v>
      </c>
    </row>
    <row r="56" spans="2:14" x14ac:dyDescent="0.25">
      <c r="B56" s="5">
        <v>4</v>
      </c>
      <c r="C56" s="6">
        <v>0.24</v>
      </c>
      <c r="D56" s="7">
        <f t="shared" si="1"/>
        <v>0.16613247725836136</v>
      </c>
    </row>
    <row r="57" spans="2:14" x14ac:dyDescent="0.25">
      <c r="B57" s="5">
        <v>5</v>
      </c>
      <c r="C57" s="6">
        <v>0.22500000000000001</v>
      </c>
      <c r="D57" s="7">
        <f t="shared" si="1"/>
        <v>0.15074813431681353</v>
      </c>
    </row>
    <row r="58" spans="2:14" x14ac:dyDescent="0.25">
      <c r="B58" s="5">
        <v>6</v>
      </c>
      <c r="C58" s="6">
        <v>0.214</v>
      </c>
      <c r="D58" s="7">
        <f t="shared" si="1"/>
        <v>0.14714278779471293</v>
      </c>
    </row>
    <row r="61" spans="2:14" x14ac:dyDescent="0.25">
      <c r="B61" t="s">
        <v>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54B3C-7AFA-465A-983C-AF060A09F658}">
  <dimension ref="A2:N61"/>
  <sheetViews>
    <sheetView topLeftCell="A43" workbookViewId="0">
      <selection activeCell="C61" sqref="C61"/>
    </sheetView>
  </sheetViews>
  <sheetFormatPr defaultRowHeight="15" x14ac:dyDescent="0.25"/>
  <cols>
    <col min="3" max="3" width="14" customWidth="1"/>
  </cols>
  <sheetData>
    <row r="2" spans="1:1" ht="22.5" x14ac:dyDescent="0.25">
      <c r="A2" s="1" t="s">
        <v>0</v>
      </c>
    </row>
    <row r="31" spans="2:14" x14ac:dyDescent="0.25">
      <c r="B31" s="2" t="s">
        <v>1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</row>
    <row r="34" spans="2:4" x14ac:dyDescent="0.25">
      <c r="B34" t="s">
        <v>2</v>
      </c>
    </row>
    <row r="35" spans="2:4" x14ac:dyDescent="0.25">
      <c r="B35" s="4" t="s">
        <v>3</v>
      </c>
      <c r="C35" s="4" t="s">
        <v>4</v>
      </c>
      <c r="D35" s="4" t="s">
        <v>5</v>
      </c>
    </row>
    <row r="36" spans="2:4" x14ac:dyDescent="0.25">
      <c r="B36" s="5">
        <v>1</v>
      </c>
      <c r="C36" s="6">
        <v>0.27</v>
      </c>
      <c r="D36" s="7">
        <v>0.27</v>
      </c>
    </row>
    <row r="37" spans="2:4" x14ac:dyDescent="0.25">
      <c r="B37" s="5">
        <v>2</v>
      </c>
      <c r="C37" s="6">
        <v>0.28000000000000003</v>
      </c>
      <c r="D37" s="7">
        <v>0.2896549671592048</v>
      </c>
    </row>
    <row r="38" spans="2:4" x14ac:dyDescent="0.25">
      <c r="B38" s="5">
        <v>3</v>
      </c>
      <c r="C38" s="6">
        <v>0.26</v>
      </c>
      <c r="D38" s="7">
        <v>0.21447610589527219</v>
      </c>
    </row>
    <row r="39" spans="2:4" x14ac:dyDescent="0.25">
      <c r="B39" s="5">
        <v>4</v>
      </c>
      <c r="C39" s="6">
        <v>0.24</v>
      </c>
      <c r="D39" s="7">
        <v>0.16613247725836136</v>
      </c>
    </row>
    <row r="40" spans="2:4" x14ac:dyDescent="0.25">
      <c r="B40" s="5">
        <v>5</v>
      </c>
      <c r="C40" s="6">
        <v>0.22500000000000001</v>
      </c>
      <c r="D40" s="7">
        <v>0.15074813431681353</v>
      </c>
    </row>
    <row r="41" spans="2:4" x14ac:dyDescent="0.25">
      <c r="B41" s="5">
        <v>6</v>
      </c>
      <c r="C41" s="6">
        <v>0.214</v>
      </c>
      <c r="D41" s="7">
        <v>0.14714278779471293</v>
      </c>
    </row>
    <row r="49" spans="2:14" x14ac:dyDescent="0.25">
      <c r="B49" s="2" t="s">
        <v>6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</row>
    <row r="51" spans="2:14" x14ac:dyDescent="0.25">
      <c r="B51" s="4" t="s">
        <v>3</v>
      </c>
      <c r="C51" s="4" t="s">
        <v>4</v>
      </c>
      <c r="D51" s="4" t="s">
        <v>5</v>
      </c>
    </row>
    <row r="52" spans="2:14" x14ac:dyDescent="0.25">
      <c r="B52" s="5">
        <v>1</v>
      </c>
      <c r="C52" s="6">
        <v>0.27</v>
      </c>
      <c r="D52" s="7">
        <f>C52</f>
        <v>0.27</v>
      </c>
    </row>
    <row r="53" spans="2:14" x14ac:dyDescent="0.25">
      <c r="B53" s="5">
        <v>2</v>
      </c>
      <c r="C53" s="6">
        <v>0.28000000000000003</v>
      </c>
      <c r="D53" s="7">
        <f>SQRT(C53^2*2-D52^2*1)</f>
        <v>0.2896549671592048</v>
      </c>
    </row>
    <row r="54" spans="2:14" x14ac:dyDescent="0.25">
      <c r="B54" s="5">
        <v>3</v>
      </c>
      <c r="C54" s="6">
        <v>0.26</v>
      </c>
      <c r="D54" s="7">
        <f>SQRT(C54^2*3-D53^2-D52^2)</f>
        <v>0.21447610589527219</v>
      </c>
    </row>
    <row r="55" spans="2:14" x14ac:dyDescent="0.25">
      <c r="B55" s="5">
        <v>4</v>
      </c>
      <c r="C55" s="6">
        <v>0.24</v>
      </c>
      <c r="D55" s="7">
        <f>SQRT(C55^2*B55-D54^2-D53^2-D52^2)</f>
        <v>0.16613247725836136</v>
      </c>
    </row>
    <row r="56" spans="2:14" x14ac:dyDescent="0.25">
      <c r="B56" s="5">
        <v>5</v>
      </c>
      <c r="C56" s="6">
        <v>0.22500000000000001</v>
      </c>
      <c r="D56" s="7">
        <f>SQRT(B56*C56^2-D55^2-D54^2-D53^2-D52^2)</f>
        <v>0.15074813431681353</v>
      </c>
    </row>
    <row r="57" spans="2:14" x14ac:dyDescent="0.25">
      <c r="B57" s="5">
        <v>6</v>
      </c>
      <c r="C57" s="6">
        <v>0.214</v>
      </c>
      <c r="D57" s="7">
        <f>SQRT(B57*C57^2-D56^2-D55^2-D54^2-D53^2-D52^2)</f>
        <v>0.14714278779471293</v>
      </c>
    </row>
    <row r="61" spans="2:14" x14ac:dyDescent="0.25">
      <c r="C61" t="s">
        <v>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12D5A-02CE-4A07-A4E6-68DB0E7A1514}">
  <dimension ref="A2:Q162"/>
  <sheetViews>
    <sheetView tabSelected="1" topLeftCell="A138" workbookViewId="0">
      <selection activeCell="N122" sqref="N122"/>
    </sheetView>
  </sheetViews>
  <sheetFormatPr defaultRowHeight="15" x14ac:dyDescent="0.25"/>
  <cols>
    <col min="2" max="2" width="23.28515625" customWidth="1"/>
  </cols>
  <sheetData>
    <row r="2" spans="1:1" ht="22.5" x14ac:dyDescent="0.25">
      <c r="A2" s="1" t="s">
        <v>68</v>
      </c>
    </row>
    <row r="57" spans="2:14" x14ac:dyDescent="0.25">
      <c r="B57" s="2" t="s">
        <v>12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</row>
    <row r="58" spans="2:14" x14ac:dyDescent="0.25">
      <c r="B58" t="s">
        <v>67</v>
      </c>
      <c r="D58" s="8">
        <f>E62*(1-EXP(-E64*E63))</f>
        <v>11.307956328284252</v>
      </c>
    </row>
    <row r="60" spans="2:14" x14ac:dyDescent="0.25">
      <c r="B60" s="2" t="s">
        <v>6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</row>
    <row r="62" spans="2:14" x14ac:dyDescent="0.25">
      <c r="C62" t="s">
        <v>66</v>
      </c>
      <c r="E62">
        <v>100</v>
      </c>
    </row>
    <row r="63" spans="2:14" x14ac:dyDescent="0.25">
      <c r="C63" t="s">
        <v>46</v>
      </c>
      <c r="E63">
        <v>3</v>
      </c>
    </row>
    <row r="64" spans="2:14" x14ac:dyDescent="0.25">
      <c r="C64" t="s">
        <v>65</v>
      </c>
      <c r="E64" s="46">
        <v>0.04</v>
      </c>
    </row>
    <row r="73" spans="2:17" x14ac:dyDescent="0.25">
      <c r="B73" s="2" t="s">
        <v>12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2:17" x14ac:dyDescent="0.25">
      <c r="B74" t="s">
        <v>40</v>
      </c>
      <c r="C74" s="8">
        <f>L107</f>
        <v>18.062143665238764</v>
      </c>
      <c r="D74" t="s">
        <v>64</v>
      </c>
    </row>
    <row r="75" spans="2:17" x14ac:dyDescent="0.25">
      <c r="B75" t="s">
        <v>38</v>
      </c>
      <c r="C75" s="8">
        <f>L117</f>
        <v>-5.1765809907596738</v>
      </c>
      <c r="D75" t="s">
        <v>63</v>
      </c>
    </row>
    <row r="76" spans="2:17" x14ac:dyDescent="0.25">
      <c r="B76" t="s">
        <v>16</v>
      </c>
      <c r="C76" s="8">
        <f>L127</f>
        <v>-2.4611534988499049</v>
      </c>
      <c r="D76" t="s">
        <v>62</v>
      </c>
    </row>
    <row r="78" spans="2:17" ht="15.75" thickBot="1" x14ac:dyDescent="0.3"/>
    <row r="79" spans="2:17" ht="15.75" thickBot="1" x14ac:dyDescent="0.3">
      <c r="C79" s="42" t="s">
        <v>61</v>
      </c>
      <c r="D79" s="47" t="s">
        <v>60</v>
      </c>
      <c r="E79" s="48"/>
      <c r="F79" s="49"/>
    </row>
    <row r="80" spans="2:17" ht="15.75" thickBot="1" x14ac:dyDescent="0.3">
      <c r="C80" s="45">
        <f>C74+C75+C76</f>
        <v>10.424409175629185</v>
      </c>
      <c r="D80" s="44">
        <v>1</v>
      </c>
      <c r="E80" s="44">
        <v>1.1000000000000001</v>
      </c>
      <c r="F80" s="44">
        <v>1.25</v>
      </c>
      <c r="H80" s="43" t="s">
        <v>59</v>
      </c>
      <c r="I80" s="43"/>
      <c r="J80" s="8"/>
      <c r="K80" s="8"/>
      <c r="L80" s="8"/>
      <c r="M80" s="8"/>
      <c r="N80" s="8"/>
      <c r="O80" s="8"/>
      <c r="P80" s="8"/>
      <c r="Q80" s="8"/>
    </row>
    <row r="81" spans="2:17" ht="15.75" thickBot="1" x14ac:dyDescent="0.3">
      <c r="B81" s="42" t="s">
        <v>14</v>
      </c>
      <c r="C81" s="41">
        <v>0.17</v>
      </c>
      <c r="D81" s="40">
        <f t="dataTable" ref="D81:F86" dt2D="1" dtr="1" r1="D98" r2="D97"/>
        <v>5.2072471619019449</v>
      </c>
      <c r="E81" s="40">
        <v>5.3671474637025032</v>
      </c>
      <c r="F81" s="40">
        <v>5.5615674266134469</v>
      </c>
      <c r="H81" s="8" t="s">
        <v>58</v>
      </c>
      <c r="I81" s="8"/>
      <c r="J81" s="8"/>
      <c r="K81" s="8"/>
      <c r="L81" s="8"/>
      <c r="M81" s="8"/>
      <c r="N81" s="8"/>
      <c r="O81" s="8"/>
      <c r="P81" s="8"/>
      <c r="Q81" s="8"/>
    </row>
    <row r="82" spans="2:17" ht="15.75" thickBot="1" x14ac:dyDescent="0.3">
      <c r="B82" s="42" t="s">
        <v>14</v>
      </c>
      <c r="C82" s="41">
        <v>0.26</v>
      </c>
      <c r="D82" s="40">
        <v>7.9129089018772714</v>
      </c>
      <c r="E82" s="40">
        <v>8.2558911578166825</v>
      </c>
      <c r="F82" s="40">
        <v>8.6797601822177413</v>
      </c>
      <c r="H82" s="8" t="s">
        <v>57</v>
      </c>
      <c r="I82" s="8"/>
      <c r="J82" s="8"/>
      <c r="K82" s="8"/>
      <c r="L82" s="8"/>
      <c r="M82" s="8"/>
      <c r="N82" s="8"/>
      <c r="O82" s="8"/>
      <c r="P82" s="8"/>
      <c r="Q82" s="8"/>
    </row>
    <row r="83" spans="2:17" ht="15.75" thickBot="1" x14ac:dyDescent="0.3">
      <c r="B83" s="42" t="s">
        <v>14</v>
      </c>
      <c r="C83" s="41">
        <v>0.35</v>
      </c>
      <c r="D83" s="40">
        <v>9.8697176349515967</v>
      </c>
      <c r="E83" s="40">
        <v>10.424409175629185</v>
      </c>
      <c r="F83" s="40">
        <v>11.123520847648754</v>
      </c>
      <c r="H83" s="8" t="s">
        <v>56</v>
      </c>
      <c r="I83" s="8"/>
      <c r="J83" s="8"/>
      <c r="K83" s="8"/>
      <c r="L83" s="8"/>
      <c r="M83" s="8"/>
      <c r="N83" s="8"/>
      <c r="O83" s="8"/>
      <c r="P83" s="8"/>
      <c r="Q83" s="8"/>
    </row>
    <row r="84" spans="2:17" ht="15.75" thickBot="1" x14ac:dyDescent="0.3">
      <c r="B84" s="42" t="s">
        <v>14</v>
      </c>
      <c r="C84" s="41">
        <v>0.44</v>
      </c>
      <c r="D84" s="40">
        <v>11.242784533227306</v>
      </c>
      <c r="E84" s="40">
        <v>12.010021976728897</v>
      </c>
      <c r="F84" s="40">
        <v>12.997759059860099</v>
      </c>
      <c r="H84" s="8" t="s">
        <v>55</v>
      </c>
      <c r="I84" s="8"/>
      <c r="J84" s="8"/>
      <c r="K84" s="8"/>
      <c r="L84" s="8"/>
      <c r="M84" s="8"/>
      <c r="N84" s="8"/>
      <c r="O84" s="8"/>
      <c r="P84" s="8"/>
      <c r="Q84" s="8"/>
    </row>
    <row r="85" spans="2:17" ht="15.75" thickBot="1" x14ac:dyDescent="0.3">
      <c r="B85" s="42" t="s">
        <v>14</v>
      </c>
      <c r="C85" s="41">
        <v>0.53</v>
      </c>
      <c r="D85" s="40">
        <v>12.182090969216208</v>
      </c>
      <c r="E85" s="40">
        <v>13.143617382806527</v>
      </c>
      <c r="F85" s="40">
        <v>14.408261057926508</v>
      </c>
      <c r="H85" s="8" t="s">
        <v>54</v>
      </c>
      <c r="I85" s="8"/>
      <c r="J85" s="8"/>
      <c r="K85" s="8"/>
      <c r="L85" s="8"/>
      <c r="M85" s="8"/>
      <c r="N85" s="8"/>
      <c r="O85" s="8"/>
      <c r="P85" s="8"/>
      <c r="Q85" s="8"/>
    </row>
    <row r="86" spans="2:17" ht="15.75" thickBot="1" x14ac:dyDescent="0.3">
      <c r="B86" s="42" t="s">
        <v>14</v>
      </c>
      <c r="C86" s="41">
        <v>0.62</v>
      </c>
      <c r="D86" s="40">
        <v>12.811222637862317</v>
      </c>
      <c r="E86" s="40">
        <v>13.938715780570723</v>
      </c>
      <c r="F86" s="40">
        <v>15.452457158288917</v>
      </c>
      <c r="H86" s="8" t="s">
        <v>53</v>
      </c>
      <c r="I86" s="8"/>
      <c r="J86" s="8"/>
      <c r="K86" s="8"/>
      <c r="L86" s="8"/>
      <c r="M86" s="8"/>
      <c r="N86" s="8"/>
      <c r="O86" s="8"/>
      <c r="P86" s="8"/>
      <c r="Q86" s="8"/>
    </row>
    <row r="88" spans="2:17" x14ac:dyDescent="0.25">
      <c r="B88" s="2" t="s">
        <v>6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90" spans="2:17" x14ac:dyDescent="0.25">
      <c r="B90" s="27" t="s">
        <v>52</v>
      </c>
      <c r="F90" s="34"/>
      <c r="G90" s="34"/>
      <c r="H90" s="34"/>
    </row>
    <row r="91" spans="2:17" ht="18" x14ac:dyDescent="0.35">
      <c r="B91" s="26" t="s">
        <v>51</v>
      </c>
      <c r="C91" s="22"/>
      <c r="D91" s="39">
        <v>100</v>
      </c>
      <c r="F91" s="34"/>
      <c r="G91" s="34"/>
      <c r="H91" s="34"/>
      <c r="L91" s="38"/>
      <c r="M91" t="s">
        <v>50</v>
      </c>
    </row>
    <row r="92" spans="2:17" x14ac:dyDescent="0.25">
      <c r="B92" s="13" t="s">
        <v>49</v>
      </c>
      <c r="D92" s="33">
        <v>0</v>
      </c>
      <c r="F92" s="34"/>
      <c r="G92" s="34"/>
      <c r="H92" s="34"/>
      <c r="L92" s="37"/>
      <c r="M92" t="s">
        <v>48</v>
      </c>
    </row>
    <row r="93" spans="2:17" x14ac:dyDescent="0.25">
      <c r="B93" s="13" t="s">
        <v>47</v>
      </c>
      <c r="D93" s="33">
        <v>0.15</v>
      </c>
      <c r="F93" s="34"/>
      <c r="G93" s="34"/>
      <c r="H93" s="34"/>
    </row>
    <row r="94" spans="2:17" x14ac:dyDescent="0.25">
      <c r="B94" s="13" t="s">
        <v>46</v>
      </c>
      <c r="D94" s="36">
        <v>3</v>
      </c>
      <c r="F94" s="34"/>
      <c r="G94" s="34"/>
      <c r="H94" s="34"/>
    </row>
    <row r="95" spans="2:17" x14ac:dyDescent="0.25">
      <c r="B95" s="13" t="s">
        <v>45</v>
      </c>
      <c r="D95" s="35">
        <v>0.04</v>
      </c>
      <c r="F95" s="34"/>
      <c r="G95" s="34"/>
      <c r="H95" s="34"/>
    </row>
    <row r="96" spans="2:17" x14ac:dyDescent="0.25">
      <c r="B96" s="13" t="s">
        <v>44</v>
      </c>
      <c r="D96" s="33">
        <v>0.1</v>
      </c>
      <c r="H96" s="32"/>
    </row>
    <row r="97" spans="2:13" x14ac:dyDescent="0.25">
      <c r="B97" s="13" t="s">
        <v>43</v>
      </c>
      <c r="D97" s="31">
        <v>0.35</v>
      </c>
    </row>
    <row r="98" spans="2:13" x14ac:dyDescent="0.25">
      <c r="B98" s="12" t="s">
        <v>42</v>
      </c>
      <c r="C98" s="11"/>
      <c r="D98" s="30">
        <v>1.1000000000000001</v>
      </c>
      <c r="H98" s="29"/>
    </row>
    <row r="99" spans="2:13" x14ac:dyDescent="0.25">
      <c r="B99" s="27"/>
      <c r="H99" s="28"/>
    </row>
    <row r="101" spans="2:13" x14ac:dyDescent="0.25">
      <c r="B101" s="27" t="s">
        <v>41</v>
      </c>
    </row>
    <row r="102" spans="2:13" x14ac:dyDescent="0.25">
      <c r="B102" s="26" t="s">
        <v>36</v>
      </c>
      <c r="C102" s="25">
        <v>100</v>
      </c>
      <c r="D102" s="22"/>
      <c r="E102" s="22" t="s">
        <v>35</v>
      </c>
      <c r="F102" s="24">
        <f>(LN(C102/C103)+(C105-C106)*C104+0.5*C107^2*C104)/(C107*SQRT(C104))</f>
        <v>0.59178402591936641</v>
      </c>
      <c r="G102" s="22"/>
      <c r="H102" s="22" t="s">
        <v>34</v>
      </c>
      <c r="I102" s="23">
        <f>_xlfn.NORM.S.DIST(F102,TRUE)</f>
        <v>0.72300238934105954</v>
      </c>
      <c r="J102" s="22"/>
      <c r="K102" s="22" t="s">
        <v>33</v>
      </c>
      <c r="L102" s="21">
        <f>EXP(-(F102^2)/2)/SQRT(2*PI())</f>
        <v>0.33486001509629298</v>
      </c>
    </row>
    <row r="103" spans="2:13" x14ac:dyDescent="0.25">
      <c r="B103" s="13" t="s">
        <v>32</v>
      </c>
      <c r="C103" s="8">
        <v>100</v>
      </c>
      <c r="E103" t="s">
        <v>31</v>
      </c>
      <c r="F103" s="18">
        <f>F102-C107*SQRT(C104)</f>
        <v>0.33197640478403484</v>
      </c>
      <c r="H103" t="s">
        <v>30</v>
      </c>
      <c r="I103" s="17">
        <f>_xlfn.NORM.S.DIST(F103,TRUE)</f>
        <v>0.63004646207249171</v>
      </c>
      <c r="K103" t="s">
        <v>29</v>
      </c>
      <c r="L103" s="16">
        <f>EXP(-(F103^2)/2)/SQRT(2*PI())</f>
        <v>0.37755361274089255</v>
      </c>
    </row>
    <row r="104" spans="2:13" x14ac:dyDescent="0.25">
      <c r="B104" s="13" t="s">
        <v>28</v>
      </c>
      <c r="C104" s="8">
        <f>D94</f>
        <v>3</v>
      </c>
      <c r="E104" s="19" t="s">
        <v>27</v>
      </c>
      <c r="F104" s="18">
        <f>-F102</f>
        <v>-0.59178402591936641</v>
      </c>
      <c r="H104" t="s">
        <v>26</v>
      </c>
      <c r="I104" s="17">
        <f>_xlfn.NORM.S.DIST(F104,TRUE)</f>
        <v>0.27699761065894041</v>
      </c>
      <c r="K104" t="s">
        <v>25</v>
      </c>
      <c r="L104" s="16">
        <f>EXP(-(F104^2)/2)/SQRT(2*PI())</f>
        <v>0.33486001509629298</v>
      </c>
    </row>
    <row r="105" spans="2:13" x14ac:dyDescent="0.25">
      <c r="B105" s="13" t="s">
        <v>24</v>
      </c>
      <c r="C105" s="20">
        <f>D95</f>
        <v>0.04</v>
      </c>
      <c r="E105" s="19" t="s">
        <v>23</v>
      </c>
      <c r="F105" s="18">
        <f>-F103</f>
        <v>-0.33197640478403484</v>
      </c>
      <c r="H105" t="s">
        <v>22</v>
      </c>
      <c r="I105" s="17">
        <f>_xlfn.NORM.S.DIST(F105,TRUE)</f>
        <v>0.36995353792750835</v>
      </c>
      <c r="K105" t="s">
        <v>21</v>
      </c>
      <c r="L105" s="16">
        <f>EXP(-(F105^2)/2)/SQRT(2*PI())</f>
        <v>0.37755361274089255</v>
      </c>
    </row>
    <row r="106" spans="2:13" x14ac:dyDescent="0.25">
      <c r="B106" s="13" t="s">
        <v>20</v>
      </c>
      <c r="C106" s="15">
        <v>0</v>
      </c>
      <c r="L106" s="14"/>
    </row>
    <row r="107" spans="2:13" x14ac:dyDescent="0.25">
      <c r="B107" s="13" t="s">
        <v>19</v>
      </c>
      <c r="C107" s="9">
        <f>D93</f>
        <v>0.15</v>
      </c>
      <c r="E107" t="s">
        <v>18</v>
      </c>
      <c r="F107">
        <f>C102*EXP(-C106*C104)*I102-C103*EXP(-C105*C104)*I103</f>
        <v>16.420130604762512</v>
      </c>
      <c r="H107" t="s">
        <v>17</v>
      </c>
      <c r="I107">
        <f>C103*EXP(-C105*C104)*I105-C102*EXP(-C106*C104)*I104</f>
        <v>5.1121742764782816</v>
      </c>
      <c r="K107" t="s">
        <v>40</v>
      </c>
      <c r="L107" s="8">
        <f>F107*D98</f>
        <v>18.062143665238764</v>
      </c>
      <c r="M107" t="s">
        <v>15</v>
      </c>
    </row>
    <row r="108" spans="2:13" x14ac:dyDescent="0.25">
      <c r="B108" s="12"/>
      <c r="C108" s="11"/>
      <c r="D108" s="11"/>
      <c r="E108" s="11"/>
      <c r="F108" s="11"/>
      <c r="G108" s="11"/>
      <c r="H108" s="11"/>
      <c r="I108" s="11"/>
      <c r="J108" s="11"/>
      <c r="K108" s="11"/>
      <c r="L108" s="10"/>
    </row>
    <row r="111" spans="2:13" x14ac:dyDescent="0.25">
      <c r="B111" s="27" t="s">
        <v>39</v>
      </c>
    </row>
    <row r="112" spans="2:13" x14ac:dyDescent="0.25">
      <c r="B112" s="26" t="s">
        <v>36</v>
      </c>
      <c r="C112" s="25">
        <v>100</v>
      </c>
      <c r="D112" s="22"/>
      <c r="E112" s="22" t="s">
        <v>35</v>
      </c>
      <c r="F112" s="24">
        <f>(LN(C112/C113)+(C115-C116)*C114+0.5*C117^2*C114)/(C117*SQRT(C114))</f>
        <v>-0.47151571648603458</v>
      </c>
      <c r="G112" s="22"/>
      <c r="H112" s="22" t="s">
        <v>34</v>
      </c>
      <c r="I112" s="23">
        <f>_xlfn.NORM.S.DIST(F112,TRUE)</f>
        <v>0.31863624949103064</v>
      </c>
      <c r="J112" s="22"/>
      <c r="K112" s="22" t="s">
        <v>33</v>
      </c>
      <c r="L112" s="21">
        <f>EXP(-(F112^2)/2)/SQRT(2*PI())</f>
        <v>0.35697052320975009</v>
      </c>
    </row>
    <row r="113" spans="2:13" x14ac:dyDescent="0.25">
      <c r="B113" s="13" t="s">
        <v>32</v>
      </c>
      <c r="C113" s="8">
        <f>100*(1+D97/D98)</f>
        <v>131.81818181818181</v>
      </c>
      <c r="E113" t="s">
        <v>31</v>
      </c>
      <c r="F113" s="18">
        <f>F112-C117*SQRT(C114)</f>
        <v>-0.73132333762136614</v>
      </c>
      <c r="H113" t="s">
        <v>30</v>
      </c>
      <c r="I113" s="17">
        <f>_xlfn.NORM.S.DIST(F113,TRUE)</f>
        <v>0.23229083946203136</v>
      </c>
      <c r="K113" t="s">
        <v>29</v>
      </c>
      <c r="L113" s="16">
        <f>EXP(-(F113^2)/2)/SQRT(2*PI())</f>
        <v>0.30533203801944775</v>
      </c>
    </row>
    <row r="114" spans="2:13" x14ac:dyDescent="0.25">
      <c r="B114" s="13" t="s">
        <v>28</v>
      </c>
      <c r="C114" s="8">
        <f>C104</f>
        <v>3</v>
      </c>
      <c r="E114" s="19" t="s">
        <v>27</v>
      </c>
      <c r="F114" s="18">
        <f>-F112</f>
        <v>0.47151571648603458</v>
      </c>
      <c r="H114" t="s">
        <v>26</v>
      </c>
      <c r="I114" s="17">
        <f>_xlfn.NORM.S.DIST(F114,TRUE)</f>
        <v>0.68136375050896936</v>
      </c>
      <c r="K114" t="s">
        <v>25</v>
      </c>
      <c r="L114" s="16">
        <f>EXP(-(F114^2)/2)/SQRT(2*PI())</f>
        <v>0.35697052320975009</v>
      </c>
    </row>
    <row r="115" spans="2:13" x14ac:dyDescent="0.25">
      <c r="B115" s="13" t="s">
        <v>24</v>
      </c>
      <c r="C115" s="20">
        <f>C105</f>
        <v>0.04</v>
      </c>
      <c r="E115" s="19" t="s">
        <v>23</v>
      </c>
      <c r="F115" s="18">
        <f>-F113</f>
        <v>0.73132333762136614</v>
      </c>
      <c r="H115" t="s">
        <v>22</v>
      </c>
      <c r="I115" s="17">
        <f>_xlfn.NORM.S.DIST(F115,TRUE)</f>
        <v>0.76770916053796867</v>
      </c>
      <c r="K115" t="s">
        <v>21</v>
      </c>
      <c r="L115" s="16">
        <f>EXP(-(F115^2)/2)/SQRT(2*PI())</f>
        <v>0.30533203801944775</v>
      </c>
    </row>
    <row r="116" spans="2:13" x14ac:dyDescent="0.25">
      <c r="B116" s="13" t="s">
        <v>20</v>
      </c>
      <c r="C116" s="15">
        <v>0</v>
      </c>
      <c r="L116" s="14"/>
    </row>
    <row r="117" spans="2:13" x14ac:dyDescent="0.25">
      <c r="B117" s="13" t="s">
        <v>19</v>
      </c>
      <c r="C117" s="9">
        <f>C107</f>
        <v>0.15</v>
      </c>
      <c r="E117" t="s">
        <v>18</v>
      </c>
      <c r="F117">
        <f>C112*EXP(-C116*C114)*I112-C113*EXP(-C115*C114)*I113</f>
        <v>4.7059827188724306</v>
      </c>
      <c r="H117" t="s">
        <v>17</v>
      </c>
      <c r="I117">
        <f>C113*EXP(-C115*C114)*I115-C112*EXP(-C116*C114)*I114</f>
        <v>21.618222104315919</v>
      </c>
      <c r="K117" t="s">
        <v>38</v>
      </c>
      <c r="L117" s="8">
        <f>-F117*D98</f>
        <v>-5.1765809907596738</v>
      </c>
      <c r="M117" t="s">
        <v>15</v>
      </c>
    </row>
    <row r="118" spans="2:13" x14ac:dyDescent="0.25">
      <c r="B118" s="12"/>
      <c r="C118" s="11"/>
      <c r="D118" s="11"/>
      <c r="E118" s="11"/>
      <c r="F118" s="11"/>
      <c r="G118" s="11"/>
      <c r="H118" s="11"/>
      <c r="I118" s="11"/>
      <c r="J118" s="11"/>
      <c r="K118" s="11"/>
      <c r="L118" s="10"/>
    </row>
    <row r="121" spans="2:13" x14ac:dyDescent="0.25">
      <c r="B121" s="27" t="s">
        <v>37</v>
      </c>
    </row>
    <row r="122" spans="2:13" x14ac:dyDescent="0.25">
      <c r="B122" s="26" t="s">
        <v>36</v>
      </c>
      <c r="C122" s="25">
        <v>100</v>
      </c>
      <c r="D122" s="22"/>
      <c r="E122" s="22" t="s">
        <v>35</v>
      </c>
      <c r="F122" s="24">
        <f>(LN(C122/C123)+(C125-C126)*C124+0.5*C127^2*C124)/(C127*SQRT(C124))</f>
        <v>0.99731683976605856</v>
      </c>
      <c r="G122" s="22"/>
      <c r="H122" s="22" t="s">
        <v>34</v>
      </c>
      <c r="I122" s="23">
        <f>_xlfn.NORM.S.DIST(F122,TRUE)</f>
        <v>0.84069462882795332</v>
      </c>
      <c r="J122" s="22"/>
      <c r="K122" s="22" t="s">
        <v>33</v>
      </c>
      <c r="L122" s="21">
        <f>EXP(-(F122^2)/2)/SQRT(2*PI())</f>
        <v>0.24261996918585765</v>
      </c>
    </row>
    <row r="123" spans="2:13" x14ac:dyDescent="0.25">
      <c r="B123" s="13" t="s">
        <v>32</v>
      </c>
      <c r="C123" s="8">
        <f>100*(1-D96)</f>
        <v>90</v>
      </c>
      <c r="E123" t="s">
        <v>31</v>
      </c>
      <c r="F123" s="18">
        <f>F122-C127*SQRT(C124)</f>
        <v>0.73750921863072705</v>
      </c>
      <c r="H123" t="s">
        <v>30</v>
      </c>
      <c r="I123" s="17">
        <f>_xlfn.NORM.S.DIST(F123,TRUE)</f>
        <v>0.76959363039085027</v>
      </c>
      <c r="K123" t="s">
        <v>29</v>
      </c>
      <c r="L123" s="16">
        <f>EXP(-(F123^2)/2)/SQRT(2*PI())</f>
        <v>0.30394805709704409</v>
      </c>
    </row>
    <row r="124" spans="2:13" x14ac:dyDescent="0.25">
      <c r="B124" s="13" t="s">
        <v>28</v>
      </c>
      <c r="C124" s="8">
        <f>C104</f>
        <v>3</v>
      </c>
      <c r="E124" s="19" t="s">
        <v>27</v>
      </c>
      <c r="F124" s="18">
        <f>-F122</f>
        <v>-0.99731683976605856</v>
      </c>
      <c r="H124" t="s">
        <v>26</v>
      </c>
      <c r="I124" s="17">
        <f>_xlfn.NORM.S.DIST(F124,TRUE)</f>
        <v>0.15930537117204663</v>
      </c>
      <c r="K124" t="s">
        <v>25</v>
      </c>
      <c r="L124" s="16">
        <f>EXP(-(F124^2)/2)/SQRT(2*PI())</f>
        <v>0.24261996918585765</v>
      </c>
    </row>
    <row r="125" spans="2:13" x14ac:dyDescent="0.25">
      <c r="B125" s="13" t="s">
        <v>24</v>
      </c>
      <c r="C125" s="20">
        <f>C105</f>
        <v>0.04</v>
      </c>
      <c r="E125" s="19" t="s">
        <v>23</v>
      </c>
      <c r="F125" s="18">
        <f>-F123</f>
        <v>-0.73750921863072705</v>
      </c>
      <c r="H125" t="s">
        <v>22</v>
      </c>
      <c r="I125" s="17">
        <f>_xlfn.NORM.S.DIST(F125,TRUE)</f>
        <v>0.23040636960914973</v>
      </c>
      <c r="K125" t="s">
        <v>21</v>
      </c>
      <c r="L125" s="16">
        <f>EXP(-(F125^2)/2)/SQRT(2*PI())</f>
        <v>0.30394805709704409</v>
      </c>
    </row>
    <row r="126" spans="2:13" x14ac:dyDescent="0.25">
      <c r="B126" s="13" t="s">
        <v>20</v>
      </c>
      <c r="C126" s="15">
        <v>0</v>
      </c>
      <c r="L126" s="14"/>
    </row>
    <row r="127" spans="2:13" x14ac:dyDescent="0.25">
      <c r="B127" s="13" t="s">
        <v>19</v>
      </c>
      <c r="C127" s="9">
        <f>C107</f>
        <v>0.15</v>
      </c>
      <c r="E127" t="s">
        <v>18</v>
      </c>
      <c r="F127">
        <f>C122*EXP(-C126*C124)*I122-C123*EXP(-C125*C124)*I123</f>
        <v>22.638314194305728</v>
      </c>
      <c r="H127" t="s">
        <v>17</v>
      </c>
      <c r="I127">
        <f>C123*EXP(-C125*C124)*I125-C122*EXP(-C126*C124)*I124</f>
        <v>2.4611534988499049</v>
      </c>
      <c r="K127" t="s">
        <v>16</v>
      </c>
      <c r="L127" s="8">
        <f>-I127</f>
        <v>-2.4611534988499049</v>
      </c>
      <c r="M127" t="s">
        <v>15</v>
      </c>
    </row>
    <row r="128" spans="2:13" x14ac:dyDescent="0.25">
      <c r="B128" s="12"/>
      <c r="C128" s="11"/>
      <c r="D128" s="11"/>
      <c r="E128" s="11"/>
      <c r="F128" s="11"/>
      <c r="G128" s="11"/>
      <c r="H128" s="11"/>
      <c r="I128" s="11"/>
      <c r="J128" s="11"/>
      <c r="K128" s="11"/>
      <c r="L128" s="10"/>
    </row>
    <row r="136" spans="2:14" x14ac:dyDescent="0.25">
      <c r="B136" s="2" t="s">
        <v>12</v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2:14" x14ac:dyDescent="0.25">
      <c r="B137" t="s">
        <v>14</v>
      </c>
      <c r="D137" s="9">
        <v>0.35</v>
      </c>
    </row>
    <row r="139" spans="2:14" x14ac:dyDescent="0.25">
      <c r="B139" s="2" t="s">
        <v>6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1" spans="2:14" x14ac:dyDescent="0.25">
      <c r="C141" t="s">
        <v>13</v>
      </c>
    </row>
    <row r="156" spans="2:14" x14ac:dyDescent="0.25">
      <c r="B156" s="2" t="s">
        <v>12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2:14" x14ac:dyDescent="0.25"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</row>
    <row r="158" spans="2:14" x14ac:dyDescent="0.25">
      <c r="B158" s="8" t="s">
        <v>11</v>
      </c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</row>
    <row r="159" spans="2:14" x14ac:dyDescent="0.25">
      <c r="B159" s="8" t="s">
        <v>10</v>
      </c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</row>
    <row r="160" spans="2:14" x14ac:dyDescent="0.25">
      <c r="B160" s="8" t="s">
        <v>9</v>
      </c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</row>
    <row r="161" spans="2:14" x14ac:dyDescent="0.25"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</row>
    <row r="162" spans="2:14" x14ac:dyDescent="0.25"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</row>
  </sheetData>
  <mergeCells count="1">
    <mergeCell ref="D79:F7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Q9</vt:lpstr>
      <vt:lpstr>Q9 Alt</vt:lpstr>
      <vt:lpstr>Q11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Natchev, Veltcho Z</dc:creator>
  <cp:lastModifiedBy>Aleshia Zionce</cp:lastModifiedBy>
  <dcterms:created xsi:type="dcterms:W3CDTF">2024-06-08T19:36:35Z</dcterms:created>
  <dcterms:modified xsi:type="dcterms:W3CDTF">2024-10-09T17:14:17Z</dcterms:modified>
</cp:coreProperties>
</file>