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https://societyofactuaries-my.sharepoint.com/personal/slennox_soa_org/Documents/Documents/SOA GI Track/Exam1/2024 Spring/Model Solutions/Draft/"/>
    </mc:Choice>
  </mc:AlternateContent>
  <xr:revisionPtr revIDLastSave="639" documentId="8_{3618A91E-2879-447F-BE36-313C0086FE11}" xr6:coauthVersionLast="47" xr6:coauthVersionMax="47" xr10:uidLastSave="{B30F7F93-3CFA-4A35-A646-AE4D5B5D5B32}"/>
  <bookViews>
    <workbookView xWindow="28680" yWindow="-120" windowWidth="38640" windowHeight="21240" tabRatio="784" xr2:uid="{00000000-000D-0000-FFFF-FFFF00000000}"/>
  </bookViews>
  <sheets>
    <sheet name="Question 1" sheetId="37" r:id="rId1"/>
    <sheet name="Question 2" sheetId="40" r:id="rId2"/>
    <sheet name="Question 3" sheetId="41" r:id="rId3"/>
    <sheet name="Question 4" sheetId="42" r:id="rId4"/>
    <sheet name="Question 5" sheetId="43" r:id="rId5"/>
    <sheet name="Question 6" sheetId="44" r:id="rId6"/>
    <sheet name="Question 7" sheetId="45" r:id="rId7"/>
    <sheet name="Question 8" sheetId="46" r:id="rId8"/>
    <sheet name="Question 9" sheetId="47" r:id="rId9"/>
    <sheet name="Question 10" sheetId="48" r:id="rId10"/>
    <sheet name="Question 11" sheetId="49" r:id="rId11"/>
    <sheet name="Question 12" sheetId="50" r:id="rId12"/>
    <sheet name="Question 13" sheetId="51" r:id="rId13"/>
  </sheets>
  <definedNames>
    <definedName name="OLE_LINK1" localSheetId="0">'Question 1'!$B$15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9" i="51" l="1"/>
  <c r="E119" i="51" s="1"/>
  <c r="D112" i="51"/>
  <c r="E112" i="51" s="1"/>
  <c r="D100" i="51"/>
  <c r="E100" i="51" s="1"/>
  <c r="D92" i="51"/>
  <c r="E92" i="51" s="1"/>
  <c r="B67" i="51"/>
  <c r="A67" i="51"/>
  <c r="B66" i="51"/>
  <c r="A66" i="51"/>
  <c r="A57" i="51"/>
  <c r="A56" i="51"/>
  <c r="B53" i="51"/>
  <c r="C52" i="51"/>
  <c r="B52" i="51"/>
  <c r="D51" i="51"/>
  <c r="C51" i="51"/>
  <c r="B51" i="51"/>
  <c r="E50" i="51"/>
  <c r="D50" i="51"/>
  <c r="C50" i="51"/>
  <c r="B50" i="51"/>
  <c r="F49" i="51"/>
  <c r="E49" i="51"/>
  <c r="D49" i="51"/>
  <c r="C49" i="51"/>
  <c r="B49" i="51"/>
  <c r="G48" i="51"/>
  <c r="F48" i="51"/>
  <c r="E48" i="51"/>
  <c r="D48" i="51"/>
  <c r="C48" i="51"/>
  <c r="B48" i="51"/>
  <c r="G47" i="51"/>
  <c r="F47" i="51"/>
  <c r="E47" i="51"/>
  <c r="D47" i="51"/>
  <c r="C47" i="51"/>
  <c r="B47" i="51"/>
  <c r="G46" i="51"/>
  <c r="F46" i="51"/>
  <c r="E46" i="51"/>
  <c r="D46" i="51"/>
  <c r="C46" i="51"/>
  <c r="B46" i="51"/>
  <c r="G45" i="51"/>
  <c r="F45" i="51"/>
  <c r="E45" i="51"/>
  <c r="D45" i="51"/>
  <c r="C45" i="51"/>
  <c r="B45" i="51"/>
  <c r="C44" i="51"/>
  <c r="D44" i="51" s="1"/>
  <c r="E44" i="51" s="1"/>
  <c r="F44" i="51" s="1"/>
  <c r="G44" i="51" s="1"/>
  <c r="C95" i="50"/>
  <c r="B94" i="50"/>
  <c r="B93" i="50" s="1"/>
  <c r="A90" i="50"/>
  <c r="A91" i="50" s="1"/>
  <c r="A92" i="50" s="1"/>
  <c r="A93" i="50" s="1"/>
  <c r="A94" i="50" s="1"/>
  <c r="A95" i="50" s="1"/>
  <c r="A50" i="50"/>
  <c r="A51" i="50" s="1"/>
  <c r="A52" i="50" s="1"/>
  <c r="A53" i="50" s="1"/>
  <c r="A54" i="50" s="1"/>
  <c r="A55" i="50" s="1"/>
  <c r="C39" i="50"/>
  <c r="B39" i="50"/>
  <c r="C38" i="50"/>
  <c r="B38" i="50"/>
  <c r="C37" i="50"/>
  <c r="B37" i="50"/>
  <c r="C36" i="50"/>
  <c r="B36" i="50"/>
  <c r="C35" i="50"/>
  <c r="B35" i="50"/>
  <c r="C34" i="50"/>
  <c r="B34" i="50"/>
  <c r="A34" i="50"/>
  <c r="A35" i="50" s="1"/>
  <c r="A36" i="50" s="1"/>
  <c r="A37" i="50" s="1"/>
  <c r="A38" i="50" s="1"/>
  <c r="A39" i="50" s="1"/>
  <c r="H131" i="48"/>
  <c r="H130" i="48"/>
  <c r="H129" i="48"/>
  <c r="H128" i="48"/>
  <c r="H127" i="48"/>
  <c r="H126" i="48"/>
  <c r="H116" i="48"/>
  <c r="B116" i="48" s="1"/>
  <c r="A136" i="48"/>
  <c r="A137" i="48" s="1"/>
  <c r="A138" i="48" s="1"/>
  <c r="A139" i="48" s="1"/>
  <c r="A140" i="48" s="1"/>
  <c r="C134" i="48"/>
  <c r="D134" i="48" s="1"/>
  <c r="E134" i="48" s="1"/>
  <c r="F134" i="48" s="1"/>
  <c r="G134" i="48" s="1"/>
  <c r="A127" i="48"/>
  <c r="A128" i="48" s="1"/>
  <c r="A129" i="48" s="1"/>
  <c r="A130" i="48" s="1"/>
  <c r="A131" i="48" s="1"/>
  <c r="C125" i="48"/>
  <c r="D125" i="48" s="1"/>
  <c r="E125" i="48" s="1"/>
  <c r="F125" i="48" s="1"/>
  <c r="G125" i="48" s="1"/>
  <c r="H121" i="48"/>
  <c r="B121" i="48" s="1"/>
  <c r="B122" i="48" s="1"/>
  <c r="H120" i="48"/>
  <c r="B120" i="48" s="1"/>
  <c r="H119" i="48"/>
  <c r="C119" i="48" s="1"/>
  <c r="H118" i="48"/>
  <c r="E118" i="48" s="1"/>
  <c r="E122" i="48" s="1"/>
  <c r="H117" i="48"/>
  <c r="F117" i="48" s="1"/>
  <c r="F122" i="48" s="1"/>
  <c r="A117" i="48"/>
  <c r="A118" i="48" s="1"/>
  <c r="A119" i="48" s="1"/>
  <c r="A120" i="48" s="1"/>
  <c r="A121" i="48" s="1"/>
  <c r="C115" i="48"/>
  <c r="D115" i="48" s="1"/>
  <c r="E115" i="48" s="1"/>
  <c r="F115" i="48" s="1"/>
  <c r="G115" i="48" s="1"/>
  <c r="C90" i="48"/>
  <c r="D90" i="48" s="1"/>
  <c r="E90" i="48" s="1"/>
  <c r="F90" i="48" s="1"/>
  <c r="G90" i="48" s="1"/>
  <c r="B87" i="48"/>
  <c r="C86" i="48"/>
  <c r="B86" i="48"/>
  <c r="D85" i="48"/>
  <c r="C85" i="48"/>
  <c r="B85" i="48"/>
  <c r="E84" i="48"/>
  <c r="D84" i="48"/>
  <c r="C84" i="48"/>
  <c r="B84" i="48"/>
  <c r="F83" i="48"/>
  <c r="E83" i="48"/>
  <c r="D83" i="48"/>
  <c r="C83" i="48"/>
  <c r="B83" i="48"/>
  <c r="A83" i="48"/>
  <c r="A91" i="48" s="1"/>
  <c r="G82" i="48"/>
  <c r="F82" i="48"/>
  <c r="E82" i="48"/>
  <c r="D82" i="48"/>
  <c r="C82" i="48"/>
  <c r="B82" i="48"/>
  <c r="C81" i="48"/>
  <c r="D81" i="48" s="1"/>
  <c r="E81" i="48" s="1"/>
  <c r="F81" i="48" s="1"/>
  <c r="G81" i="48" s="1"/>
  <c r="B68" i="48"/>
  <c r="C67" i="48"/>
  <c r="B67" i="48"/>
  <c r="D66" i="48"/>
  <c r="C66" i="48"/>
  <c r="B66" i="48"/>
  <c r="E65" i="48"/>
  <c r="D65" i="48"/>
  <c r="C65" i="48"/>
  <c r="B65" i="48"/>
  <c r="F64" i="48"/>
  <c r="E64" i="48"/>
  <c r="D64" i="48"/>
  <c r="C64" i="48"/>
  <c r="B64" i="48"/>
  <c r="A64" i="48"/>
  <c r="A65" i="48" s="1"/>
  <c r="A66" i="48" s="1"/>
  <c r="A67" i="48" s="1"/>
  <c r="A68" i="48" s="1"/>
  <c r="G63" i="48"/>
  <c r="F63" i="48"/>
  <c r="E63" i="48"/>
  <c r="D63" i="48"/>
  <c r="C63" i="48"/>
  <c r="B63" i="48"/>
  <c r="C62" i="48"/>
  <c r="D62" i="48" s="1"/>
  <c r="E62" i="48" s="1"/>
  <c r="F62" i="48" s="1"/>
  <c r="G62" i="48" s="1"/>
  <c r="B57" i="48"/>
  <c r="C56" i="48"/>
  <c r="B56" i="48"/>
  <c r="D55" i="48"/>
  <c r="C55" i="48"/>
  <c r="B55" i="48"/>
  <c r="E54" i="48"/>
  <c r="D54" i="48"/>
  <c r="C54" i="48"/>
  <c r="B54" i="48"/>
  <c r="F53" i="48"/>
  <c r="E53" i="48"/>
  <c r="D53" i="48"/>
  <c r="C53" i="48"/>
  <c r="B53" i="48"/>
  <c r="A53" i="48"/>
  <c r="A54" i="48" s="1"/>
  <c r="A55" i="48" s="1"/>
  <c r="A56" i="48" s="1"/>
  <c r="A57" i="48" s="1"/>
  <c r="G52" i="48"/>
  <c r="F52" i="48"/>
  <c r="E52" i="48"/>
  <c r="D52" i="48"/>
  <c r="C52" i="48"/>
  <c r="B52" i="48"/>
  <c r="C51" i="48"/>
  <c r="D51" i="48" s="1"/>
  <c r="E51" i="48" s="1"/>
  <c r="F51" i="48" s="1"/>
  <c r="G51" i="48" s="1"/>
  <c r="B57" i="51" l="1"/>
  <c r="C67" i="51"/>
  <c r="B56" i="51"/>
  <c r="C57" i="51" s="1"/>
  <c r="C93" i="50"/>
  <c r="B92" i="50"/>
  <c r="C94" i="50"/>
  <c r="D36" i="50"/>
  <c r="D38" i="50"/>
  <c r="E39" i="50" s="1"/>
  <c r="D35" i="50"/>
  <c r="D34" i="50"/>
  <c r="D39" i="50"/>
  <c r="C55" i="50" s="1"/>
  <c r="D37" i="50"/>
  <c r="E37" i="50" s="1"/>
  <c r="E36" i="50"/>
  <c r="F116" i="48"/>
  <c r="E116" i="48"/>
  <c r="G116" i="48"/>
  <c r="G122" i="48" s="1"/>
  <c r="C116" i="48"/>
  <c r="D116" i="48"/>
  <c r="D119" i="48"/>
  <c r="D122" i="48" s="1"/>
  <c r="D126" i="48" s="1"/>
  <c r="D135" i="48" s="1"/>
  <c r="C120" i="48"/>
  <c r="C122" i="48" s="1"/>
  <c r="C130" i="48" s="1"/>
  <c r="C139" i="48" s="1"/>
  <c r="C126" i="48"/>
  <c r="C135" i="48" s="1"/>
  <c r="E91" i="48"/>
  <c r="F91" i="48"/>
  <c r="F96" i="48" s="1"/>
  <c r="D128" i="48"/>
  <c r="D137" i="48" s="1"/>
  <c r="F126" i="48"/>
  <c r="F135" i="48" s="1"/>
  <c r="C118" i="48"/>
  <c r="C94" i="48"/>
  <c r="D118" i="48"/>
  <c r="G126" i="48"/>
  <c r="G135" i="48" s="1"/>
  <c r="E127" i="48"/>
  <c r="E136" i="48" s="1"/>
  <c r="E128" i="48"/>
  <c r="E137" i="48" s="1"/>
  <c r="E126" i="48"/>
  <c r="E135" i="48" s="1"/>
  <c r="B131" i="48"/>
  <c r="B140" i="48" s="1"/>
  <c r="B130" i="48"/>
  <c r="B139" i="48" s="1"/>
  <c r="B127" i="48"/>
  <c r="B136" i="48" s="1"/>
  <c r="B129" i="48"/>
  <c r="B138" i="48" s="1"/>
  <c r="B126" i="48"/>
  <c r="B135" i="48" s="1"/>
  <c r="B128" i="48"/>
  <c r="B137" i="48" s="1"/>
  <c r="F127" i="48"/>
  <c r="F136" i="48" s="1"/>
  <c r="B118" i="48"/>
  <c r="C128" i="48"/>
  <c r="C137" i="48" s="1"/>
  <c r="C129" i="48"/>
  <c r="C138" i="48" s="1"/>
  <c r="B119" i="48"/>
  <c r="D129" i="48"/>
  <c r="D138" i="48" s="1"/>
  <c r="C127" i="48"/>
  <c r="C136" i="48" s="1"/>
  <c r="B117" i="48"/>
  <c r="D117" i="48"/>
  <c r="E117" i="48"/>
  <c r="C117" i="48"/>
  <c r="B92" i="48"/>
  <c r="C92" i="48"/>
  <c r="D92" i="48"/>
  <c r="E92" i="48"/>
  <c r="E96" i="48" s="1"/>
  <c r="B95" i="48"/>
  <c r="B93" i="48"/>
  <c r="C93" i="48"/>
  <c r="B91" i="48"/>
  <c r="D93" i="48"/>
  <c r="C91" i="48"/>
  <c r="B94" i="48"/>
  <c r="D91" i="48"/>
  <c r="A84" i="48"/>
  <c r="A92" i="48" s="1"/>
  <c r="D103" i="46"/>
  <c r="A103" i="46"/>
  <c r="E38" i="50" l="1"/>
  <c r="B91" i="50"/>
  <c r="C92" i="50"/>
  <c r="E35" i="50"/>
  <c r="E40" i="50"/>
  <c r="D127" i="48"/>
  <c r="D136" i="48" s="1"/>
  <c r="D96" i="48"/>
  <c r="C96" i="48"/>
  <c r="A85" i="48"/>
  <c r="A93" i="48" s="1"/>
  <c r="B96" i="48"/>
  <c r="A86" i="48"/>
  <c r="C82" i="46"/>
  <c r="C81" i="46"/>
  <c r="C80" i="46"/>
  <c r="C79" i="46"/>
  <c r="C78" i="46"/>
  <c r="G59" i="46"/>
  <c r="G60" i="46" s="1"/>
  <c r="F59" i="46"/>
  <c r="F60" i="46" s="1"/>
  <c r="E59" i="46"/>
  <c r="E60" i="46" s="1"/>
  <c r="D59" i="46"/>
  <c r="D60" i="46" s="1"/>
  <c r="C59" i="46"/>
  <c r="C60" i="46" s="1"/>
  <c r="C61" i="46" s="1"/>
  <c r="B71" i="46"/>
  <c r="B70" i="46"/>
  <c r="B69" i="46"/>
  <c r="B68" i="46"/>
  <c r="B67" i="46"/>
  <c r="B83" i="46"/>
  <c r="A82" i="46"/>
  <c r="A81" i="46" s="1"/>
  <c r="A70" i="46"/>
  <c r="A69" i="46" s="1"/>
  <c r="A68" i="46" s="1"/>
  <c r="A67" i="46" s="1"/>
  <c r="C65" i="46" s="1"/>
  <c r="D65" i="46" s="1"/>
  <c r="E65" i="46" s="1"/>
  <c r="F65" i="46" s="1"/>
  <c r="G65" i="46" s="1"/>
  <c r="D58" i="46"/>
  <c r="E58" i="46" s="1"/>
  <c r="F58" i="46" s="1"/>
  <c r="G58" i="46" s="1"/>
  <c r="C91" i="50" l="1"/>
  <c r="C98" i="50" s="1"/>
  <c r="B90" i="50"/>
  <c r="C90" i="50" s="1"/>
  <c r="C97" i="50" s="1"/>
  <c r="C99" i="50" s="1"/>
  <c r="A87" i="48"/>
  <c r="A95" i="48"/>
  <c r="A94" i="48"/>
  <c r="C83" i="46"/>
  <c r="A80" i="46"/>
  <c r="A79" i="46" s="1"/>
  <c r="A78" i="46" s="1"/>
  <c r="B72" i="46"/>
  <c r="G61" i="46"/>
  <c r="G67" i="46" s="1"/>
  <c r="F61" i="46"/>
  <c r="F67" i="46" s="1"/>
  <c r="E61" i="46"/>
  <c r="E67" i="46" s="1"/>
  <c r="D61" i="46"/>
  <c r="G70" i="46" s="1"/>
  <c r="D68" i="46"/>
  <c r="F70" i="46"/>
  <c r="C67" i="46"/>
  <c r="C72" i="46" s="1"/>
  <c r="D78" i="46" s="1"/>
  <c r="E69" i="46"/>
  <c r="G71" i="46"/>
  <c r="D92" i="50" l="1"/>
  <c r="D93" i="50"/>
  <c r="D95" i="50"/>
  <c r="D90" i="50"/>
  <c r="D94" i="50"/>
  <c r="D91" i="50"/>
  <c r="G68" i="46"/>
  <c r="E68" i="46"/>
  <c r="E72" i="46" s="1"/>
  <c r="D80" i="46" s="1"/>
  <c r="E80" i="46" s="1"/>
  <c r="E78" i="46"/>
  <c r="G69" i="46"/>
  <c r="F68" i="46"/>
  <c r="G72" i="46"/>
  <c r="D82" i="46" s="1"/>
  <c r="E82" i="46" s="1"/>
  <c r="D67" i="46"/>
  <c r="D72" i="46" s="1"/>
  <c r="D79" i="46" s="1"/>
  <c r="E79" i="46" s="1"/>
  <c r="F69" i="46"/>
  <c r="F72" i="46" s="1"/>
  <c r="D81" i="46" s="1"/>
  <c r="E81" i="46" s="1"/>
  <c r="D83" i="46" l="1"/>
  <c r="E83" i="46" s="1"/>
  <c r="A105" i="46" s="1"/>
  <c r="F105" i="46" l="1"/>
  <c r="D55" i="45" l="1"/>
  <c r="A44" i="45"/>
  <c r="A43" i="45"/>
  <c r="A42" i="45"/>
  <c r="D37" i="45"/>
  <c r="E37" i="45" s="1"/>
  <c r="B37" i="45"/>
  <c r="A37" i="45"/>
  <c r="D36" i="45"/>
  <c r="C36" i="45"/>
  <c r="C35" i="45" s="1"/>
  <c r="B36" i="45"/>
  <c r="A36" i="45"/>
  <c r="D35" i="45"/>
  <c r="B35" i="45"/>
  <c r="A35" i="45"/>
  <c r="C31" i="45"/>
  <c r="B31" i="45"/>
  <c r="A31" i="45"/>
  <c r="C30" i="45"/>
  <c r="B30" i="45"/>
  <c r="A30" i="45"/>
  <c r="C29" i="45"/>
  <c r="B29" i="45"/>
  <c r="A29" i="45"/>
  <c r="F37" i="45" l="1"/>
  <c r="G37" i="45" s="1"/>
  <c r="E35" i="45"/>
  <c r="F35" i="45" s="1"/>
  <c r="G35" i="45" s="1"/>
  <c r="B42" i="45" s="1"/>
  <c r="D29" i="45"/>
  <c r="E29" i="45" s="1"/>
  <c r="E36" i="45"/>
  <c r="F36" i="45" s="1"/>
  <c r="G36" i="45" s="1"/>
  <c r="H36" i="45" s="1"/>
  <c r="D31" i="45"/>
  <c r="D30" i="45"/>
  <c r="E30" i="45" s="1"/>
  <c r="E31" i="45" l="1"/>
  <c r="D51" i="45"/>
  <c r="B44" i="45"/>
  <c r="D52" i="45"/>
  <c r="B43" i="45"/>
  <c r="D43" i="45" s="1"/>
  <c r="H35" i="45"/>
  <c r="D44" i="45"/>
  <c r="C44" i="45"/>
  <c r="H37" i="45"/>
  <c r="D42" i="45"/>
  <c r="C42" i="45"/>
  <c r="E42" i="45" s="1"/>
  <c r="E44" i="45" l="1"/>
  <c r="D53" i="45"/>
  <c r="C43" i="45"/>
  <c r="E43" i="45" s="1"/>
  <c r="C155" i="43" l="1"/>
  <c r="D155" i="43" s="1"/>
  <c r="E155" i="43" s="1"/>
  <c r="F155" i="43" s="1"/>
  <c r="G155" i="43" s="1"/>
  <c r="G177" i="43"/>
  <c r="G176" i="43"/>
  <c r="G175" i="43"/>
  <c r="G173" i="43"/>
  <c r="E169" i="43"/>
  <c r="E168" i="43"/>
  <c r="E167" i="43"/>
  <c r="E166" i="43"/>
  <c r="E165" i="43"/>
  <c r="B169" i="43"/>
  <c r="B168" i="43"/>
  <c r="B167" i="43"/>
  <c r="B166" i="43"/>
  <c r="B165" i="43"/>
  <c r="A168" i="43"/>
  <c r="A167" i="43"/>
  <c r="A166" i="43"/>
  <c r="A165" i="43"/>
  <c r="A169" i="43"/>
  <c r="C162" i="43"/>
  <c r="B157" i="43"/>
  <c r="B158" i="43" s="1"/>
  <c r="G158" i="43"/>
  <c r="C158" i="43"/>
  <c r="E157" i="43"/>
  <c r="E158" i="43" s="1"/>
  <c r="D157" i="43"/>
  <c r="D156" i="43" s="1"/>
  <c r="V150" i="43"/>
  <c r="AD150" i="43" s="1"/>
  <c r="B131" i="43"/>
  <c r="B130" i="43"/>
  <c r="B129" i="43"/>
  <c r="B128" i="43"/>
  <c r="B112" i="43"/>
  <c r="B111" i="43"/>
  <c r="B110" i="43"/>
  <c r="B109" i="43"/>
  <c r="B113" i="43"/>
  <c r="C113" i="43" s="1"/>
  <c r="A112" i="43"/>
  <c r="A130" i="43" s="1"/>
  <c r="A111" i="43"/>
  <c r="A129" i="43" s="1"/>
  <c r="A110" i="43"/>
  <c r="A128" i="43" s="1"/>
  <c r="A109" i="43"/>
  <c r="A113" i="43"/>
  <c r="A131" i="43" s="1"/>
  <c r="A43" i="43"/>
  <c r="A42" i="43"/>
  <c r="A41" i="43"/>
  <c r="A40" i="43"/>
  <c r="A39" i="43"/>
  <c r="A38" i="43"/>
  <c r="A37" i="43"/>
  <c r="A36" i="43"/>
  <c r="A35" i="43"/>
  <c r="A44" i="43"/>
  <c r="E31" i="43" s="1"/>
  <c r="D44" i="43" s="1"/>
  <c r="F169" i="43" s="1"/>
  <c r="C44" i="43"/>
  <c r="B44" i="43"/>
  <c r="C43" i="43"/>
  <c r="B43" i="43"/>
  <c r="C42" i="43"/>
  <c r="B42" i="43"/>
  <c r="C41" i="43"/>
  <c r="B41" i="43"/>
  <c r="C40" i="43"/>
  <c r="B40" i="43"/>
  <c r="C39" i="43"/>
  <c r="B39" i="43"/>
  <c r="C38" i="43"/>
  <c r="B38" i="43"/>
  <c r="C37" i="43"/>
  <c r="B37" i="43"/>
  <c r="C36" i="43"/>
  <c r="B36" i="43"/>
  <c r="C35" i="43"/>
  <c r="B35" i="43"/>
  <c r="G169" i="43" l="1"/>
  <c r="H169" i="43" s="1"/>
  <c r="G159" i="43"/>
  <c r="G160" i="43" s="1"/>
  <c r="C169" i="43" s="1"/>
  <c r="D169" i="43" s="1"/>
  <c r="D158" i="43"/>
  <c r="D159" i="43" s="1"/>
  <c r="D160" i="43" s="1"/>
  <c r="C166" i="43" s="1"/>
  <c r="D166" i="43" s="1"/>
  <c r="F157" i="43"/>
  <c r="F158" i="43" s="1"/>
  <c r="C159" i="43"/>
  <c r="C160" i="43" s="1"/>
  <c r="C165" i="43" s="1"/>
  <c r="D165" i="43" s="1"/>
  <c r="E159" i="43"/>
  <c r="E160" i="43" s="1"/>
  <c r="C167" i="43" s="1"/>
  <c r="D167" i="43" s="1"/>
  <c r="C112" i="43"/>
  <c r="C111" i="43" s="1"/>
  <c r="C110" i="43" s="1"/>
  <c r="C109" i="43" s="1"/>
  <c r="B132" i="43"/>
  <c r="C128" i="43" s="1"/>
  <c r="F44" i="43"/>
  <c r="E44" i="43"/>
  <c r="I169" i="43" l="1"/>
  <c r="F159" i="43"/>
  <c r="F160" i="43" s="1"/>
  <c r="C168" i="43" s="1"/>
  <c r="D168" i="43" s="1"/>
  <c r="C131" i="43"/>
  <c r="D131" i="43" s="1"/>
  <c r="C129" i="43"/>
  <c r="C130" i="43"/>
  <c r="D43" i="43"/>
  <c r="F168" i="43" s="1"/>
  <c r="G168" i="43" s="1"/>
  <c r="H168" i="43" s="1"/>
  <c r="H44" i="43"/>
  <c r="G44" i="43"/>
  <c r="I168" i="43" l="1"/>
  <c r="D130" i="43"/>
  <c r="E43" i="43"/>
  <c r="G43" i="43" s="1"/>
  <c r="F43" i="43"/>
  <c r="H43" i="43" s="1"/>
  <c r="I44" i="43"/>
  <c r="D42" i="43"/>
  <c r="F167" i="43" s="1"/>
  <c r="G167" i="43" s="1"/>
  <c r="H167" i="43" s="1"/>
  <c r="I167" i="43" s="1"/>
  <c r="D129" i="43" l="1"/>
  <c r="E42" i="43"/>
  <c r="G42" i="43" s="1"/>
  <c r="F42" i="43"/>
  <c r="H42" i="43" s="1"/>
  <c r="D41" i="43"/>
  <c r="F166" i="43" s="1"/>
  <c r="G166" i="43" s="1"/>
  <c r="H166" i="43" s="1"/>
  <c r="I166" i="43" s="1"/>
  <c r="I43" i="43"/>
  <c r="D128" i="43" l="1"/>
  <c r="I42" i="43"/>
  <c r="F41" i="43"/>
  <c r="H41" i="43" s="1"/>
  <c r="E41" i="43"/>
  <c r="G41" i="43" s="1"/>
  <c r="D40" i="43"/>
  <c r="F165" i="43" s="1"/>
  <c r="G165" i="43" s="1"/>
  <c r="H165" i="43" s="1"/>
  <c r="I165" i="43" s="1"/>
  <c r="E27" i="41"/>
  <c r="G28" i="41" s="1"/>
  <c r="I28" i="41" s="1"/>
  <c r="K28" i="41" s="1"/>
  <c r="I23" i="41"/>
  <c r="K23" i="41" s="1"/>
  <c r="E23" i="41"/>
  <c r="C33" i="40"/>
  <c r="B55" i="40"/>
  <c r="B54" i="40"/>
  <c r="C46" i="40"/>
  <c r="C55" i="40" s="1"/>
  <c r="C45" i="40"/>
  <c r="C54" i="40" s="1"/>
  <c r="C29" i="40"/>
  <c r="D28" i="40"/>
  <c r="C28" i="40"/>
  <c r="E27" i="40"/>
  <c r="D27" i="40"/>
  <c r="C27" i="40"/>
  <c r="F26" i="40"/>
  <c r="E26" i="40"/>
  <c r="D26" i="40"/>
  <c r="C26" i="40"/>
  <c r="G25" i="40"/>
  <c r="F25" i="40"/>
  <c r="E25" i="40"/>
  <c r="D25" i="40"/>
  <c r="C25" i="40"/>
  <c r="H24" i="40"/>
  <c r="G24" i="40"/>
  <c r="F24" i="40"/>
  <c r="F32" i="40" s="1"/>
  <c r="E24" i="40"/>
  <c r="D24" i="40"/>
  <c r="C24" i="40"/>
  <c r="I23" i="40"/>
  <c r="I33" i="40" s="1"/>
  <c r="I40" i="40" s="1"/>
  <c r="I41" i="40" s="1"/>
  <c r="H23" i="40"/>
  <c r="G23" i="40"/>
  <c r="F23" i="40"/>
  <c r="E23" i="40"/>
  <c r="D23" i="40"/>
  <c r="C23" i="40"/>
  <c r="J22" i="40"/>
  <c r="I22" i="40"/>
  <c r="H22" i="40"/>
  <c r="G22" i="40"/>
  <c r="F22" i="40"/>
  <c r="E22" i="40"/>
  <c r="D22" i="40"/>
  <c r="C22" i="40"/>
  <c r="B29" i="40"/>
  <c r="B28" i="40"/>
  <c r="B27" i="40"/>
  <c r="B26" i="40"/>
  <c r="B25" i="40"/>
  <c r="B24" i="40"/>
  <c r="B23" i="40"/>
  <c r="J41" i="40"/>
  <c r="H56" i="37"/>
  <c r="H55" i="37"/>
  <c r="H54" i="37"/>
  <c r="H53" i="37"/>
  <c r="H52" i="37"/>
  <c r="H51" i="37"/>
  <c r="G56" i="37"/>
  <c r="G55" i="37"/>
  <c r="G54" i="37"/>
  <c r="G53" i="37"/>
  <c r="G51" i="37"/>
  <c r="E52" i="37"/>
  <c r="E54" i="37" s="1"/>
  <c r="E51" i="37"/>
  <c r="D55" i="37"/>
  <c r="D54" i="37"/>
  <c r="D51" i="37"/>
  <c r="E53" i="37"/>
  <c r="D38" i="37"/>
  <c r="D31" i="37"/>
  <c r="G31" i="37" s="1"/>
  <c r="D30" i="37"/>
  <c r="G30" i="37" s="1"/>
  <c r="D29" i="37"/>
  <c r="G29" i="37" s="1"/>
  <c r="D28" i="37"/>
  <c r="G28" i="37" s="1"/>
  <c r="E26" i="37"/>
  <c r="E27" i="37" s="1"/>
  <c r="G52" i="37" s="1"/>
  <c r="D26" i="37"/>
  <c r="D27" i="37" s="1"/>
  <c r="C38" i="37" s="1"/>
  <c r="D132" i="43" l="1"/>
  <c r="E40" i="43"/>
  <c r="G40" i="43" s="1"/>
  <c r="F40" i="43"/>
  <c r="H40" i="43" s="1"/>
  <c r="I41" i="43"/>
  <c r="D39" i="43"/>
  <c r="A30" i="41"/>
  <c r="G30" i="41"/>
  <c r="D32" i="40"/>
  <c r="D40" i="40" s="1"/>
  <c r="C32" i="40"/>
  <c r="C40" i="40" s="1"/>
  <c r="D55" i="40" s="1"/>
  <c r="E32" i="40"/>
  <c r="E40" i="40" s="1"/>
  <c r="H33" i="40"/>
  <c r="F33" i="40"/>
  <c r="F40" i="40" s="1"/>
  <c r="G33" i="40"/>
  <c r="E55" i="40"/>
  <c r="D33" i="40"/>
  <c r="F31" i="40"/>
  <c r="E33" i="40"/>
  <c r="D31" i="40"/>
  <c r="D36" i="40" s="1"/>
  <c r="D54" i="40" s="1"/>
  <c r="E54" i="40" s="1"/>
  <c r="C31" i="40"/>
  <c r="C36" i="40" s="1"/>
  <c r="G36" i="40"/>
  <c r="G40" i="40"/>
  <c r="H40" i="40"/>
  <c r="H41" i="40" s="1"/>
  <c r="H36" i="40"/>
  <c r="E31" i="40"/>
  <c r="E36" i="40" s="1"/>
  <c r="I36" i="40"/>
  <c r="F36" i="40"/>
  <c r="C41" i="37"/>
  <c r="F41" i="37" s="1"/>
  <c r="C42" i="37"/>
  <c r="F42" i="37" s="1"/>
  <c r="C39" i="37"/>
  <c r="F39" i="37" s="1"/>
  <c r="F51" i="37"/>
  <c r="I51" i="37" s="1"/>
  <c r="D52" i="37"/>
  <c r="D53" i="37"/>
  <c r="I56" i="37"/>
  <c r="E55" i="37"/>
  <c r="F55" i="37" s="1"/>
  <c r="I55" i="37" s="1"/>
  <c r="F54" i="37"/>
  <c r="I54" i="37" s="1"/>
  <c r="F52" i="37"/>
  <c r="I52" i="37" s="1"/>
  <c r="F53" i="37"/>
  <c r="I53" i="37" s="1"/>
  <c r="C40" i="37"/>
  <c r="F40" i="37" s="1"/>
  <c r="F38" i="37"/>
  <c r="G27" i="37"/>
  <c r="G26" i="37"/>
  <c r="E131" i="43" l="1"/>
  <c r="J169" i="43" s="1"/>
  <c r="E130" i="43"/>
  <c r="J168" i="43" s="1"/>
  <c r="E129" i="43"/>
  <c r="J167" i="43" s="1"/>
  <c r="E128" i="43"/>
  <c r="J166" i="43" s="1"/>
  <c r="E39" i="43"/>
  <c r="G39" i="43" s="1"/>
  <c r="F39" i="43"/>
  <c r="H39" i="43" s="1"/>
  <c r="I40" i="43"/>
  <c r="D38" i="43"/>
  <c r="E56" i="40"/>
  <c r="G41" i="40"/>
  <c r="F41" i="40" s="1"/>
  <c r="E41" i="40" s="1"/>
  <c r="D41" i="40" s="1"/>
  <c r="C41" i="40" s="1"/>
  <c r="D46" i="40" s="1"/>
  <c r="E46" i="40" s="1"/>
  <c r="J36" i="40"/>
  <c r="J37" i="40" s="1"/>
  <c r="I37" i="40" s="1"/>
  <c r="H37" i="40" s="1"/>
  <c r="G37" i="40" s="1"/>
  <c r="F37" i="40" s="1"/>
  <c r="E37" i="40" s="1"/>
  <c r="D37" i="40" s="1"/>
  <c r="I57" i="37"/>
  <c r="F43" i="37"/>
  <c r="G32" i="37"/>
  <c r="I170" i="43" l="1"/>
  <c r="E38" i="43"/>
  <c r="G38" i="43" s="1"/>
  <c r="F38" i="43"/>
  <c r="H38" i="43" s="1"/>
  <c r="I39" i="43"/>
  <c r="D37" i="43"/>
  <c r="D45" i="40"/>
  <c r="E45" i="40" s="1"/>
  <c r="E47" i="40" s="1"/>
  <c r="C37" i="40"/>
  <c r="Q148" i="43"/>
  <c r="U148" i="43" s="1"/>
  <c r="Y148" i="43" s="1"/>
  <c r="AC148" i="43" s="1"/>
  <c r="E37" i="43" l="1"/>
  <c r="G37" i="43" s="1"/>
  <c r="F37" i="43"/>
  <c r="H37" i="43" s="1"/>
  <c r="D36" i="43"/>
  <c r="I38" i="43"/>
  <c r="E36" i="43" l="1"/>
  <c r="G36" i="43" s="1"/>
  <c r="F36" i="43"/>
  <c r="H36" i="43" s="1"/>
  <c r="I37" i="43"/>
  <c r="D35" i="43"/>
  <c r="E35" i="43" l="1"/>
  <c r="G35" i="43" s="1"/>
  <c r="F35" i="43"/>
  <c r="H35" i="43" s="1"/>
  <c r="I36" i="43"/>
  <c r="G46" i="43" l="1"/>
  <c r="I35" i="43"/>
  <c r="H46" i="43"/>
  <c r="I46" i="43" l="1"/>
  <c r="D53" i="43" s="1"/>
  <c r="E68" i="43" s="1"/>
  <c r="E70" i="43" s="1"/>
  <c r="E72" i="43" s="1"/>
  <c r="E74" i="43" l="1"/>
  <c r="G172" i="43" s="1"/>
  <c r="G174" i="43" l="1"/>
  <c r="G178" i="43" l="1"/>
  <c r="G179" i="43" s="1"/>
  <c r="E41" i="50" l="1" a="1"/>
  <c r="E41" i="50" s="1"/>
  <c r="E42" i="50" s="1"/>
  <c r="B54" i="50" l="1"/>
  <c r="B49" i="50"/>
  <c r="B53" i="50" l="1"/>
  <c r="C54" i="50"/>
  <c r="B52" i="50" l="1"/>
  <c r="C53" i="50"/>
  <c r="C52" i="50" l="1"/>
  <c r="B51" i="50"/>
  <c r="B50" i="50" l="1"/>
  <c r="C50" i="50" s="1"/>
  <c r="C51" i="50"/>
  <c r="C57" i="50" l="1"/>
  <c r="C59" i="50" s="1"/>
  <c r="C58" i="50"/>
  <c r="D50" i="50" l="1"/>
  <c r="E90" i="50" s="1"/>
  <c r="D52" i="50"/>
  <c r="E92" i="50" s="1"/>
  <c r="D55" i="50"/>
  <c r="E95" i="50" s="1"/>
  <c r="D54" i="50"/>
  <c r="E94" i="50" s="1"/>
  <c r="D51" i="50"/>
  <c r="E91" i="50" s="1"/>
  <c r="D53" i="50"/>
  <c r="E93" i="5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<sst xmlns="http://schemas.openxmlformats.org/spreadsheetml/2006/main" count="647" uniqueCount="436">
  <si>
    <t>(c)</t>
  </si>
  <si>
    <t>ANSWER:</t>
  </si>
  <si>
    <t>(d)</t>
  </si>
  <si>
    <t>(e)</t>
  </si>
  <si>
    <t>(a)</t>
  </si>
  <si>
    <t>(b)</t>
  </si>
  <si>
    <t>(f)</t>
  </si>
  <si>
    <t>(g)</t>
  </si>
  <si>
    <r>
      <t>(</t>
    </r>
    <r>
      <rPr>
        <i/>
        <sz val="12"/>
        <color rgb="FF002060"/>
        <rFont val="Times New Roman"/>
        <family val="1"/>
      </rPr>
      <t>4 points</t>
    </r>
    <r>
      <rPr>
        <sz val="12"/>
        <color rgb="FF002060"/>
        <rFont val="Times New Roman"/>
        <family val="1"/>
      </rPr>
      <t>)</t>
    </r>
  </si>
  <si>
    <t>Question 1</t>
  </si>
  <si>
    <r>
      <t>(</t>
    </r>
    <r>
      <rPr>
        <i/>
        <sz val="12"/>
        <color rgb="FF002060"/>
        <rFont val="Times New Roman"/>
        <family val="1"/>
      </rPr>
      <t>5 points</t>
    </r>
    <r>
      <rPr>
        <sz val="12"/>
        <color rgb="FF002060"/>
        <rFont val="Times New Roman"/>
        <family val="1"/>
      </rPr>
      <t>)</t>
    </r>
  </si>
  <si>
    <t>You may choose to draw on this diagram to assist you in responding to this question. Use of this diagram is not required for full credit.</t>
  </si>
  <si>
    <t>ABC Insurance has a book of business with the following information:</t>
  </si>
  <si>
    <t>Policy Number</t>
  </si>
  <si>
    <t>Effective Date</t>
  </si>
  <si>
    <t>Policy Term (months)</t>
  </si>
  <si>
    <t>Written Premium</t>
  </si>
  <si>
    <r>
      <t>·</t>
    </r>
    <r>
      <rPr>
        <sz val="7"/>
        <color rgb="FF002060"/>
        <rFont val="Times New Roman"/>
        <family val="1"/>
      </rPr>
      <t xml:space="preserve">       </t>
    </r>
    <r>
      <rPr>
        <sz val="12"/>
        <color rgb="FF002060"/>
        <rFont val="Times New Roman"/>
        <family val="1"/>
      </rPr>
      <t>The following four other policies have been written:</t>
    </r>
  </si>
  <si>
    <r>
      <t>·</t>
    </r>
    <r>
      <rPr>
        <sz val="7"/>
        <color rgb="FF002060"/>
        <rFont val="Times New Roman"/>
        <family val="1"/>
      </rPr>
      <t xml:space="preserve">       </t>
    </r>
    <r>
      <rPr>
        <sz val="12"/>
        <color rgb="FF002060"/>
        <rFont val="Times New Roman"/>
        <family val="1"/>
      </rPr>
      <t>Policy 100 was renewed on March 1, 2023.</t>
    </r>
  </si>
  <si>
    <r>
      <t>·</t>
    </r>
    <r>
      <rPr>
        <sz val="7"/>
        <color rgb="FF002060"/>
        <rFont val="Times New Roman"/>
        <family val="1"/>
      </rPr>
      <t xml:space="preserve">       </t>
    </r>
    <r>
      <rPr>
        <sz val="12"/>
        <color rgb="FF002060"/>
        <rFont val="Times New Roman"/>
        <family val="1"/>
      </rPr>
      <t>Policy 300 was cancelled on October 1, 2023.</t>
    </r>
  </si>
  <si>
    <r>
      <t>·</t>
    </r>
    <r>
      <rPr>
        <sz val="7"/>
        <color rgb="FF002060"/>
        <rFont val="Times New Roman"/>
        <family val="1"/>
      </rPr>
      <t xml:space="preserve">       </t>
    </r>
    <r>
      <rPr>
        <sz val="12"/>
        <color rgb="FF002060"/>
        <rFont val="Times New Roman"/>
        <family val="1"/>
      </rPr>
      <t>Policies 100, 200, and 400 were still in force on December 31, 2023.</t>
    </r>
  </si>
  <si>
    <r>
      <t>·</t>
    </r>
    <r>
      <rPr>
        <sz val="7"/>
        <color rgb="FF002060"/>
        <rFont val="Times New Roman"/>
        <family val="1"/>
      </rPr>
      <t xml:space="preserve">       </t>
    </r>
    <r>
      <rPr>
        <sz val="12"/>
        <color rgb="FF002060"/>
        <rFont val="Times New Roman"/>
        <family val="1"/>
      </rPr>
      <t>ABC earns premium evenly throughout the year.</t>
    </r>
  </si>
  <si>
    <r>
      <t>·</t>
    </r>
    <r>
      <rPr>
        <sz val="7"/>
        <color rgb="FF002060"/>
        <rFont val="Times New Roman"/>
        <family val="1"/>
      </rPr>
      <t xml:space="preserve">       </t>
    </r>
    <r>
      <rPr>
        <sz val="12"/>
        <color rgb="FF002060"/>
        <rFont val="Times New Roman"/>
        <family val="1"/>
      </rPr>
      <t>There were</t>
    </r>
  </si>
  <si>
    <t>annual policies in force on January 1, 2022, each with an annual premium of</t>
  </si>
  <si>
    <t>, and a renewal date of April 1.</t>
  </si>
  <si>
    <t>on April 1, 2022</t>
  </si>
  <si>
    <t>on April 1, 2023</t>
  </si>
  <si>
    <r>
      <t>·</t>
    </r>
    <r>
      <rPr>
        <sz val="7"/>
        <color rgb="FF002060"/>
        <rFont val="Times New Roman"/>
        <family val="1"/>
      </rPr>
      <t xml:space="preserve">       </t>
    </r>
    <r>
      <rPr>
        <sz val="12"/>
        <color rgb="FF002060"/>
        <rFont val="Times New Roman"/>
        <family val="1"/>
      </rPr>
      <t>These policies had a renewal rate of:</t>
    </r>
  </si>
  <si>
    <r>
      <t>·</t>
    </r>
    <r>
      <rPr>
        <sz val="7"/>
        <color rgb="FF002060"/>
        <rFont val="Times New Roman"/>
        <family val="1"/>
      </rPr>
      <t xml:space="preserve">       </t>
    </r>
    <r>
      <rPr>
        <sz val="12"/>
        <color rgb="FF002060"/>
        <rFont val="Times New Roman"/>
        <family val="1"/>
      </rPr>
      <t>Premiums for all policies written or renewed on or after April 1, 2022, were increased by</t>
    </r>
  </si>
  <si>
    <r>
      <t>·</t>
    </r>
    <r>
      <rPr>
        <sz val="7"/>
        <color rgb="FF002060"/>
        <rFont val="Times New Roman"/>
        <family val="1"/>
      </rPr>
      <t xml:space="preserve">       </t>
    </r>
    <r>
      <rPr>
        <sz val="12"/>
        <color rgb="FF002060"/>
        <rFont val="Times New Roman"/>
        <family val="1"/>
      </rPr>
      <t xml:space="preserve">Premiums for all policies written or renewed on or after April 1, 2023, were increased by </t>
    </r>
  </si>
  <si>
    <r>
      <t>(</t>
    </r>
    <r>
      <rPr>
        <i/>
        <sz val="12"/>
        <color rgb="FF002060"/>
        <rFont val="Times New Roman"/>
        <family val="1"/>
      </rPr>
      <t>2 points</t>
    </r>
    <r>
      <rPr>
        <sz val="12"/>
        <color rgb="FF002060"/>
        <rFont val="Times New Roman"/>
        <family val="1"/>
      </rPr>
      <t>)  Calculate the total earned premium for calendar year 2022.</t>
    </r>
  </si>
  <si>
    <r>
      <t>(</t>
    </r>
    <r>
      <rPr>
        <i/>
        <sz val="12"/>
        <color rgb="FF002060"/>
        <rFont val="Times New Roman"/>
        <family val="1"/>
      </rPr>
      <t>2 points</t>
    </r>
    <r>
      <rPr>
        <sz val="12"/>
        <color rgb="FF002060"/>
        <rFont val="Times New Roman"/>
        <family val="1"/>
      </rPr>
      <t>)  Calculate the total unearned premium as of December 31, 2023.</t>
    </r>
  </si>
  <si>
    <t>ABC is conducting a ratemaking analysis with new rates to be effective April 1, 2024.</t>
  </si>
  <si>
    <r>
      <t>(</t>
    </r>
    <r>
      <rPr>
        <i/>
        <sz val="12"/>
        <color rgb="FF002060"/>
        <rFont val="Times New Roman"/>
        <family val="1"/>
      </rPr>
      <t>1.5 points</t>
    </r>
    <r>
      <rPr>
        <sz val="12"/>
        <color rgb="FF002060"/>
        <rFont val="Times New Roman"/>
        <family val="1"/>
      </rPr>
      <t>)  Calculate the calendar year 2022 earned premium at current rate levels using the extension of exposures method.</t>
    </r>
  </si>
  <si>
    <r>
      <t>(</t>
    </r>
    <r>
      <rPr>
        <i/>
        <sz val="12"/>
        <color rgb="FF002060"/>
        <rFont val="Times New Roman"/>
        <family val="1"/>
      </rPr>
      <t>0.5 points</t>
    </r>
    <r>
      <rPr>
        <sz val="12"/>
        <color rgb="FF002060"/>
        <rFont val="Times New Roman"/>
        <family val="1"/>
      </rPr>
      <t>)  State why the parallelogram approach is not as accurate as the extension of exposures method used in part (c).</t>
    </r>
  </si>
  <si>
    <t>Question 2</t>
  </si>
  <si>
    <t>You are estimating ultimate claims as of December 31, 2023 for a line of business that has seasonality.</t>
  </si>
  <si>
    <t>Accident Half-Year</t>
  </si>
  <si>
    <t>Reported Claims</t>
  </si>
  <si>
    <t>2020-1</t>
  </si>
  <si>
    <t>2020-2</t>
  </si>
  <si>
    <t>2021-1</t>
  </si>
  <si>
    <t>2021-2</t>
  </si>
  <si>
    <t>2022-1</t>
  </si>
  <si>
    <t>2022-2</t>
  </si>
  <si>
    <t>2023-1</t>
  </si>
  <si>
    <t>2023-2</t>
  </si>
  <si>
    <t>There is no development after 48 months.</t>
  </si>
  <si>
    <r>
      <t>(</t>
    </r>
    <r>
      <rPr>
        <i/>
        <sz val="12"/>
        <color rgb="FF002060"/>
        <rFont val="Times New Roman"/>
        <family val="1"/>
      </rPr>
      <t>2.5 points</t>
    </r>
    <r>
      <rPr>
        <sz val="12"/>
        <color rgb="FF002060"/>
        <rFont val="Times New Roman"/>
        <family val="1"/>
      </rPr>
      <t>)  Calculate the ultimate claims for accident year 2023 using the development method.  Justify your selections.</t>
    </r>
  </si>
  <si>
    <r>
      <t>(</t>
    </r>
    <r>
      <rPr>
        <i/>
        <sz val="12"/>
        <color rgb="FF002060"/>
        <rFont val="Times New Roman"/>
        <family val="1"/>
      </rPr>
      <t>1 point</t>
    </r>
    <r>
      <rPr>
        <sz val="12"/>
        <color rgb="FF002060"/>
        <rFont val="Times New Roman"/>
        <family val="1"/>
      </rPr>
      <t>)  Calculate the accident year 2023 expected reported claims from December 31, 2023 to June 30, 2024.</t>
    </r>
  </si>
  <si>
    <t>Some lines of business require a tail factor.</t>
  </si>
  <si>
    <r>
      <t>(</t>
    </r>
    <r>
      <rPr>
        <i/>
        <sz val="12"/>
        <color rgb="FF002060"/>
        <rFont val="Times New Roman"/>
        <family val="1"/>
      </rPr>
      <t>0.5 points</t>
    </r>
    <r>
      <rPr>
        <sz val="12"/>
        <color rgb="FF002060"/>
        <rFont val="Times New Roman"/>
        <family val="1"/>
      </rPr>
      <t>)  Describe one disadvantage of the Bondy method.</t>
    </r>
  </si>
  <si>
    <r>
      <t>(</t>
    </r>
    <r>
      <rPr>
        <i/>
        <sz val="12"/>
        <color rgb="FF002060"/>
        <rFont val="Times New Roman"/>
        <family val="1"/>
      </rPr>
      <t>1 point</t>
    </r>
    <r>
      <rPr>
        <sz val="12"/>
        <color rgb="FF002060"/>
        <rFont val="Times New Roman"/>
        <family val="1"/>
      </rPr>
      <t>)  State one advantage and one disadvantage of Boor’s algebraic method.</t>
    </r>
  </si>
  <si>
    <t>Question 3</t>
  </si>
  <si>
    <t xml:space="preserve">You are analyzing premium trend on a large book of business for a ratemaking exercise. </t>
  </si>
  <si>
    <r>
      <t>(</t>
    </r>
    <r>
      <rPr>
        <i/>
        <sz val="12"/>
        <color rgb="FF002060"/>
        <rFont val="Times New Roman"/>
        <family val="1"/>
      </rPr>
      <t>0.5 points</t>
    </r>
    <r>
      <rPr>
        <sz val="12"/>
        <color rgb="FF002060"/>
        <rFont val="Times New Roman"/>
        <family val="1"/>
      </rPr>
      <t>)  Explain the purpose of quantifying the effect of shifts in the mix of exposures and rating characteristics on the premium during the experience period.</t>
    </r>
  </si>
  <si>
    <t>Based on an analysis of the historical premium for this book of business, the annual premium trend has been 1.5% prior to January 1, 2024.  You are expecting a significant change in the economic environment and have therefore selected an annual trend of 3.0% for all policies written on or after January 1, 2024.  All policies are six-month policies, written evenly throughout each year.  The new rates will be in effect starting October 1, 2024 for one year.</t>
  </si>
  <si>
    <r>
      <t>(</t>
    </r>
    <r>
      <rPr>
        <i/>
        <sz val="12"/>
        <color rgb="FF002060"/>
        <rFont val="Times New Roman"/>
        <family val="1"/>
      </rPr>
      <t>1.5 points</t>
    </r>
    <r>
      <rPr>
        <sz val="12"/>
        <color rgb="FF002060"/>
        <rFont val="Times New Roman"/>
        <family val="1"/>
      </rPr>
      <t>)  Calculate the 2020 premium trend factor to be used to adjust 2020 earned premiums for the ratemaking exercise.</t>
    </r>
  </si>
  <si>
    <r>
      <t>(</t>
    </r>
    <r>
      <rPr>
        <i/>
        <sz val="12"/>
        <color rgb="FF002060"/>
        <rFont val="Times New Roman"/>
        <family val="1"/>
      </rPr>
      <t>1 point</t>
    </r>
    <r>
      <rPr>
        <sz val="12"/>
        <color rgb="FF002060"/>
        <rFont val="Times New Roman"/>
        <family val="1"/>
      </rPr>
      <t>)  Explain how the premium trend factors would be affected by the following:</t>
    </r>
  </si>
  <si>
    <r>
      <t>(i)</t>
    </r>
    <r>
      <rPr>
        <sz val="7"/>
        <color rgb="FF002060"/>
        <rFont val="Times New Roman"/>
        <family val="1"/>
      </rPr>
      <t xml:space="preserve">              </t>
    </r>
    <r>
      <rPr>
        <sz val="12"/>
        <color rgb="FF002060"/>
        <rFont val="Times New Roman"/>
        <family val="1"/>
      </rPr>
      <t>An increasing proportion of insureds choosing a lower policy limit at the beginning of 2024</t>
    </r>
  </si>
  <si>
    <r>
      <t>(i)</t>
    </r>
    <r>
      <rPr>
        <sz val="7"/>
        <color rgb="FF002060"/>
        <rFont val="Times New Roman"/>
        <family val="1"/>
      </rPr>
      <t xml:space="preserve">              </t>
    </r>
    <r>
      <rPr>
        <sz val="12"/>
        <color rgb="FF002060"/>
        <rFont val="Times New Roman"/>
        <family val="1"/>
      </rPr>
      <t>An increasing proportion of insureds choosing a higher deductible at the beginning of 2024</t>
    </r>
  </si>
  <si>
    <r>
      <t>(</t>
    </r>
    <r>
      <rPr>
        <i/>
        <sz val="12"/>
        <color rgb="FF002060"/>
        <rFont val="Times New Roman"/>
        <family val="1"/>
      </rPr>
      <t>1 point</t>
    </r>
    <r>
      <rPr>
        <sz val="12"/>
        <color rgb="FF002060"/>
        <rFont val="Times New Roman"/>
        <family val="1"/>
      </rPr>
      <t>)  Describe why the trending periods would be different in the part (b) calculation if this trending analysis is done for a self-insurer.</t>
    </r>
  </si>
  <si>
    <t>Question 4</t>
  </si>
  <si>
    <t>The response for question 4 is to be provided in the Word document.</t>
  </si>
  <si>
    <t>Question 5</t>
  </si>
  <si>
    <r>
      <t>(</t>
    </r>
    <r>
      <rPr>
        <i/>
        <sz val="12"/>
        <color rgb="FF002060"/>
        <rFont val="Times New Roman"/>
        <family val="1"/>
      </rPr>
      <t>11 points</t>
    </r>
    <r>
      <rPr>
        <sz val="12"/>
        <color rgb="FF002060"/>
        <rFont val="Times New Roman"/>
        <family val="1"/>
      </rPr>
      <t>)</t>
    </r>
  </si>
  <si>
    <t>You are conducting a ratemaking analysis for a line of business in state S with the following information:</t>
  </si>
  <si>
    <r>
      <t>·</t>
    </r>
    <r>
      <rPr>
        <sz val="7"/>
        <color rgb="FF002060"/>
        <rFont val="Times New Roman"/>
        <family val="1"/>
      </rPr>
      <t xml:space="preserve">       </t>
    </r>
    <r>
      <rPr>
        <sz val="12"/>
        <color rgb="FF002060"/>
        <rFont val="TimesNewRomanPSMT"/>
      </rPr>
      <t>The new rates are to be effective September 1, 2024, through August 31, 2025.</t>
    </r>
  </si>
  <si>
    <r>
      <t>·</t>
    </r>
    <r>
      <rPr>
        <sz val="7"/>
        <color rgb="FF002060"/>
        <rFont val="Times New Roman"/>
        <family val="1"/>
      </rPr>
      <t xml:space="preserve">       </t>
    </r>
    <r>
      <rPr>
        <sz val="12"/>
        <color rgb="FF002060"/>
        <rFont val="TimesNewRomanPSMT"/>
      </rPr>
      <t>All policies are written for 6-month policy terms.</t>
    </r>
  </si>
  <si>
    <r>
      <t>·</t>
    </r>
    <r>
      <rPr>
        <sz val="7"/>
        <color rgb="FF002060"/>
        <rFont val="Times New Roman"/>
        <family val="1"/>
      </rPr>
      <t xml:space="preserve">       </t>
    </r>
    <r>
      <rPr>
        <sz val="12"/>
        <color rgb="FF002060"/>
        <rFont val="TimesNewRomanPSMT"/>
      </rPr>
      <t>The annual frequency trend is</t>
    </r>
  </si>
  <si>
    <r>
      <t>·</t>
    </r>
    <r>
      <rPr>
        <sz val="7"/>
        <color rgb="FF002060"/>
        <rFont val="Times New Roman"/>
        <family val="1"/>
      </rPr>
      <t xml:space="preserve">       </t>
    </r>
    <r>
      <rPr>
        <sz val="12"/>
        <color rgb="FF002060"/>
        <rFont val="TimesNewRomanPSMT"/>
      </rPr>
      <t>The annual severity trend is</t>
    </r>
  </si>
  <si>
    <t>You are also given the following state S claims data for non-hurricane weather excluding hail:</t>
  </si>
  <si>
    <t>Accident Year</t>
  </si>
  <si>
    <t>Ultimate</t>
  </si>
  <si>
    <t>Frequency per 100 earned house years (EHY)</t>
  </si>
  <si>
    <t>Severity</t>
  </si>
  <si>
    <r>
      <t>(</t>
    </r>
    <r>
      <rPr>
        <i/>
        <sz val="12"/>
        <color rgb="FF002060"/>
        <rFont val="Times New Roman"/>
        <family val="1"/>
      </rPr>
      <t>2 points</t>
    </r>
    <r>
      <rPr>
        <sz val="12"/>
        <color rgb="FF002060"/>
        <rFont val="Times New Roman"/>
        <family val="1"/>
      </rPr>
      <t>)  Calculate the trended ultimate non-hurricane weather excluding hail pure premium per 100 EHY for all years.</t>
    </r>
  </si>
  <si>
    <r>
      <t>(</t>
    </r>
    <r>
      <rPr>
        <i/>
        <sz val="12"/>
        <color rgb="FF002060"/>
        <rFont val="Times New Roman"/>
        <family val="1"/>
      </rPr>
      <t>0.5 points</t>
    </r>
    <r>
      <rPr>
        <sz val="12"/>
        <color rgb="FF002060"/>
        <rFont val="Times New Roman"/>
        <family val="1"/>
      </rPr>
      <t>)  Recommend the trended ultimate non-hurricane weather excluding hail pure premium per 100 EHY to use in determining a weather loading.  Justify your recommendation.</t>
    </r>
  </si>
  <si>
    <t>You are given the following additional information:</t>
  </si>
  <si>
    <r>
      <t>·</t>
    </r>
    <r>
      <rPr>
        <sz val="7"/>
        <color rgb="FF002060"/>
        <rFont val="Times New Roman"/>
        <family val="1"/>
      </rPr>
      <t xml:space="preserve">       </t>
    </r>
    <r>
      <rPr>
        <sz val="12"/>
        <color rgb="FF002060"/>
        <rFont val="Times New Roman"/>
        <family val="1"/>
      </rPr>
      <t xml:space="preserve">Calendar year 2023 earned premiums at current rate level are </t>
    </r>
  </si>
  <si>
    <r>
      <t>·</t>
    </r>
    <r>
      <rPr>
        <sz val="7"/>
        <color rgb="FF002060"/>
        <rFont val="Times New Roman"/>
        <family val="1"/>
      </rPr>
      <t xml:space="preserve">       </t>
    </r>
    <r>
      <rPr>
        <sz val="12"/>
        <color rgb="FF002060"/>
        <rFont val="Times New Roman"/>
        <family val="1"/>
      </rPr>
      <t xml:space="preserve">Calendar year 2023 EHY are </t>
    </r>
  </si>
  <si>
    <r>
      <t>·</t>
    </r>
    <r>
      <rPr>
        <sz val="7"/>
        <color rgb="FF002060"/>
        <rFont val="Times New Roman"/>
        <family val="1"/>
      </rPr>
      <t xml:space="preserve">       </t>
    </r>
    <r>
      <rPr>
        <sz val="12"/>
        <color rgb="FF002060"/>
        <rFont val="Times New Roman"/>
        <family val="1"/>
      </rPr>
      <t>State S is part of region R.</t>
    </r>
  </si>
  <si>
    <r>
      <t>·</t>
    </r>
    <r>
      <rPr>
        <sz val="7"/>
        <color rgb="FF002060"/>
        <rFont val="Times New Roman"/>
        <family val="1"/>
      </rPr>
      <t xml:space="preserve">       </t>
    </r>
    <r>
      <rPr>
        <sz val="12"/>
        <color rgb="FF002060"/>
        <rFont val="Times New Roman"/>
        <family val="1"/>
      </rPr>
      <t xml:space="preserve">The trended ultimate pure premium per 100 EHY for region R is </t>
    </r>
  </si>
  <si>
    <r>
      <t>·</t>
    </r>
    <r>
      <rPr>
        <sz val="7"/>
        <color rgb="FF002060"/>
        <rFont val="Times New Roman"/>
        <family val="1"/>
      </rPr>
      <t xml:space="preserve">       </t>
    </r>
    <r>
      <rPr>
        <sz val="12"/>
        <color rgb="FF002060"/>
        <rFont val="Times New Roman"/>
        <family val="1"/>
      </rPr>
      <t xml:space="preserve">The credibility that relates to the non-hurricane weather excluding hail loading for state S is </t>
    </r>
  </si>
  <si>
    <r>
      <t>(</t>
    </r>
    <r>
      <rPr>
        <i/>
        <sz val="12"/>
        <color rgb="FF002060"/>
        <rFont val="Times New Roman"/>
        <family val="1"/>
      </rPr>
      <t>1 point</t>
    </r>
    <r>
      <rPr>
        <sz val="12"/>
        <color rgb="FF002060"/>
        <rFont val="Times New Roman"/>
        <family val="1"/>
      </rPr>
      <t>)  Calculate the non-hurricane weather excluding hail loading percentage to use for ratemaking.</t>
    </r>
  </si>
  <si>
    <t>Actuaries can have flexibility in choosing the number of years to include in the experience period for ratemaking purposes.</t>
  </si>
  <si>
    <r>
      <t>(</t>
    </r>
    <r>
      <rPr>
        <i/>
        <sz val="12"/>
        <color rgb="FF002060"/>
        <rFont val="Times New Roman"/>
        <family val="1"/>
      </rPr>
      <t>1 point</t>
    </r>
    <r>
      <rPr>
        <sz val="12"/>
        <color rgb="FF002060"/>
        <rFont val="Times New Roman"/>
        <family val="1"/>
      </rPr>
      <t>)  Identify two considerations when choosing the number of years and/or the weights to assign to each of the years.</t>
    </r>
  </si>
  <si>
    <t>You are given the following data:</t>
  </si>
  <si>
    <t>Earned Exposures</t>
  </si>
  <si>
    <t>Ultimate Counts</t>
  </si>
  <si>
    <t>Historical Earned Premiums</t>
  </si>
  <si>
    <t>Ultimate Claims</t>
  </si>
  <si>
    <t xml:space="preserve"> ultimate counts.</t>
  </si>
  <si>
    <t>The full credibility standard is</t>
  </si>
  <si>
    <r>
      <t>(</t>
    </r>
    <r>
      <rPr>
        <i/>
        <sz val="12"/>
        <color rgb="FF002060"/>
        <rFont val="Times New Roman"/>
        <family val="1"/>
      </rPr>
      <t>1 point</t>
    </r>
    <r>
      <rPr>
        <sz val="12"/>
        <color rgb="FF002060"/>
        <rFont val="Times New Roman"/>
        <family val="1"/>
      </rPr>
      <t>)  Recommend the number of years to include when estimating the weighted average trended claim ratio for the indicated rate change.  Justify your recommendation.</t>
    </r>
  </si>
  <si>
    <r>
      <t>(</t>
    </r>
    <r>
      <rPr>
        <i/>
        <sz val="12"/>
        <color rgb="FF002060"/>
        <rFont val="Times New Roman"/>
        <family val="1"/>
      </rPr>
      <t>1 point</t>
    </r>
    <r>
      <rPr>
        <sz val="12"/>
        <color rgb="FF002060"/>
        <rFont val="Times New Roman"/>
        <family val="1"/>
      </rPr>
      <t>)  Recommend the weights to assign to each year when estimating the weighted average trended claim ratio for the indicated rate change.  Justify your recommendation.</t>
    </r>
  </si>
  <si>
    <r>
      <t>·</t>
    </r>
    <r>
      <rPr>
        <sz val="7"/>
        <color rgb="FF002060"/>
        <rFont val="Times New Roman"/>
        <family val="1"/>
      </rPr>
      <t xml:space="preserve">       </t>
    </r>
    <r>
      <rPr>
        <sz val="12"/>
        <color rgb="FF002060"/>
        <rFont val="Times New Roman"/>
        <family val="1"/>
      </rPr>
      <t>Rate change history:</t>
    </r>
  </si>
  <si>
    <r>
      <t>·</t>
    </r>
    <r>
      <rPr>
        <sz val="7"/>
        <color rgb="FF002060"/>
        <rFont val="Times New Roman"/>
        <family val="1"/>
      </rPr>
      <t xml:space="preserve">       </t>
    </r>
    <r>
      <rPr>
        <sz val="12"/>
        <color rgb="FF002060"/>
        <rFont val="Times New Roman"/>
        <family val="1"/>
      </rPr>
      <t>Premiums are written and earned evenly throughout the year.</t>
    </r>
  </si>
  <si>
    <t xml:space="preserve"> was effective July 1, 2020</t>
  </si>
  <si>
    <t xml:space="preserve"> was effective July 1, 2022</t>
  </si>
  <si>
    <r>
      <t>o</t>
    </r>
    <r>
      <rPr>
        <sz val="7"/>
        <color rgb="FF002060"/>
        <rFont val="Times New Roman"/>
        <family val="1"/>
      </rPr>
      <t xml:space="preserve">   </t>
    </r>
    <r>
      <rPr>
        <sz val="12"/>
        <color rgb="FF002060"/>
        <rFont val="Times New Roman"/>
        <family val="1"/>
      </rPr>
      <t xml:space="preserve">A rate change of </t>
    </r>
  </si>
  <si>
    <r>
      <t>·</t>
    </r>
    <r>
      <rPr>
        <sz val="7"/>
        <color rgb="FF002060"/>
        <rFont val="Times New Roman"/>
        <family val="1"/>
      </rPr>
      <t xml:space="preserve">       </t>
    </r>
    <r>
      <rPr>
        <sz val="12"/>
        <color rgb="FF002060"/>
        <rFont val="Times New Roman"/>
        <family val="1"/>
      </rPr>
      <t>The annual premium trend is</t>
    </r>
  </si>
  <si>
    <r>
      <t>·</t>
    </r>
    <r>
      <rPr>
        <sz val="7"/>
        <color rgb="FF002060"/>
        <rFont val="Times New Roman"/>
        <family val="1"/>
      </rPr>
      <t xml:space="preserve">       </t>
    </r>
    <r>
      <rPr>
        <sz val="12"/>
        <color rgb="FF002060"/>
        <rFont val="Times New Roman"/>
        <family val="1"/>
      </rPr>
      <t>The ratio of ULAE to claims is</t>
    </r>
  </si>
  <si>
    <r>
      <t>·</t>
    </r>
    <r>
      <rPr>
        <sz val="7"/>
        <color rgb="FF002060"/>
        <rFont val="Times New Roman"/>
        <family val="1"/>
      </rPr>
      <t xml:space="preserve">       </t>
    </r>
    <r>
      <rPr>
        <sz val="12"/>
        <color rgb="FF002060"/>
        <rFont val="Times New Roman"/>
        <family val="1"/>
      </rPr>
      <t xml:space="preserve">The ratio of fixed expenses to premiums at current rates is </t>
    </r>
  </si>
  <si>
    <r>
      <t>·</t>
    </r>
    <r>
      <rPr>
        <sz val="7"/>
        <color rgb="FF002060"/>
        <rFont val="Times New Roman"/>
        <family val="1"/>
      </rPr>
      <t xml:space="preserve">       </t>
    </r>
    <r>
      <rPr>
        <sz val="12"/>
        <color rgb="FF002060"/>
        <rFont val="Times New Roman"/>
        <family val="1"/>
      </rPr>
      <t xml:space="preserve">The ratio of variable expenses to premiums is </t>
    </r>
  </si>
  <si>
    <r>
      <t>·</t>
    </r>
    <r>
      <rPr>
        <sz val="7"/>
        <color rgb="FF002060"/>
        <rFont val="Times New Roman"/>
        <family val="1"/>
      </rPr>
      <t xml:space="preserve">       </t>
    </r>
    <r>
      <rPr>
        <sz val="12"/>
        <color rgb="FF002060"/>
        <rFont val="Times New Roman"/>
        <family val="1"/>
      </rPr>
      <t>The ratio of profit and contingencies to premiums is</t>
    </r>
  </si>
  <si>
    <r>
      <t>(</t>
    </r>
    <r>
      <rPr>
        <i/>
        <sz val="12"/>
        <color rgb="FF002060"/>
        <rFont val="Times New Roman"/>
        <family val="1"/>
      </rPr>
      <t>4.5 points</t>
    </r>
    <r>
      <rPr>
        <sz val="12"/>
        <color rgb="FF002060"/>
        <rFont val="Times New Roman"/>
        <family val="1"/>
      </rPr>
      <t>)  Calculate the indicated rate change for this line of business.</t>
    </r>
  </si>
  <si>
    <t>Question 6</t>
  </si>
  <si>
    <r>
      <t>(</t>
    </r>
    <r>
      <rPr>
        <i/>
        <sz val="12"/>
        <color rgb="FF002060"/>
        <rFont val="Times New Roman"/>
        <family val="1"/>
      </rPr>
      <t>3 points</t>
    </r>
    <r>
      <rPr>
        <sz val="12"/>
        <color rgb="FF002060"/>
        <rFont val="Times New Roman"/>
        <family val="1"/>
      </rPr>
      <t>)</t>
    </r>
  </si>
  <si>
    <r>
      <t>(</t>
    </r>
    <r>
      <rPr>
        <i/>
        <sz val="12"/>
        <color rgb="FF002060"/>
        <rFont val="Times New Roman"/>
        <family val="1"/>
      </rPr>
      <t>6 points</t>
    </r>
    <r>
      <rPr>
        <sz val="12"/>
        <color rgb="FF002060"/>
        <rFont val="Times New Roman"/>
        <family val="1"/>
      </rPr>
      <t>)</t>
    </r>
  </si>
  <si>
    <t>Question 7</t>
  </si>
  <si>
    <t>You are estimating IBNR for a line of business using the following information:</t>
  </si>
  <si>
    <t>Accident Year (AY)</t>
  </si>
  <si>
    <t>Premium On-Level Factor</t>
  </si>
  <si>
    <t>Cumulative Paid Claims</t>
  </si>
  <si>
    <t>Case Estimates</t>
  </si>
  <si>
    <t>Reported Claim Development Factors by Development Months</t>
  </si>
  <si>
    <t>24-36</t>
  </si>
  <si>
    <t>36-48</t>
  </si>
  <si>
    <t>48-60</t>
  </si>
  <si>
    <t>60-72</t>
  </si>
  <si>
    <t>72-Ult.</t>
  </si>
  <si>
    <r>
      <t>·</t>
    </r>
    <r>
      <rPr>
        <sz val="7"/>
        <color rgb="FF002060"/>
        <rFont val="Times New Roman"/>
        <family val="1"/>
      </rPr>
      <t xml:space="preserve">       </t>
    </r>
    <r>
      <rPr>
        <sz val="12"/>
        <color rgb="FF002060"/>
        <rFont val="Times New Roman"/>
        <family val="1"/>
      </rPr>
      <t xml:space="preserve">The expected claim ratio at the 2023 cost level is </t>
    </r>
  </si>
  <si>
    <r>
      <t>·</t>
    </r>
    <r>
      <rPr>
        <sz val="7"/>
        <color rgb="FF002060"/>
        <rFont val="Times New Roman"/>
        <family val="1"/>
      </rPr>
      <t xml:space="preserve">       </t>
    </r>
    <r>
      <rPr>
        <sz val="12"/>
        <color rgb="FF002060"/>
        <rFont val="Times New Roman"/>
        <family val="1"/>
      </rPr>
      <t xml:space="preserve">The annual claim ratio trend is </t>
    </r>
  </si>
  <si>
    <t>the Development method,</t>
  </si>
  <si>
    <t>the Bornhuetter Ferguson method, and</t>
  </si>
  <si>
    <t>two iterations of the Benktander method.</t>
  </si>
  <si>
    <t xml:space="preserve">(i) </t>
  </si>
  <si>
    <t xml:space="preserve">(ii) </t>
  </si>
  <si>
    <t xml:space="preserve">(iii) </t>
  </si>
  <si>
    <r>
      <t>(</t>
    </r>
    <r>
      <rPr>
        <i/>
        <sz val="12"/>
        <color rgb="FF002060"/>
        <rFont val="Times New Roman"/>
        <family val="1"/>
      </rPr>
      <t>3.5 points</t>
    </r>
    <r>
      <rPr>
        <sz val="12"/>
        <color rgb="FF002060"/>
        <rFont val="Times New Roman"/>
        <family val="1"/>
      </rPr>
      <t>)  Calculate the IBNR for each AY as of December 31, 2023 using:</t>
    </r>
  </si>
  <si>
    <r>
      <t>(</t>
    </r>
    <r>
      <rPr>
        <i/>
        <sz val="12"/>
        <color rgb="FF002060"/>
        <rFont val="Times New Roman"/>
        <family val="1"/>
      </rPr>
      <t>1 point</t>
    </r>
    <r>
      <rPr>
        <sz val="12"/>
        <color rgb="FF002060"/>
        <rFont val="Times New Roman"/>
        <family val="1"/>
      </rPr>
      <t>)  Explain if this business is performing better or worse than expected for AY 2023 using the methods above.</t>
    </r>
  </si>
  <si>
    <t>One of the weaknesses of the Benktander method is that there is no clear guidance with respect to the appropriate number of iterations to perform.</t>
  </si>
  <si>
    <r>
      <t>(</t>
    </r>
    <r>
      <rPr>
        <i/>
        <sz val="12"/>
        <color rgb="FF002060"/>
        <rFont val="Times New Roman"/>
        <family val="1"/>
      </rPr>
      <t>0.5 points</t>
    </r>
    <r>
      <rPr>
        <sz val="12"/>
        <color rgb="FF002060"/>
        <rFont val="Times New Roman"/>
        <family val="1"/>
      </rPr>
      <t>)  Identify one other weakness of the Benktander method.</t>
    </r>
  </si>
  <si>
    <t>12-24</t>
  </si>
  <si>
    <t>Question 8</t>
  </si>
  <si>
    <r>
      <t>(</t>
    </r>
    <r>
      <rPr>
        <i/>
        <sz val="12"/>
        <color rgb="FF002060"/>
        <rFont val="Times New Roman"/>
        <family val="1"/>
      </rPr>
      <t>1 point</t>
    </r>
    <r>
      <rPr>
        <sz val="12"/>
        <color rgb="FF002060"/>
        <rFont val="Times New Roman"/>
        <family val="1"/>
      </rPr>
      <t>)  Provide another reason why the classical paid-to-paid method overstates unpaid ULAE, even in a steady state environment.</t>
    </r>
  </si>
  <si>
    <t>Insurer STL started writing Professional Liability business on January 1, 2019.</t>
  </si>
  <si>
    <t>You are given the following:</t>
  </si>
  <si>
    <t>Report</t>
  </si>
  <si>
    <t>Year</t>
  </si>
  <si>
    <t>Estimated Ultimate Claims</t>
  </si>
  <si>
    <t>Maturity Age in Months</t>
  </si>
  <si>
    <t>Reported Age-to-Ultimate Factors</t>
  </si>
  <si>
    <t>Calendar</t>
  </si>
  <si>
    <t>Paid ULAE</t>
  </si>
  <si>
    <t>Expected Paid Claims</t>
  </si>
  <si>
    <t>You are provided with the following additional information:</t>
  </si>
  <si>
    <r>
      <t>·</t>
    </r>
    <r>
      <rPr>
        <sz val="7"/>
        <color rgb="FF002060"/>
        <rFont val="Times New Roman"/>
        <family val="1"/>
      </rPr>
      <t xml:space="preserve">       </t>
    </r>
    <r>
      <rPr>
        <sz val="12"/>
        <color rgb="FF002060"/>
        <rFont val="Times New Roman"/>
        <family val="1"/>
      </rPr>
      <t xml:space="preserve">Total claim liabilities are </t>
    </r>
  </si>
  <si>
    <r>
      <t>·</t>
    </r>
    <r>
      <rPr>
        <sz val="7"/>
        <color rgb="FF002060"/>
        <rFont val="Times New Roman"/>
        <family val="1"/>
      </rPr>
      <t xml:space="preserve">       </t>
    </r>
    <r>
      <rPr>
        <sz val="12"/>
        <color rgb="FF002060"/>
        <rFont val="Times New Roman"/>
        <family val="1"/>
      </rPr>
      <t xml:space="preserve">Case estimates for existing reported claims are </t>
    </r>
  </si>
  <si>
    <r>
      <t>(</t>
    </r>
    <r>
      <rPr>
        <i/>
        <sz val="12"/>
        <color rgb="FF002060"/>
        <rFont val="Times New Roman"/>
        <family val="1"/>
      </rPr>
      <t>0.5 points</t>
    </r>
    <r>
      <rPr>
        <sz val="12"/>
        <color rgb="FF002060"/>
        <rFont val="Times New Roman"/>
        <family val="1"/>
      </rPr>
      <t>)  Calculate unpaid ULAE as of December 31, 2023 using the recommended ratio from part (d).</t>
    </r>
  </si>
  <si>
    <t>Question 9</t>
  </si>
  <si>
    <t>The response for question 9 is to be provided in the Word document.</t>
  </si>
  <si>
    <t>The response for question 6 is to be provided in the Word document.</t>
  </si>
  <si>
    <t>Question 10</t>
  </si>
  <si>
    <r>
      <t>(</t>
    </r>
    <r>
      <rPr>
        <i/>
        <sz val="12"/>
        <color rgb="FF002060"/>
        <rFont val="Times New Roman"/>
        <family val="1"/>
      </rPr>
      <t>7 points</t>
    </r>
    <r>
      <rPr>
        <sz val="12"/>
        <color rgb="FF002060"/>
        <rFont val="Times New Roman"/>
        <family val="1"/>
      </rPr>
      <t>)</t>
    </r>
  </si>
  <si>
    <t>You are estimating ultimate claims for a line of business as of December 31, 2023. Your reserving software produces the following preliminary estimates based on age-to-age development factors.</t>
  </si>
  <si>
    <t>Reported Counts</t>
  </si>
  <si>
    <t>Closed Counts</t>
  </si>
  <si>
    <r>
      <t>·</t>
    </r>
    <r>
      <rPr>
        <sz val="7"/>
        <color rgb="FF002060"/>
        <rFont val="Times New Roman"/>
        <family val="1"/>
      </rPr>
      <t xml:space="preserve">       </t>
    </r>
    <r>
      <rPr>
        <sz val="12"/>
        <color rgb="FF002060"/>
        <rFont val="Times New Roman"/>
        <family val="1"/>
      </rPr>
      <t>This line of business was stable prior to 2023.</t>
    </r>
  </si>
  <si>
    <r>
      <t>·</t>
    </r>
    <r>
      <rPr>
        <sz val="7"/>
        <color rgb="FF002060"/>
        <rFont val="Times New Roman"/>
        <family val="1"/>
      </rPr>
      <t xml:space="preserve">       </t>
    </r>
    <r>
      <rPr>
        <sz val="12"/>
        <color rgb="FF002060"/>
        <rFont val="Times New Roman"/>
        <family val="1"/>
      </rPr>
      <t>New procedures for processing and settling claims were introduced in 2023.</t>
    </r>
  </si>
  <si>
    <r>
      <t>·</t>
    </r>
    <r>
      <rPr>
        <sz val="7"/>
        <color rgb="FF002060"/>
        <rFont val="Times New Roman"/>
        <family val="1"/>
      </rPr>
      <t xml:space="preserve">       </t>
    </r>
    <r>
      <rPr>
        <sz val="12"/>
        <color rgb="FF002060"/>
        <rFont val="Times New Roman"/>
        <family val="1"/>
      </rPr>
      <t>Ultimate estimates shown above are based on simple development methods.</t>
    </r>
  </si>
  <si>
    <r>
      <t>(</t>
    </r>
    <r>
      <rPr>
        <i/>
        <sz val="12"/>
        <color rgb="FF002060"/>
        <rFont val="Times New Roman"/>
        <family val="1"/>
      </rPr>
      <t>2 points</t>
    </r>
    <r>
      <rPr>
        <sz val="12"/>
        <color rgb="FF002060"/>
        <rFont val="Times New Roman"/>
        <family val="1"/>
      </rPr>
      <t>)  Perform two diagnostic tests to confirm that there was a change in claim settlement patterns in 2023.</t>
    </r>
  </si>
  <si>
    <t>The annual claim severity trend is 5%.</t>
  </si>
  <si>
    <r>
      <t>(</t>
    </r>
    <r>
      <rPr>
        <i/>
        <sz val="12"/>
        <color rgb="FF002060"/>
        <rFont val="Times New Roman"/>
        <family val="1"/>
      </rPr>
      <t>1 point</t>
    </r>
    <r>
      <rPr>
        <sz val="12"/>
        <color rgb="FF002060"/>
        <rFont val="Times New Roman"/>
        <family val="1"/>
      </rPr>
      <t>)  Perform one diagnostic test to determine whether there was a change in case adequacy in 2023.</t>
    </r>
  </si>
  <si>
    <t>You have decided to use Berquist-Sherman adjustments to allow for changes in the claim settlement rates.  Your analysis indicates that there is a simple relationship between cumulative paid claims and cumulative closed counts for all accident and development years.  The ratio of cumulative paid claims to cumulative closed counts is 4,400.</t>
  </si>
  <si>
    <r>
      <t>(</t>
    </r>
    <r>
      <rPr>
        <i/>
        <sz val="12"/>
        <color rgb="FF002060"/>
        <rFont val="Times New Roman"/>
        <family val="1"/>
      </rPr>
      <t>2 points</t>
    </r>
    <r>
      <rPr>
        <sz val="12"/>
        <color rgb="FF002060"/>
        <rFont val="Times New Roman"/>
        <family val="1"/>
      </rPr>
      <t>)  Calculate the adjusted paid claims triangle.</t>
    </r>
  </si>
  <si>
    <r>
      <t>(</t>
    </r>
    <r>
      <rPr>
        <i/>
        <sz val="12"/>
        <color rgb="FF002060"/>
        <rFont val="Times New Roman"/>
        <family val="1"/>
      </rPr>
      <t>0.5 points</t>
    </r>
    <r>
      <rPr>
        <sz val="12"/>
        <color rgb="FF002060"/>
        <rFont val="Times New Roman"/>
        <family val="1"/>
      </rPr>
      <t>)  Describe an alternative approach that could be used for determining  ratios of paid claims to cumulative closed counts.</t>
    </r>
  </si>
  <si>
    <r>
      <t>(</t>
    </r>
    <r>
      <rPr>
        <i/>
        <sz val="12"/>
        <color rgb="FF002060"/>
        <rFont val="Times New Roman"/>
        <family val="1"/>
      </rPr>
      <t>0.5 points</t>
    </r>
    <r>
      <rPr>
        <sz val="12"/>
        <color rgb="FF002060"/>
        <rFont val="Times New Roman"/>
        <family val="1"/>
      </rPr>
      <t>)  Describe a possible problem with the alternative approach identified in part (d).</t>
    </r>
  </si>
  <si>
    <t>Your colleague recommends using the Berquist-Sherman approach that adjusts for both a change in case adequacy and a change in claim settlement patterns for this line of business.</t>
  </si>
  <si>
    <r>
      <t>(</t>
    </r>
    <r>
      <rPr>
        <i/>
        <sz val="12"/>
        <color rgb="FF002060"/>
        <rFont val="Times New Roman"/>
        <family val="1"/>
      </rPr>
      <t>1 point</t>
    </r>
    <r>
      <rPr>
        <sz val="12"/>
        <color rgb="FF002060"/>
        <rFont val="Times New Roman"/>
        <family val="1"/>
      </rPr>
      <t>)  Critique your colleague’s recommendation.</t>
    </r>
  </si>
  <si>
    <t>Question 11</t>
  </si>
  <si>
    <t>The response for question 11 is to be provided in the Word document.</t>
  </si>
  <si>
    <t>Question 12</t>
  </si>
  <si>
    <t>You are estimating ultimate claims for a line of business as of December 31, 2023 using the development-based frequency-severity method.</t>
  </si>
  <si>
    <r>
      <t>(</t>
    </r>
    <r>
      <rPr>
        <i/>
        <sz val="12"/>
        <color rgb="FF002060"/>
        <rFont val="Times New Roman"/>
        <family val="1"/>
      </rPr>
      <t>1 point</t>
    </r>
    <r>
      <rPr>
        <sz val="12"/>
        <color rgb="FF002060"/>
        <rFont val="Times New Roman"/>
        <family val="1"/>
      </rPr>
      <t>)  Describe two options to consider when experience is not fully credible for trending.</t>
    </r>
  </si>
  <si>
    <t>Projected Ultimate Counts Based on</t>
  </si>
  <si>
    <r>
      <t>·</t>
    </r>
    <r>
      <rPr>
        <sz val="7"/>
        <color rgb="FF002060"/>
        <rFont val="Times New Roman"/>
        <family val="1"/>
      </rPr>
      <t xml:space="preserve">       </t>
    </r>
    <r>
      <rPr>
        <sz val="12"/>
        <color rgb="FF002060"/>
        <rFont val="Times New Roman"/>
        <family val="1"/>
      </rPr>
      <t>This line of business was stable prior to 2023, when new claims processing and settlement policies were introduced in 2023.</t>
    </r>
  </si>
  <si>
    <r>
      <t>(</t>
    </r>
    <r>
      <rPr>
        <i/>
        <sz val="12"/>
        <color rgb="FF002060"/>
        <rFont val="Times New Roman"/>
        <family val="1"/>
      </rPr>
      <t>1.5 points</t>
    </r>
    <r>
      <rPr>
        <sz val="12"/>
        <color rgb="FF002060"/>
        <rFont val="Times New Roman"/>
        <family val="1"/>
      </rPr>
      <t>)  Recommend the annual claim frequency trend to use for this line of business.  Justify your recommendation.</t>
    </r>
  </si>
  <si>
    <r>
      <t>(</t>
    </r>
    <r>
      <rPr>
        <i/>
        <sz val="12"/>
        <color rgb="FF002060"/>
        <rFont val="Times New Roman"/>
        <family val="1"/>
      </rPr>
      <t>1.5 points</t>
    </r>
    <r>
      <rPr>
        <sz val="12"/>
        <color rgb="FF002060"/>
        <rFont val="Times New Roman"/>
        <family val="1"/>
      </rPr>
      <t>)  Calculate the ultimate counts using the development-based frequency-severity method with your selected frequency trend from part (b).  Justify any selections.</t>
    </r>
  </si>
  <si>
    <t>The annual claim severity trend is 5%.  The selected trend rate should recognize economic trend.</t>
  </si>
  <si>
    <r>
      <t>(</t>
    </r>
    <r>
      <rPr>
        <i/>
        <sz val="12"/>
        <color rgb="FF002060"/>
        <rFont val="Times New Roman"/>
        <family val="1"/>
      </rPr>
      <t>0.5 points</t>
    </r>
    <r>
      <rPr>
        <sz val="12"/>
        <color rgb="FF002060"/>
        <rFont val="Times New Roman"/>
        <family val="1"/>
      </rPr>
      <t>)  State one other influence that the trend rate should also recognize.</t>
    </r>
  </si>
  <si>
    <r>
      <t>(</t>
    </r>
    <r>
      <rPr>
        <i/>
        <sz val="12"/>
        <color rgb="FF002060"/>
        <rFont val="Times New Roman"/>
        <family val="1"/>
      </rPr>
      <t>2.5 points</t>
    </r>
    <r>
      <rPr>
        <sz val="12"/>
        <color rgb="FF002060"/>
        <rFont val="Times New Roman"/>
        <family val="1"/>
      </rPr>
      <t>)  Calculate the ultimate claims using the development-based frequency-severity method.  Justify any selections.</t>
    </r>
  </si>
  <si>
    <t>Question 13</t>
  </si>
  <si>
    <t>You are given the following data for a line of business from your company’s internal data source:</t>
  </si>
  <si>
    <t>Reported Claims from Internal Data Source</t>
  </si>
  <si>
    <t>Cumulative Paid Claims from Internal Data Source</t>
  </si>
  <si>
    <t>There is no development beyond 72 months.</t>
  </si>
  <si>
    <t>Calendar Year (CY)</t>
  </si>
  <si>
    <t>Claims Paid During CY</t>
  </si>
  <si>
    <t>Change in Case Estimates During CY</t>
  </si>
  <si>
    <r>
      <t>(</t>
    </r>
    <r>
      <rPr>
        <i/>
        <sz val="12"/>
        <color rgb="FF002060"/>
        <rFont val="Times New Roman"/>
        <family val="1"/>
      </rPr>
      <t>1.5 points</t>
    </r>
    <r>
      <rPr>
        <sz val="12"/>
        <color rgb="FF002060"/>
        <rFont val="Times New Roman"/>
        <family val="1"/>
      </rPr>
      <t>)  Verify that the change in case estimates during calendar year 2023 from the industry summary should be 223,240.</t>
    </r>
  </si>
  <si>
    <t>Projected Ultimate Severity Based on</t>
  </si>
  <si>
    <t>Paid Severity</t>
  </si>
  <si>
    <t>Reported Severity</t>
  </si>
  <si>
    <t>According to Mango and Allen, one reason the classical paid-to-paid method produces a conservative estimate of unpaid ULAE is that the cost of ULAE per thousand dollars of claims is a decreasing function of the average claim size.</t>
  </si>
  <si>
    <r>
      <t>(</t>
    </r>
    <r>
      <rPr>
        <i/>
        <sz val="12"/>
        <color rgb="FF002060"/>
        <rFont val="Times New Roman"/>
        <family val="1"/>
      </rPr>
      <t>1 point</t>
    </r>
    <r>
      <rPr>
        <sz val="12"/>
        <color rgb="FF002060"/>
        <rFont val="Times New Roman"/>
        <family val="1"/>
      </rPr>
      <t xml:space="preserve">)  Describe two situations where the Mango and Allen smoothing adjustment is particularly valuable in producing a more reasonable estimate of unpaid ULAE. </t>
    </r>
  </si>
  <si>
    <r>
      <t>(</t>
    </r>
    <r>
      <rPr>
        <i/>
        <sz val="12"/>
        <color rgb="FF002060"/>
        <rFont val="Times New Roman"/>
        <family val="1"/>
      </rPr>
      <t>3 points</t>
    </r>
    <r>
      <rPr>
        <sz val="12"/>
        <color rgb="FF002060"/>
        <rFont val="Times New Roman"/>
        <family val="1"/>
      </rPr>
      <t xml:space="preserve">)  Calculate the ULAE ratio for each year using the Mango and Allen smoothing adjustment based on paid </t>
    </r>
    <r>
      <rPr>
        <u/>
        <sz val="12"/>
        <color rgb="FF002060"/>
        <rFont val="Times New Roman"/>
        <family val="1"/>
      </rPr>
      <t>and</t>
    </r>
    <r>
      <rPr>
        <sz val="12"/>
        <color rgb="FF002060"/>
        <rFont val="Times New Roman"/>
        <family val="1"/>
      </rPr>
      <t xml:space="preserve"> reported claim data.</t>
    </r>
  </si>
  <si>
    <r>
      <t>(</t>
    </r>
    <r>
      <rPr>
        <i/>
        <sz val="12"/>
        <color rgb="FF002060"/>
        <rFont val="Times New Roman"/>
        <family val="1"/>
      </rPr>
      <t>0.5 points</t>
    </r>
    <r>
      <rPr>
        <sz val="12"/>
        <color rgb="FF002060"/>
        <rFont val="Times New Roman"/>
        <family val="1"/>
      </rPr>
      <t>)  Recommend a ULAE ratio to use for this line of business.  Justify your recommendation.</t>
    </r>
  </si>
  <si>
    <r>
      <t>·</t>
    </r>
    <r>
      <rPr>
        <sz val="7"/>
        <color rgb="FF002060"/>
        <rFont val="Times New Roman"/>
        <family val="1"/>
      </rPr>
      <t xml:space="preserve">       </t>
    </r>
    <r>
      <rPr>
        <sz val="12"/>
        <color rgb="FF002060"/>
        <rFont val="Times New Roman"/>
        <family val="1"/>
      </rPr>
      <t>30% of ULAE is associated with opening a claim file, while 70% relates to maintaining and closing a claim file</t>
    </r>
  </si>
  <si>
    <t>An investigation into the difference in the numbers found that it was due to an incorrect value reported to the industry bureau.</t>
  </si>
  <si>
    <r>
      <t>(</t>
    </r>
    <r>
      <rPr>
        <i/>
        <sz val="12"/>
        <color rgb="FF002060"/>
        <rFont val="Times New Roman"/>
        <family val="1"/>
      </rPr>
      <t>1.5 points</t>
    </r>
    <r>
      <rPr>
        <sz val="12"/>
        <color rgb="FF002060"/>
        <rFont val="Times New Roman"/>
        <family val="1"/>
      </rPr>
      <t>)  Identify the value that was reported in error to the industry bureau.</t>
    </r>
  </si>
  <si>
    <r>
      <t>·</t>
    </r>
    <r>
      <rPr>
        <sz val="7"/>
        <color rgb="FF002060"/>
        <rFont val="Times New Roman"/>
        <family val="1"/>
      </rPr>
      <t xml:space="preserve">       </t>
    </r>
    <r>
      <rPr>
        <sz val="12"/>
        <color rgb="FF002060"/>
        <rFont val="Times New Roman"/>
        <family val="1"/>
      </rPr>
      <t>Claim #4400 is a claim file from an accident that occurred on March 1, 2021 and was reported to the insurer on October 1, 2021.  The claim file originally closed in 2022 but was later reopened in 2023.  The company does not treat such claims as a new claim, but as reopening the original claim file.</t>
    </r>
  </si>
  <si>
    <r>
      <t>·</t>
    </r>
    <r>
      <rPr>
        <sz val="7"/>
        <color rgb="FF002060"/>
        <rFont val="Times New Roman"/>
        <family val="1"/>
      </rPr>
      <t xml:space="preserve">       </t>
    </r>
    <r>
      <rPr>
        <sz val="12"/>
        <color rgb="FF002060"/>
        <rFont val="Times New Roman"/>
        <family val="1"/>
      </rPr>
      <t>Claim #5500 is a claim file from an accident that occurred on July 1, 2021 and was reported to the insurer on February 1, 2022.  The adjuster set an initial case estimate of 12,000.  Upon further investigation, on February 1, 2023 this claim was found to not be covered under the insurance policy purchased by the insured, and the claim file was closed with no claim payments made.</t>
    </r>
  </si>
  <si>
    <r>
      <t>(</t>
    </r>
    <r>
      <rPr>
        <i/>
        <sz val="12"/>
        <color rgb="FF002060"/>
        <rFont val="Times New Roman"/>
        <family val="1"/>
      </rPr>
      <t>1 point</t>
    </r>
    <r>
      <rPr>
        <sz val="12"/>
        <color rgb="FF002060"/>
        <rFont val="Times New Roman"/>
        <family val="1"/>
      </rPr>
      <t xml:space="preserve">)  Construct a </t>
    </r>
    <r>
      <rPr>
        <i/>
        <sz val="12"/>
        <color rgb="FF002060"/>
        <rFont val="Times New Roman"/>
        <family val="1"/>
      </rPr>
      <t>reported</t>
    </r>
    <r>
      <rPr>
        <sz val="12"/>
        <color rgb="FF002060"/>
        <rFont val="Times New Roman"/>
        <family val="1"/>
      </rPr>
      <t xml:space="preserve"> count triangle that reflects the development on these two claim files over time.  Make sure to correctly label your triangles.</t>
    </r>
  </si>
  <si>
    <r>
      <t>(</t>
    </r>
    <r>
      <rPr>
        <i/>
        <sz val="12"/>
        <color rgb="FF002060"/>
        <rFont val="Times New Roman"/>
        <family val="1"/>
      </rPr>
      <t>1 point</t>
    </r>
    <r>
      <rPr>
        <sz val="12"/>
        <color rgb="FF002060"/>
        <rFont val="Times New Roman"/>
        <family val="1"/>
      </rPr>
      <t xml:space="preserve">)  Construct a </t>
    </r>
    <r>
      <rPr>
        <i/>
        <sz val="12"/>
        <color rgb="FF002060"/>
        <rFont val="Times New Roman"/>
        <family val="1"/>
      </rPr>
      <t>closed</t>
    </r>
    <r>
      <rPr>
        <sz val="12"/>
        <color rgb="FF002060"/>
        <rFont val="Times New Roman"/>
        <family val="1"/>
      </rPr>
      <t xml:space="preserve"> count triangle that reflects the development on these two claim files over time.  Make sure to correctly label your triangles.</t>
    </r>
  </si>
  <si>
    <t>Your company reports its data to an industry bureau that aggregates industry data.  The industry bureau provided the following summary of the information they received from your company:</t>
  </si>
  <si>
    <t>You are given the following claims information regarding two claims for a different line of business:</t>
  </si>
  <si>
    <t>Policy</t>
  </si>
  <si>
    <t>Period</t>
  </si>
  <si>
    <t>Monthly Premium</t>
  </si>
  <si>
    <t># policies</t>
  </si>
  <si>
    <t># of months earned in 2022</t>
  </si>
  <si>
    <t>Block</t>
  </si>
  <si>
    <t>Jan-March 2022</t>
  </si>
  <si>
    <t>April-Dec 2022</t>
  </si>
  <si>
    <t>Mar 1-Dec 31, 2022</t>
  </si>
  <si>
    <t>May 1-Dec 31, 2022</t>
  </si>
  <si>
    <t>July 1-Dec 31, 2022</t>
  </si>
  <si>
    <t>n/a</t>
  </si>
  <si>
    <t>Total</t>
  </si>
  <si>
    <t>CY2022 Earned Premium</t>
  </si>
  <si>
    <t>Period in CY2022</t>
  </si>
  <si>
    <t>Total Unearned Premium</t>
  </si>
  <si>
    <t># of months outstanding on Dec. 31, 2023</t>
  </si>
  <si>
    <t>Monthly Premium from Part (a)</t>
  </si>
  <si>
    <t>Rate change to Current Rate Level</t>
  </si>
  <si>
    <t>Monthly Premium at Current Rates</t>
  </si>
  <si>
    <t>CY2022 Earned Premium at Current Rate Levels</t>
  </si>
  <si>
    <t>The exposures are not evenly distributed over time.</t>
  </si>
  <si>
    <t>Age-to-Age Factors</t>
  </si>
  <si>
    <t>AHY-1 Avg</t>
  </si>
  <si>
    <t>AHY-2 Avg</t>
  </si>
  <si>
    <t>All years Avg</t>
  </si>
  <si>
    <t>AHY-1 Selected Factors:</t>
  </si>
  <si>
    <t>Age-to-age</t>
  </si>
  <si>
    <t>Age-Ult</t>
  </si>
  <si>
    <t>AHY-2 Selected Factors:</t>
  </si>
  <si>
    <t>Accident Year 2023:</t>
  </si>
  <si>
    <t>Age-Ult Factor</t>
  </si>
  <si>
    <t>Accident</t>
  </si>
  <si>
    <t>Reported</t>
  </si>
  <si>
    <t>Incremental</t>
  </si>
  <si>
    <t>Half-Year</t>
  </si>
  <si>
    <t>Claims</t>
  </si>
  <si>
    <t>Dev. Factor</t>
  </si>
  <si>
    <t>Its primary disadvantage is the potential to greatly underestimate the remaining development for long-tail lines.</t>
  </si>
  <si>
    <t>Advantage: It is based entirely on data in triangles, so no need for additional data.</t>
  </si>
  <si>
    <t>Disadvantage: Need reliable estimates of ultimate claims for most mature periods, and that is not always available.</t>
  </si>
  <si>
    <t>The purpose is so that the historical premiums can be adjusted to reflect the average premium level that is expected during the forecast period.</t>
  </si>
  <si>
    <t>Past trend:</t>
  </si>
  <si>
    <t>All policies written between July 1, 2019 and December 31, 2020 contribute toward 2020 earned premium.  Average written date =</t>
  </si>
  <si>
    <t xml:space="preserve">Past trend period: </t>
  </si>
  <si>
    <t>to</t>
  </si>
  <si>
    <t>=</t>
  </si>
  <si>
    <t>months, or</t>
  </si>
  <si>
    <t>years</t>
  </si>
  <si>
    <t>Future trend:</t>
  </si>
  <si>
    <t>New policies effective:</t>
  </si>
  <si>
    <t>for</t>
  </si>
  <si>
    <t>year</t>
  </si>
  <si>
    <t>Average written date in future rating period:</t>
  </si>
  <si>
    <t xml:space="preserve">Future trend period: </t>
  </si>
  <si>
    <t>(i) The decreased insured value would decrease the premiums, so the premium trend factors would decrease</t>
  </si>
  <si>
    <t>(ii) The higher deductible would decrease the premiums, so the premium trend factor would decrease</t>
  </si>
  <si>
    <t>Therefore, the average written dates would be based on the self-insurer's fiscal year (e.g., fiscal year running from May 1 through April 30 would have an average date of Nov 1).</t>
  </si>
  <si>
    <t>A self-insurer is essentially one policy and not a series of policies written over the period.</t>
  </si>
  <si>
    <t>Average accident date in future rating period:</t>
  </si>
  <si>
    <t>(9 months after start date).</t>
  </si>
  <si>
    <t>Trend Factors</t>
  </si>
  <si>
    <t>Trended Ultimate</t>
  </si>
  <si>
    <t>Frequency per 100 EHY</t>
  </si>
  <si>
    <t>Trending Period (months)</t>
  </si>
  <si>
    <t>Pure Premium per 100 EHY</t>
  </si>
  <si>
    <t>Average:</t>
  </si>
  <si>
    <t>-all years</t>
  </si>
  <si>
    <t>Frequency @ -1.0%</t>
  </si>
  <si>
    <t>Severity @5.0%</t>
  </si>
  <si>
    <t>Justification: should use more years to smooth out fluctuations; no significant trend</t>
  </si>
  <si>
    <t>Selected state S PP per 100 EHY</t>
  </si>
  <si>
    <t>Credibility-Weighted Pure Premium per 100 EHY</t>
  </si>
  <si>
    <t>Expected Non-Hurricane Weather Claims</t>
  </si>
  <si>
    <t xml:space="preserve"> - professional judgment</t>
  </si>
  <si>
    <t xml:space="preserve"> - assessment of the relevance and reliability of the insurer's historical experience</t>
  </si>
  <si>
    <t xml:space="preserve"> - whether there are regulation requirements</t>
  </si>
  <si>
    <t xml:space="preserve"> - balance between stability and responsiveness</t>
  </si>
  <si>
    <t xml:space="preserve"> - management input</t>
  </si>
  <si>
    <t xml:space="preserve"> - credibility consideration - want enough years for full credibility, if possible</t>
  </si>
  <si>
    <t xml:space="preserve"> - also acceptable to note that give more weight to recent experience to account for recent changes</t>
  </si>
  <si>
    <t>Running Total</t>
  </si>
  <si>
    <t>AY</t>
  </si>
  <si>
    <t>Recommend 4 years.</t>
  </si>
  <si>
    <t>Justification:  Full credibility is met by including at least the most recent 4 years.</t>
  </si>
  <si>
    <t>Commentary on Question:</t>
  </si>
  <si>
    <t>AY Weights</t>
  </si>
  <si>
    <t>Initial</t>
  </si>
  <si>
    <t>Limited</t>
  </si>
  <si>
    <t>Balanced</t>
  </si>
  <si>
    <t>Area in CY</t>
  </si>
  <si>
    <t>Rate Index</t>
  </si>
  <si>
    <t>Average rate level:</t>
  </si>
  <si>
    <t>On-level factor:</t>
  </si>
  <si>
    <t>Claim Trend</t>
  </si>
  <si>
    <t>Trended</t>
  </si>
  <si>
    <t>Period (yrs)</t>
  </si>
  <si>
    <t>Factor</t>
  </si>
  <si>
    <t>Ult. Claims</t>
  </si>
  <si>
    <t>Claim Ratio</t>
  </si>
  <si>
    <t>Weights</t>
  </si>
  <si>
    <t>Weighted:</t>
  </si>
  <si>
    <t>Weighted Average Trended Claim Ratio (including non-hurricane weather loading):</t>
  </si>
  <si>
    <t>Ratio of ULAE to Claims</t>
  </si>
  <si>
    <t>Fixed Expenses as Ratio to Premiums at Current Rate Level</t>
  </si>
  <si>
    <t>Variable Expenses - Ratio to Premiums</t>
  </si>
  <si>
    <t>Profit and Contingencies Ratio to Premiums</t>
  </si>
  <si>
    <t>Claim Ratio Trend:</t>
  </si>
  <si>
    <t>Earned Premiums</t>
  </si>
  <si>
    <t>Earned</t>
  </si>
  <si>
    <t>Premiums</t>
  </si>
  <si>
    <t># months from 2023 average accident date to June 1, 2025:</t>
  </si>
  <si>
    <t>Recommend all years average:</t>
  </si>
  <si>
    <t>Weather loading as a claim ratio</t>
  </si>
  <si>
    <t>Any 2 of the following are acceptable:</t>
  </si>
  <si>
    <t>Candidates can also select weights judgmentally, as long as the number of years used matches the number of years recommended in part (e).</t>
  </si>
  <si>
    <t>Weighted Average Trended Claim Ratio including ULAE</t>
  </si>
  <si>
    <t xml:space="preserve">Permissible Claim Ratio </t>
  </si>
  <si>
    <t xml:space="preserve">Indicated Rate Change </t>
  </si>
  <si>
    <t>On-Level</t>
  </si>
  <si>
    <t>Factors</t>
  </si>
  <si>
    <t>CDF</t>
  </si>
  <si>
    <t>Development Method Ultimate Claims</t>
  </si>
  <si>
    <t>Development Method IBNR</t>
  </si>
  <si>
    <t>Claim Ratio at Each AY Cost Level</t>
  </si>
  <si>
    <t>Expected Claims Based on Claim Ratio</t>
  </si>
  <si>
    <t>Ultimate Claims BF Method</t>
  </si>
  <si>
    <t>BF Method IBNR</t>
  </si>
  <si>
    <t>BK Method (Ultimate)</t>
  </si>
  <si>
    <t>BK Method (IBNR)</t>
  </si>
  <si>
    <t>Iteration 1</t>
  </si>
  <si>
    <t>Iteration 2</t>
  </si>
  <si>
    <t>(i)</t>
  </si>
  <si>
    <t>Claim Trend Factor @6.1%</t>
  </si>
  <si>
    <t>(iii)</t>
  </si>
  <si>
    <t>(ii)</t>
  </si>
  <si>
    <t>2023 claim ratio for each method:</t>
  </si>
  <si>
    <t>Development method</t>
  </si>
  <si>
    <t>BF method</t>
  </si>
  <si>
    <t>BK 2nd iteration</t>
  </si>
  <si>
    <t>Expected claim ratio:</t>
  </si>
  <si>
    <t>Since all claim  ratios are lower than the expected claim ratio, all are performing better than expected.</t>
  </si>
  <si>
    <t>There is not a clear sense as to the improvement in the estimation of ultimate claims from additional iterations.</t>
  </si>
  <si>
    <t>Any two of the following are acceptable:</t>
  </si>
  <si>
    <t>Reported CDF</t>
  </si>
  <si>
    <t>% Cumulative Reported</t>
  </si>
  <si>
    <t>% Incremental Reported</t>
  </si>
  <si>
    <t>Selected</t>
  </si>
  <si>
    <t>Projected in Calendar Year</t>
  </si>
  <si>
    <t>Expected Reported Claims</t>
  </si>
  <si>
    <t>ULAE Ratio based on Mango and Allen Smoothing Adjustment:</t>
  </si>
  <si>
    <t>Ratio ULAE to Claims</t>
  </si>
  <si>
    <t>Paid</t>
  </si>
  <si>
    <t>Expected Claims</t>
  </si>
  <si>
    <t>ULAE</t>
  </si>
  <si>
    <t>and Reported</t>
  </si>
  <si>
    <t>Average of Paid</t>
  </si>
  <si>
    <t>Recommendation is to use the average of all years of 16.5%. The justification is to use the average as this is a new line of business and there probably isn’t yet the stability in the numbers.</t>
  </si>
  <si>
    <t>% of ULAE opening a claim file:</t>
  </si>
  <si>
    <t xml:space="preserve">For most insurance portfolios, the average size of claims remaining open at the valuation date is greater than the average size of claims opened, </t>
  </si>
  <si>
    <t>and claims closed over the prior calendar year. This is the case even where there is no inflation and no growth in the exposure base.</t>
  </si>
  <si>
    <r>
      <t>·</t>
    </r>
    <r>
      <rPr>
        <sz val="7"/>
        <color theme="1"/>
        <rFont val="Times New Roman"/>
        <family val="1"/>
      </rPr>
      <t xml:space="preserve">       </t>
    </r>
    <r>
      <rPr>
        <sz val="12"/>
        <color theme="1"/>
        <rFont val="Times New Roman"/>
        <family val="1"/>
      </rPr>
      <t>Long-tail lines of business</t>
    </r>
  </si>
  <si>
    <r>
      <t>·</t>
    </r>
    <r>
      <rPr>
        <sz val="7"/>
        <color theme="1"/>
        <rFont val="Times New Roman"/>
        <family val="1"/>
      </rPr>
      <t xml:space="preserve">       </t>
    </r>
    <r>
      <rPr>
        <sz val="12"/>
        <color theme="1"/>
        <rFont val="Times New Roman"/>
        <family val="1"/>
      </rPr>
      <t>Changing exposure volume</t>
    </r>
  </si>
  <si>
    <r>
      <t>·</t>
    </r>
    <r>
      <rPr>
        <sz val="7"/>
        <color theme="1"/>
        <rFont val="Times New Roman"/>
        <family val="1"/>
      </rPr>
      <t xml:space="preserve">       </t>
    </r>
    <r>
      <rPr>
        <sz val="12"/>
        <color theme="1"/>
        <rFont val="Times New Roman"/>
        <family val="1"/>
      </rPr>
      <t>When large claims result in significant distortions to the calendar year paid and reported claims from year to year</t>
    </r>
  </si>
  <si>
    <r>
      <t>·</t>
    </r>
    <r>
      <rPr>
        <sz val="7"/>
        <color theme="1"/>
        <rFont val="Times New Roman"/>
        <family val="1"/>
      </rPr>
      <t xml:space="preserve">       </t>
    </r>
    <r>
      <rPr>
        <sz val="12"/>
        <color theme="1"/>
        <rFont val="Times New Roman"/>
        <family val="1"/>
      </rPr>
      <t>Where there are few claims paid or reported per year with great variability in the average claim value (i.e., low frequency and highly variable severity)</t>
    </r>
  </si>
  <si>
    <r>
      <t>·</t>
    </r>
    <r>
      <rPr>
        <sz val="7"/>
        <color theme="1"/>
        <rFont val="Times New Roman"/>
        <family val="1"/>
      </rPr>
      <t xml:space="preserve">       </t>
    </r>
    <r>
      <rPr>
        <sz val="12"/>
        <color theme="1"/>
        <rFont val="Times New Roman"/>
        <family val="1"/>
      </rPr>
      <t>Relatively new insurer who does not have a significant volume of credible paid or reported claims</t>
    </r>
  </si>
  <si>
    <r>
      <t>·</t>
    </r>
    <r>
      <rPr>
        <sz val="7"/>
        <color theme="1"/>
        <rFont val="Times New Roman"/>
        <family val="1"/>
      </rPr>
      <t xml:space="preserve">       </t>
    </r>
    <r>
      <rPr>
        <sz val="12"/>
        <color theme="1"/>
        <rFont val="Times New Roman"/>
        <family val="1"/>
      </rPr>
      <t>Sparse or volatile data</t>
    </r>
  </si>
  <si>
    <t xml:space="preserve"> - if there has been a speed up in claim settlement in 2023, expect the latest diagonal to show noticeable increase in the ratios</t>
  </si>
  <si>
    <t xml:space="preserve"> - there is evidence of a speed up in this case.</t>
  </si>
  <si>
    <t>Ratio of Paid Claims to Reported Claims</t>
  </si>
  <si>
    <t>Ratio of Closed Counts to Reported Counts</t>
  </si>
  <si>
    <t>Average Case</t>
  </si>
  <si>
    <t>Change in Average Case</t>
  </si>
  <si>
    <t xml:space="preserve"> - there is no evidence of a significant change in case adequacy in this situation</t>
  </si>
  <si>
    <t xml:space="preserve"> - evidence of change in case adequacy would show up as a change in one of the diagonals significantly different than 5%</t>
  </si>
  <si>
    <t>Change in average case:</t>
  </si>
  <si>
    <t>Ratio of cumulative paid claims and closed counts for all AY's/all development periods:</t>
  </si>
  <si>
    <t>Ratio of Closed Counts to Ultimate Counts:</t>
  </si>
  <si>
    <t>Ultimate Counts (from reported)</t>
  </si>
  <si>
    <t>Adjusted Closed Counts</t>
  </si>
  <si>
    <t>Adjusted Paid Claims</t>
  </si>
  <si>
    <t>Solution needs to use ultimate counts from reported only because reported counts are not affected by the settlement change but closed counts are.</t>
  </si>
  <si>
    <t xml:space="preserve">Instead of a fixed ratio that does not vary by AY and development period, </t>
  </si>
  <si>
    <t>determine a mathematical curve to approximate the relationship between cumulative closed counts and cumulative paid claims</t>
  </si>
  <si>
    <t>In some situations, a mathematical relationship may not even exist.</t>
  </si>
  <si>
    <t>This line of business did not have a change in case adequacy, so an adjustment for that is not needed.</t>
  </si>
  <si>
    <t xml:space="preserve">However, adjusting for both a change in case adequacy and a change in claim settlement should not significantly affect the results, </t>
  </si>
  <si>
    <t>as adjusting for the change in case adequacy should have little, if any, effect.</t>
  </si>
  <si>
    <t xml:space="preserve"> - Rely on industry data for a similar line of business in a similar jurisdiction.</t>
  </si>
  <si>
    <t xml:space="preserve"> - Combine the insurer's experience in specific states or provinces with the experience of a larger region.</t>
  </si>
  <si>
    <t xml:space="preserve"> - Combine the insurer's experience with that of other insurers in a group under common ownership.</t>
  </si>
  <si>
    <t>Indicated Frequency</t>
  </si>
  <si>
    <t>Exponential fitted:</t>
  </si>
  <si>
    <t>Selected:</t>
  </si>
  <si>
    <t>Trended Frequency</t>
  </si>
  <si>
    <t>F-S Ultimate Counts</t>
  </si>
  <si>
    <t>Average trended frequency at 2023 cost level excluding 2023</t>
  </si>
  <si>
    <t xml:space="preserve">   all years</t>
  </si>
  <si>
    <t xml:space="preserve">   excludng hi-lo</t>
  </si>
  <si>
    <t>Selected frequency @ 2023 level:</t>
  </si>
  <si>
    <t>Trended Reported Severity</t>
  </si>
  <si>
    <t>F-S Ultimate Severity</t>
  </si>
  <si>
    <t>F-S Ultimate Claims</t>
  </si>
  <si>
    <t>Average trended severity at 2023 cost level excluding 2023</t>
  </si>
  <si>
    <t>Severity Trend @5.0%</t>
  </si>
  <si>
    <t>Annual claim severitry trend:</t>
  </si>
  <si>
    <t>Selected severity @ 2023 level:</t>
  </si>
  <si>
    <t>Annual Change in Frequency</t>
  </si>
  <si>
    <t>Justification: use all years due to erratic changes.</t>
  </si>
  <si>
    <t xml:space="preserve">   excluding hi-lo</t>
  </si>
  <si>
    <t>Justification for selected frequency: No significant trend; no significant outliers</t>
  </si>
  <si>
    <t xml:space="preserve">Social influences, which are defined by U.S. Standards as "the impact on insurance costs of societal changes such as changes in claim consciousness, court practices, and legal precedents, </t>
  </si>
  <si>
    <t>as well as in other noneconomic factors." (Actuarial Standards Board-US,  2009, p. 2) As noted in Chapter 7, the effect of social influences is also known as superimposed inflation.</t>
  </si>
  <si>
    <t>Justification for selected severity: No significant trend; no significant outliers.</t>
  </si>
  <si>
    <t>CY</t>
  </si>
  <si>
    <t>Case Estimates at End of Year</t>
  </si>
  <si>
    <t>Case Change in CY</t>
  </si>
  <si>
    <t>Paid at End of Year</t>
  </si>
  <si>
    <t>Paid in CY</t>
  </si>
  <si>
    <t>The claims paid in CY 2023 was incorrect, which likely caused the error in the change in case in CY 2023.</t>
  </si>
  <si>
    <t>Claim #4400:</t>
  </si>
  <si>
    <t xml:space="preserve"> - AY 2021</t>
  </si>
  <si>
    <t xml:space="preserve"> - Reported in 2021 (12 months)</t>
  </si>
  <si>
    <t xml:space="preserve"> - Stays a reported count at 24 and 36 months</t>
  </si>
  <si>
    <t>Claim #5500:</t>
  </si>
  <si>
    <t xml:space="preserve"> - Reported in 2022 (24 months), so zero at 12 and 1 at 24 &amp; 36 months</t>
  </si>
  <si>
    <t xml:space="preserve"> - closed in 2022, so closed counts should be a 1 at 24 months, reopened in 2023 so remove the 1 at 36 months</t>
  </si>
  <si>
    <t xml:space="preserve"> - deemed invalid claim in 2023, so closed count is 1 at 36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</si>
</sst>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
    <numFmt numFmtId="165" formatCode="0.0%"/>
    <numFmt numFmtId="166" formatCode="mmm\.\ d\,\ yyyy"/>
    <numFmt numFmtId="167" formatCode="mmm\ d\,\ yyyy"/>
    <numFmt numFmtId="168" formatCode="0.000000"/>
    <numFmt numFmtId="169" formatCode="0.0000"/>
    <numFmt numFmtId="170" formatCode="0.00000"/>
    <numFmt numFmtId="171" formatCode="mmmm\ d\,\ yyyy"/>
    <numFmt numFmtId="174" formatCode="0.000%"/>
  </numFmts>
  <fonts count="27">
    <font>
      <sz val="11"/>
      <color theme="1"/>
      <name val="Calibri"/>
      <family val="2"/>
      <scheme val="minor"/>
    </font>
    <font>
      <sz val="12"/>
      <color rgb="FF002060"/>
      <name val="Times New Roman"/>
      <family val="1"/>
    </font>
    <font>
      <sz val="12"/>
      <color theme="1"/>
      <name val="Times New Roman"/>
      <family val="1"/>
    </font>
    <font>
      <b/>
      <sz val="14"/>
      <color rgb="FF002060"/>
      <name val="Times New Roman"/>
      <family val="1"/>
    </font>
    <font>
      <i/>
      <sz val="12"/>
      <color rgb="FF002060"/>
      <name val="Times New Roman"/>
      <family val="1"/>
    </font>
    <font>
      <sz val="12"/>
      <name val="Times New Roman"/>
      <family val="1"/>
    </font>
    <font>
      <b/>
      <i/>
      <sz val="12"/>
      <color rgb="FF002060"/>
      <name val="Times New Roman"/>
      <family val="1"/>
    </font>
    <font>
      <sz val="12"/>
      <color rgb="FF002060"/>
      <name val="Symbol"/>
      <family val="1"/>
      <charset val="2"/>
    </font>
    <font>
      <sz val="7"/>
      <color rgb="FF002060"/>
      <name val="Times New Roman"/>
      <family val="1"/>
    </font>
    <font>
      <b/>
      <sz val="12"/>
      <color rgb="FF002060"/>
      <name val="Times New Roman"/>
      <family val="1"/>
    </font>
    <font>
      <sz val="12"/>
      <color rgb="FF002060"/>
      <name val="TimesNewRomanPSMT"/>
    </font>
    <font>
      <sz val="12"/>
      <color rgb="FF002060"/>
      <name val="Courier New"/>
      <family val="3"/>
    </font>
    <font>
      <sz val="11"/>
      <color rgb="FF002060"/>
      <name val="Calibri"/>
      <family val="2"/>
      <scheme val="minor"/>
    </font>
    <font>
      <u/>
      <sz val="12"/>
      <color rgb="FF002060"/>
      <name val="Times New Roman"/>
      <family val="1"/>
    </font>
    <font>
      <i/>
      <sz val="12"/>
      <color theme="1"/>
      <name val="Times New Roman"/>
      <family val="1"/>
    </font>
    <font>
      <sz val="11"/>
      <name val="Calibri"/>
      <family val="2"/>
      <scheme val="minor"/>
    </font>
    <font>
      <sz val="12"/>
      <name val="Calibri"/>
      <family val="2"/>
    </font>
    <font>
      <sz val="11"/>
      <color theme="1"/>
      <name val="Calibri"/>
      <family val="2"/>
      <scheme val="minor"/>
    </font>
    <font>
      <sz val="12"/>
      <color rgb="FF7030A0"/>
      <name val="Times New Roman"/>
      <family val="1"/>
    </font>
    <font>
      <u/>
      <sz val="12"/>
      <name val="Times New Roman"/>
      <family val="1"/>
    </font>
    <font>
      <b/>
      <sz val="12"/>
      <color theme="1"/>
      <name val="Times New Roman"/>
      <family val="1"/>
    </font>
    <font>
      <sz val="12"/>
      <color theme="1"/>
      <name val="Aptos Narrow"/>
      <family val="2"/>
    </font>
    <font>
      <i/>
      <sz val="12"/>
      <color rgb="FF7030A0"/>
      <name val="Times New Roman"/>
      <family val="1"/>
    </font>
    <font>
      <i/>
      <sz val="12"/>
      <name val="Times New Roman"/>
      <family val="1"/>
    </font>
    <font>
      <sz val="12"/>
      <color theme="1"/>
      <name val="Symbol"/>
      <family val="1"/>
      <charset val="2"/>
    </font>
    <font>
      <sz val="7"/>
      <color theme="1"/>
      <name val="Times New Roman"/>
      <family val="1"/>
    </font>
    <font>
      <b/>
      <i/>
      <sz val="12"/>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2">
    <xf numFmtId="0" fontId="0" fillId="0" borderId="0"/>
    <xf numFmtId="9" fontId="17" fillId="0" borderId="0" applyFont="0" applyFill="0" applyBorder="0" applyAlignment="0" applyProtection="0"/>
  </cellStyleXfs>
  <cellXfs count="208">
    <xf numFmtId="0" fontId="0" fillId="0" borderId="0" xfId="0"/>
    <xf numFmtId="0" fontId="2" fillId="0" borderId="0" xfId="0" applyFont="1"/>
    <xf numFmtId="0" fontId="3" fillId="3" borderId="0" xfId="0" applyFont="1" applyFill="1"/>
    <xf numFmtId="0" fontId="2" fillId="3" borderId="0" xfId="0" applyFont="1" applyFill="1"/>
    <xf numFmtId="0" fontId="1" fillId="3" borderId="0" xfId="0" applyFont="1" applyFill="1"/>
    <xf numFmtId="0" fontId="1" fillId="3" borderId="0" xfId="0" quotePrefix="1" applyFont="1" applyFill="1" applyAlignment="1">
      <alignment vertical="center"/>
    </xf>
    <xf numFmtId="0" fontId="5" fillId="0" borderId="0" xfId="0" applyFont="1"/>
    <xf numFmtId="0" fontId="1" fillId="0" borderId="0" xfId="0" applyFont="1"/>
    <xf numFmtId="0" fontId="1" fillId="2" borderId="0" xfId="0" applyFont="1" applyFill="1"/>
    <xf numFmtId="0" fontId="1" fillId="3" borderId="0" xfId="0" quotePrefix="1" applyFont="1" applyFill="1"/>
    <xf numFmtId="0" fontId="6" fillId="3" borderId="0" xfId="0" applyFont="1" applyFill="1"/>
    <xf numFmtId="0" fontId="6" fillId="0" borderId="0" xfId="0" applyFont="1"/>
    <xf numFmtId="0" fontId="1" fillId="0" borderId="1" xfId="0" applyFont="1" applyBorder="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1" fillId="0" borderId="7" xfId="0" applyFont="1" applyBorder="1"/>
    <xf numFmtId="0" fontId="1" fillId="0" borderId="8" xfId="0" applyFont="1" applyBorder="1"/>
    <xf numFmtId="0" fontId="1" fillId="2" borderId="0" xfId="0" quotePrefix="1" applyFont="1" applyFill="1"/>
    <xf numFmtId="0" fontId="7" fillId="2" borderId="0" xfId="0" applyFont="1" applyFill="1" applyAlignment="1">
      <alignment horizontal="left" vertical="center"/>
    </xf>
    <xf numFmtId="0" fontId="1" fillId="2" borderId="0" xfId="0" applyFont="1" applyFill="1" applyAlignment="1">
      <alignment horizontal="center" vertical="center"/>
    </xf>
    <xf numFmtId="3" fontId="1" fillId="2" borderId="0" xfId="0" applyNumberFormat="1" applyFont="1" applyFill="1" applyAlignment="1">
      <alignment horizontal="center" vertical="center"/>
    </xf>
    <xf numFmtId="0" fontId="9" fillId="2" borderId="9" xfId="0" applyFont="1" applyFill="1" applyBorder="1" applyAlignment="1">
      <alignment horizontal="center" wrapText="1"/>
    </xf>
    <xf numFmtId="0" fontId="1" fillId="2" borderId="9" xfId="0" applyFont="1" applyFill="1" applyBorder="1" applyAlignment="1">
      <alignment horizontal="center" vertical="center"/>
    </xf>
    <xf numFmtId="3" fontId="1" fillId="2" borderId="9" xfId="0" applyNumberFormat="1" applyFont="1" applyFill="1" applyBorder="1" applyAlignment="1">
      <alignment horizontal="center" vertical="center"/>
    </xf>
    <xf numFmtId="0" fontId="1" fillId="2" borderId="0" xfId="0" applyFont="1" applyFill="1" applyAlignment="1">
      <alignment horizontal="left" vertical="center"/>
    </xf>
    <xf numFmtId="9" fontId="1" fillId="2" borderId="9" xfId="0" applyNumberFormat="1" applyFont="1" applyFill="1" applyBorder="1" applyAlignment="1">
      <alignment horizontal="center"/>
    </xf>
    <xf numFmtId="0" fontId="9" fillId="2" borderId="9" xfId="0" applyFont="1" applyFill="1" applyBorder="1" applyAlignment="1">
      <alignment horizontal="center" vertical="center" wrapText="1"/>
    </xf>
    <xf numFmtId="0" fontId="9" fillId="2" borderId="9" xfId="0" applyFont="1" applyFill="1" applyBorder="1" applyAlignment="1">
      <alignment horizontal="center" vertical="center"/>
    </xf>
    <xf numFmtId="9" fontId="1" fillId="3" borderId="9" xfId="0" applyNumberFormat="1" applyFont="1" applyFill="1" applyBorder="1" applyAlignment="1">
      <alignment horizontal="center"/>
    </xf>
    <xf numFmtId="0" fontId="1" fillId="2" borderId="0" xfId="0" applyFont="1" applyFill="1" applyAlignment="1">
      <alignment vertical="center"/>
    </xf>
    <xf numFmtId="0" fontId="9" fillId="2" borderId="9" xfId="0" applyFont="1" applyFill="1" applyBorder="1" applyAlignment="1">
      <alignment vertical="center"/>
    </xf>
    <xf numFmtId="0" fontId="9" fillId="2" borderId="9" xfId="0" applyFont="1" applyFill="1" applyBorder="1" applyAlignment="1">
      <alignment horizontal="center"/>
    </xf>
    <xf numFmtId="3" fontId="1" fillId="2" borderId="9" xfId="0" applyNumberFormat="1" applyFont="1" applyFill="1" applyBorder="1" applyAlignment="1">
      <alignment horizontal="center"/>
    </xf>
    <xf numFmtId="0" fontId="11" fillId="2" borderId="0" xfId="0" applyFont="1" applyFill="1" applyAlignment="1">
      <alignment horizontal="left" vertical="center"/>
    </xf>
    <xf numFmtId="164" fontId="1" fillId="2" borderId="9" xfId="0" applyNumberFormat="1" applyFont="1" applyFill="1" applyBorder="1" applyAlignment="1">
      <alignment horizontal="center" vertical="center"/>
    </xf>
    <xf numFmtId="165" fontId="1" fillId="2" borderId="9" xfId="0" applyNumberFormat="1" applyFont="1" applyFill="1" applyBorder="1" applyAlignment="1">
      <alignment horizontal="center"/>
    </xf>
    <xf numFmtId="0" fontId="1" fillId="2" borderId="0" xfId="0" applyFont="1" applyFill="1" applyAlignment="1">
      <alignment horizontal="right" vertical="center"/>
    </xf>
    <xf numFmtId="0" fontId="12" fillId="2" borderId="0" xfId="0" applyFont="1" applyFill="1" applyAlignment="1">
      <alignment horizontal="left"/>
    </xf>
    <xf numFmtId="16" fontId="1" fillId="2" borderId="9" xfId="0" quotePrefix="1" applyNumberFormat="1" applyFont="1" applyFill="1" applyBorder="1" applyAlignment="1">
      <alignment horizontal="center" vertical="center"/>
    </xf>
    <xf numFmtId="0" fontId="1" fillId="2" borderId="9" xfId="0" applyFont="1" applyFill="1" applyBorder="1" applyAlignment="1">
      <alignment horizontal="center" vertical="center" wrapText="1"/>
    </xf>
    <xf numFmtId="3" fontId="1" fillId="2" borderId="9" xfId="0" applyNumberFormat="1" applyFont="1" applyFill="1" applyBorder="1" applyAlignment="1">
      <alignment horizontal="center" vertical="center" wrapText="1"/>
    </xf>
    <xf numFmtId="164" fontId="1" fillId="2" borderId="9" xfId="0" applyNumberFormat="1" applyFont="1" applyFill="1" applyBorder="1" applyAlignment="1">
      <alignment horizontal="center" vertical="center" wrapText="1"/>
    </xf>
    <xf numFmtId="0" fontId="1" fillId="2" borderId="11"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wrapText="1"/>
    </xf>
    <xf numFmtId="0" fontId="9" fillId="2" borderId="11" xfId="0" applyFont="1" applyFill="1" applyBorder="1" applyAlignment="1">
      <alignment horizontal="center" wrapText="1"/>
    </xf>
    <xf numFmtId="0" fontId="7" fillId="2" borderId="0" xfId="0" applyFont="1" applyFill="1" applyAlignment="1">
      <alignment horizontal="left" vertical="top" wrapText="1"/>
    </xf>
    <xf numFmtId="166" fontId="1" fillId="2" borderId="9" xfId="0" applyNumberFormat="1" applyFont="1" applyFill="1" applyBorder="1" applyAlignment="1">
      <alignment horizontal="center" vertical="center"/>
    </xf>
    <xf numFmtId="167" fontId="1" fillId="2" borderId="9" xfId="0" applyNumberFormat="1" applyFont="1" applyFill="1" applyBorder="1" applyAlignment="1">
      <alignment horizontal="center" vertical="center"/>
    </xf>
    <xf numFmtId="0" fontId="2" fillId="0" borderId="7" xfId="0" applyFont="1" applyBorder="1" applyAlignment="1">
      <alignment horizontal="center"/>
    </xf>
    <xf numFmtId="0" fontId="2" fillId="0" borderId="7" xfId="0" applyFont="1" applyBorder="1" applyAlignment="1">
      <alignment horizontal="center" wrapText="1"/>
    </xf>
    <xf numFmtId="0" fontId="2" fillId="0" borderId="0" xfId="0" applyFont="1" applyAlignment="1">
      <alignment horizontal="center"/>
    </xf>
    <xf numFmtId="2" fontId="2" fillId="0" borderId="0" xfId="0" applyNumberFormat="1" applyFont="1" applyAlignment="1">
      <alignment horizontal="center"/>
    </xf>
    <xf numFmtId="3" fontId="2" fillId="0" borderId="0" xfId="0" applyNumberFormat="1" applyFont="1" applyAlignment="1">
      <alignment horizontal="center"/>
    </xf>
    <xf numFmtId="0" fontId="2" fillId="0" borderId="0" xfId="0" applyFont="1" applyAlignment="1">
      <alignment horizontal="center" vertical="center"/>
    </xf>
    <xf numFmtId="0" fontId="2" fillId="0" borderId="0" xfId="0" quotePrefix="1" applyFont="1" applyAlignment="1">
      <alignment horizontal="center"/>
    </xf>
    <xf numFmtId="0" fontId="2" fillId="0" borderId="7" xfId="0" applyFont="1" applyBorder="1" applyAlignment="1">
      <alignment horizontal="center" vertical="center"/>
    </xf>
    <xf numFmtId="2" fontId="2" fillId="0" borderId="7" xfId="0" applyNumberFormat="1" applyFont="1" applyBorder="1" applyAlignment="1">
      <alignment horizontal="center"/>
    </xf>
    <xf numFmtId="3" fontId="2" fillId="0" borderId="7" xfId="0" applyNumberFormat="1" applyFont="1" applyBorder="1" applyAlignment="1">
      <alignment horizontal="center"/>
    </xf>
    <xf numFmtId="10" fontId="2" fillId="0" borderId="0" xfId="0" applyNumberFormat="1" applyFont="1" applyAlignment="1">
      <alignment horizontal="center"/>
    </xf>
    <xf numFmtId="10" fontId="2" fillId="0" borderId="7" xfId="0" applyNumberFormat="1" applyFont="1" applyBorder="1" applyAlignment="1">
      <alignment horizontal="center"/>
    </xf>
    <xf numFmtId="164" fontId="2" fillId="0" borderId="0" xfId="0" applyNumberFormat="1" applyFont="1" applyAlignment="1">
      <alignment horizontal="center"/>
    </xf>
    <xf numFmtId="164" fontId="2" fillId="0" borderId="0" xfId="0" applyNumberFormat="1" applyFont="1" applyAlignment="1">
      <alignment horizontal="left"/>
    </xf>
    <xf numFmtId="0" fontId="5" fillId="0" borderId="0" xfId="0" applyFont="1" applyAlignment="1">
      <alignment horizontal="center"/>
    </xf>
    <xf numFmtId="0" fontId="5" fillId="0" borderId="7" xfId="0" applyFont="1" applyBorder="1" applyAlignment="1">
      <alignment horizontal="center"/>
    </xf>
    <xf numFmtId="164" fontId="2" fillId="0" borderId="7" xfId="0" applyNumberFormat="1" applyFont="1" applyBorder="1" applyAlignment="1">
      <alignment horizontal="center"/>
    </xf>
    <xf numFmtId="164" fontId="5" fillId="0" borderId="0" xfId="0" applyNumberFormat="1" applyFont="1" applyAlignment="1">
      <alignment horizontal="center"/>
    </xf>
    <xf numFmtId="0" fontId="5" fillId="0" borderId="7" xfId="0" applyFont="1" applyBorder="1" applyAlignment="1">
      <alignment horizontal="center" wrapText="1"/>
    </xf>
    <xf numFmtId="164" fontId="14" fillId="0" borderId="0" xfId="0" applyNumberFormat="1" applyFont="1" applyAlignment="1">
      <alignment horizontal="center"/>
    </xf>
    <xf numFmtId="0" fontId="15" fillId="0" borderId="0" xfId="0" applyFont="1"/>
    <xf numFmtId="165" fontId="5" fillId="0" borderId="0" xfId="0" applyNumberFormat="1" applyFont="1" applyAlignment="1">
      <alignment horizontal="center"/>
    </xf>
    <xf numFmtId="166" fontId="5" fillId="0" borderId="0" xfId="0" applyNumberFormat="1" applyFont="1" applyAlignment="1">
      <alignment horizontal="center"/>
    </xf>
    <xf numFmtId="166" fontId="5" fillId="0" borderId="0" xfId="0" applyNumberFormat="1" applyFont="1"/>
    <xf numFmtId="0" fontId="5" fillId="0" borderId="0" xfId="0" quotePrefix="1" applyFont="1" applyAlignment="1">
      <alignment horizontal="center"/>
    </xf>
    <xf numFmtId="168" fontId="5" fillId="0" borderId="0" xfId="0" applyNumberFormat="1" applyFont="1" applyAlignment="1">
      <alignment horizontal="center"/>
    </xf>
    <xf numFmtId="0" fontId="16" fillId="0" borderId="0" xfId="0" applyFont="1"/>
    <xf numFmtId="0" fontId="2" fillId="0" borderId="0" xfId="0" quotePrefix="1" applyFont="1"/>
    <xf numFmtId="3" fontId="5" fillId="0" borderId="0" xfId="0" applyNumberFormat="1" applyFont="1" applyAlignment="1">
      <alignment horizontal="center"/>
    </xf>
    <xf numFmtId="169" fontId="2" fillId="0" borderId="0" xfId="0" applyNumberFormat="1" applyFont="1" applyAlignment="1">
      <alignment horizontal="center"/>
    </xf>
    <xf numFmtId="4" fontId="2" fillId="0" borderId="0" xfId="0" applyNumberFormat="1" applyFont="1" applyAlignment="1">
      <alignment horizontal="center"/>
    </xf>
    <xf numFmtId="3" fontId="5" fillId="0" borderId="7" xfId="0" applyNumberFormat="1" applyFont="1" applyBorder="1" applyAlignment="1">
      <alignment horizontal="center"/>
    </xf>
    <xf numFmtId="169" fontId="2" fillId="0" borderId="7" xfId="0" applyNumberFormat="1" applyFont="1" applyBorder="1" applyAlignment="1">
      <alignment horizontal="center"/>
    </xf>
    <xf numFmtId="4" fontId="2" fillId="0" borderId="7" xfId="0" applyNumberFormat="1" applyFont="1" applyBorder="1" applyAlignment="1">
      <alignment horizontal="center"/>
    </xf>
    <xf numFmtId="4" fontId="2" fillId="0" borderId="0" xfId="0" quotePrefix="1" applyNumberFormat="1" applyFont="1" applyAlignment="1">
      <alignment horizontal="center"/>
    </xf>
    <xf numFmtId="3" fontId="2" fillId="0" borderId="0" xfId="0" applyNumberFormat="1" applyFont="1"/>
    <xf numFmtId="4" fontId="2" fillId="0" borderId="0" xfId="0" applyNumberFormat="1" applyFont="1"/>
    <xf numFmtId="10" fontId="2" fillId="0" borderId="0" xfId="1" applyNumberFormat="1" applyFont="1" applyFill="1"/>
    <xf numFmtId="0" fontId="20" fillId="0" borderId="0" xfId="0" applyFont="1" applyAlignment="1">
      <alignment horizontal="left" vertical="center"/>
    </xf>
    <xf numFmtId="0" fontId="14" fillId="0" borderId="0" xfId="0" applyFont="1" applyAlignment="1">
      <alignment horizontal="left" vertical="center"/>
    </xf>
    <xf numFmtId="165" fontId="2" fillId="0" borderId="0" xfId="1" applyNumberFormat="1" applyFont="1" applyFill="1" applyBorder="1" applyAlignment="1">
      <alignment horizontal="center"/>
    </xf>
    <xf numFmtId="165" fontId="2" fillId="0" borderId="0" xfId="0" applyNumberFormat="1" applyFont="1" applyAlignment="1">
      <alignment horizontal="center"/>
    </xf>
    <xf numFmtId="165" fontId="2" fillId="0" borderId="7" xfId="1" applyNumberFormat="1" applyFont="1" applyFill="1" applyBorder="1" applyAlignment="1">
      <alignment horizontal="center"/>
    </xf>
    <xf numFmtId="165" fontId="2" fillId="0" borderId="7" xfId="0" applyNumberFormat="1" applyFont="1" applyBorder="1" applyAlignment="1">
      <alignment horizontal="center"/>
    </xf>
    <xf numFmtId="9" fontId="2" fillId="0" borderId="0" xfId="0" applyNumberFormat="1" applyFont="1"/>
    <xf numFmtId="10" fontId="18" fillId="0" borderId="0" xfId="0" applyNumberFormat="1" applyFont="1" applyAlignment="1">
      <alignment horizontal="center"/>
    </xf>
    <xf numFmtId="10" fontId="5" fillId="0" borderId="0" xfId="0" applyNumberFormat="1" applyFont="1" applyAlignment="1">
      <alignment horizontal="center"/>
    </xf>
    <xf numFmtId="169" fontId="5" fillId="0" borderId="0" xfId="0" applyNumberFormat="1" applyFont="1" applyAlignment="1">
      <alignment horizontal="center"/>
    </xf>
    <xf numFmtId="9" fontId="5" fillId="0" borderId="0" xfId="0" applyNumberFormat="1" applyFont="1" applyAlignment="1">
      <alignment horizontal="center"/>
    </xf>
    <xf numFmtId="169" fontId="5" fillId="0" borderId="7" xfId="0" applyNumberFormat="1" applyFont="1" applyBorder="1" applyAlignment="1">
      <alignment horizontal="center"/>
    </xf>
    <xf numFmtId="9" fontId="5" fillId="0" borderId="7" xfId="0" applyNumberFormat="1" applyFont="1" applyBorder="1" applyAlignment="1">
      <alignment horizontal="center"/>
    </xf>
    <xf numFmtId="0" fontId="5" fillId="0" borderId="0" xfId="0" applyFont="1" applyAlignment="1">
      <alignment horizontal="right"/>
    </xf>
    <xf numFmtId="10" fontId="5" fillId="0" borderId="0" xfId="0" applyNumberFormat="1" applyFont="1" applyAlignment="1">
      <alignment horizontal="left"/>
    </xf>
    <xf numFmtId="170" fontId="5" fillId="0" borderId="0" xfId="0" applyNumberFormat="1" applyFont="1" applyAlignment="1">
      <alignment horizontal="center"/>
    </xf>
    <xf numFmtId="10" fontId="5" fillId="0" borderId="0" xfId="1" applyNumberFormat="1" applyFont="1" applyFill="1" applyAlignment="1">
      <alignment horizontal="center"/>
    </xf>
    <xf numFmtId="170" fontId="5" fillId="0" borderId="7" xfId="0" applyNumberFormat="1" applyFont="1" applyBorder="1" applyAlignment="1">
      <alignment horizontal="center"/>
    </xf>
    <xf numFmtId="10" fontId="5" fillId="0" borderId="7" xfId="1" applyNumberFormat="1" applyFont="1" applyFill="1" applyBorder="1" applyAlignment="1">
      <alignment horizontal="center"/>
    </xf>
    <xf numFmtId="165" fontId="5" fillId="0" borderId="7" xfId="0" applyNumberFormat="1" applyFont="1" applyBorder="1" applyAlignment="1">
      <alignment horizontal="center"/>
    </xf>
    <xf numFmtId="171" fontId="2" fillId="0" borderId="0" xfId="0" applyNumberFormat="1" applyFont="1" applyAlignment="1">
      <alignment horizontal="center"/>
    </xf>
    <xf numFmtId="0" fontId="21" fillId="0" borderId="0" xfId="0" applyFont="1"/>
    <xf numFmtId="0" fontId="9" fillId="2" borderId="9" xfId="0" applyFont="1" applyFill="1" applyBorder="1" applyAlignment="1">
      <alignment horizontal="center" vertical="center" wrapText="1"/>
    </xf>
    <xf numFmtId="0" fontId="9" fillId="2" borderId="9" xfId="0" applyFont="1" applyFill="1" applyBorder="1" applyAlignment="1">
      <alignment horizontal="center" vertical="center"/>
    </xf>
    <xf numFmtId="0" fontId="5" fillId="0" borderId="0" xfId="0" applyFont="1" applyAlignment="1">
      <alignment horizontal="center" wrapText="1"/>
    </xf>
    <xf numFmtId="0" fontId="5" fillId="0" borderId="7" xfId="0" applyFont="1" applyBorder="1" applyAlignment="1">
      <alignment horizontal="center" wrapText="1"/>
    </xf>
    <xf numFmtId="0" fontId="5" fillId="0" borderId="0" xfId="0" applyFont="1" applyAlignment="1">
      <alignment horizontal="center"/>
    </xf>
    <xf numFmtId="0" fontId="1" fillId="2" borderId="0" xfId="0" applyFont="1" applyFill="1" applyAlignment="1">
      <alignment wrapText="1"/>
    </xf>
    <xf numFmtId="0" fontId="1" fillId="2" borderId="0" xfId="0" applyFont="1" applyFill="1" applyAlignment="1">
      <alignment vertical="top" wrapText="1"/>
    </xf>
    <xf numFmtId="169" fontId="1" fillId="0" borderId="0" xfId="0" applyNumberFormat="1" applyFont="1" applyAlignment="1">
      <alignment horizontal="left"/>
    </xf>
    <xf numFmtId="0" fontId="5" fillId="0" borderId="7" xfId="0" applyFont="1" applyBorder="1" applyAlignment="1">
      <alignment horizontal="center"/>
    </xf>
    <xf numFmtId="0" fontId="19" fillId="0" borderId="0" xfId="0" applyFont="1" applyAlignment="1">
      <alignment horizontal="center"/>
    </xf>
    <xf numFmtId="0" fontId="2" fillId="0" borderId="0" xfId="0" applyFont="1" applyAlignment="1">
      <alignment horizontal="center"/>
    </xf>
    <xf numFmtId="2" fontId="1" fillId="2" borderId="9" xfId="0" applyNumberFormat="1" applyFont="1" applyFill="1" applyBorder="1" applyAlignment="1">
      <alignment horizontal="center" vertical="center"/>
    </xf>
    <xf numFmtId="0" fontId="9" fillId="2" borderId="9" xfId="0" applyFont="1" applyFill="1" applyBorder="1" applyAlignment="1">
      <alignment horizontal="center" wrapText="1"/>
    </xf>
    <xf numFmtId="0" fontId="1" fillId="0" borderId="0" xfId="0" applyFont="1" applyAlignment="1">
      <alignment horizontal="center"/>
    </xf>
    <xf numFmtId="0" fontId="9" fillId="2" borderId="10" xfId="0" applyFont="1" applyFill="1" applyBorder="1" applyAlignment="1">
      <alignment horizontal="center" wrapText="1"/>
    </xf>
    <xf numFmtId="0" fontId="1" fillId="2" borderId="0" xfId="0" applyFont="1" applyFill="1" applyAlignment="1">
      <alignment vertical="center" wrapText="1"/>
    </xf>
    <xf numFmtId="0" fontId="7" fillId="2" borderId="0" xfId="0" applyFont="1" applyFill="1" applyAlignment="1">
      <alignment horizontal="left" vertical="top" wrapText="1"/>
    </xf>
    <xf numFmtId="2" fontId="5" fillId="0" borderId="0" xfId="0" applyNumberFormat="1" applyFont="1" applyAlignment="1">
      <alignment horizontal="center"/>
    </xf>
    <xf numFmtId="2" fontId="5" fillId="0" borderId="7" xfId="0" applyNumberFormat="1" applyFont="1" applyBorder="1" applyAlignment="1">
      <alignment horizontal="center"/>
    </xf>
    <xf numFmtId="0" fontId="2" fillId="0" borderId="7" xfId="0" applyFont="1" applyFill="1" applyBorder="1" applyAlignment="1">
      <alignment horizontal="center" wrapText="1"/>
    </xf>
    <xf numFmtId="0" fontId="2" fillId="0" borderId="0" xfId="0" applyFont="1" applyFill="1"/>
    <xf numFmtId="0" fontId="2" fillId="0" borderId="0" xfId="0" applyFont="1" applyFill="1" applyAlignment="1">
      <alignment horizontal="center"/>
    </xf>
    <xf numFmtId="3" fontId="2" fillId="0" borderId="0" xfId="0" applyNumberFormat="1" applyFont="1" applyFill="1" applyAlignment="1">
      <alignment horizontal="center"/>
    </xf>
    <xf numFmtId="169" fontId="2" fillId="0" borderId="0" xfId="0" applyNumberFormat="1" applyFont="1" applyFill="1" applyAlignment="1">
      <alignment horizontal="center"/>
    </xf>
    <xf numFmtId="0" fontId="5" fillId="0" borderId="7" xfId="0" applyFont="1" applyFill="1" applyBorder="1" applyAlignment="1">
      <alignment horizontal="center" wrapText="1"/>
    </xf>
    <xf numFmtId="164" fontId="2" fillId="0" borderId="0" xfId="0" applyNumberFormat="1" applyFont="1" applyFill="1" applyAlignment="1">
      <alignment horizontal="center"/>
    </xf>
    <xf numFmtId="10" fontId="2" fillId="0" borderId="0" xfId="1" applyNumberFormat="1" applyFont="1" applyFill="1" applyAlignment="1">
      <alignment horizontal="center"/>
    </xf>
    <xf numFmtId="0" fontId="22" fillId="0" borderId="0" xfId="0" applyFont="1" applyFill="1"/>
    <xf numFmtId="0" fontId="2" fillId="0" borderId="0" xfId="0" applyFont="1" applyFill="1" applyAlignment="1">
      <alignment horizontal="center"/>
    </xf>
    <xf numFmtId="0" fontId="2" fillId="0" borderId="7" xfId="0" applyFont="1" applyFill="1" applyBorder="1" applyAlignment="1">
      <alignment horizontal="center"/>
    </xf>
    <xf numFmtId="0" fontId="5" fillId="0" borderId="0" xfId="0" quotePrefix="1" applyFont="1"/>
    <xf numFmtId="0" fontId="2" fillId="0" borderId="0" xfId="0" quotePrefix="1" applyFont="1" applyFill="1"/>
    <xf numFmtId="165" fontId="2" fillId="0" borderId="0" xfId="1" applyNumberFormat="1" applyFont="1" applyFill="1" applyAlignment="1">
      <alignment horizontal="center"/>
    </xf>
    <xf numFmtId="0" fontId="2" fillId="0" borderId="0" xfId="0" applyFont="1" applyFill="1" applyAlignment="1">
      <alignment vertical="center"/>
    </xf>
    <xf numFmtId="0" fontId="23" fillId="0" borderId="0" xfId="0" applyFont="1"/>
    <xf numFmtId="0" fontId="23" fillId="0" borderId="0" xfId="0" applyFont="1" applyAlignment="1"/>
    <xf numFmtId="0" fontId="5" fillId="0" borderId="0" xfId="0" applyFont="1" applyAlignment="1"/>
    <xf numFmtId="0" fontId="2" fillId="0" borderId="0" xfId="0" applyFont="1" applyAlignment="1"/>
    <xf numFmtId="0" fontId="5" fillId="0" borderId="7" xfId="0" applyFont="1" applyBorder="1" applyAlignment="1">
      <alignment horizontal="centerContinuous"/>
    </xf>
    <xf numFmtId="0" fontId="5" fillId="0" borderId="13" xfId="0" applyFont="1" applyBorder="1" applyAlignment="1">
      <alignment horizontal="center"/>
    </xf>
    <xf numFmtId="165" fontId="5" fillId="0" borderId="0" xfId="1" applyNumberFormat="1" applyFont="1" applyFill="1" applyAlignment="1">
      <alignment horizontal="center"/>
    </xf>
    <xf numFmtId="0" fontId="5" fillId="0" borderId="6" xfId="0" applyFont="1" applyBorder="1" applyAlignment="1">
      <alignment horizontal="center"/>
    </xf>
    <xf numFmtId="0" fontId="5" fillId="0" borderId="4" xfId="0" applyFont="1" applyBorder="1" applyAlignment="1">
      <alignment horizontal="center"/>
    </xf>
    <xf numFmtId="0" fontId="19" fillId="0" borderId="0" xfId="0" applyFont="1" applyAlignment="1">
      <alignment horizontal="centerContinuous"/>
    </xf>
    <xf numFmtId="0" fontId="5" fillId="0" borderId="0" xfId="0" applyFont="1" applyAlignment="1">
      <alignment horizontal="centerContinuous"/>
    </xf>
    <xf numFmtId="3" fontId="5" fillId="0" borderId="0" xfId="1" applyNumberFormat="1" applyFont="1" applyFill="1" applyBorder="1" applyAlignment="1">
      <alignment horizontal="center"/>
    </xf>
    <xf numFmtId="3" fontId="5" fillId="0" borderId="7" xfId="1" applyNumberFormat="1" applyFont="1" applyFill="1" applyBorder="1" applyAlignment="1">
      <alignment horizontal="center"/>
    </xf>
    <xf numFmtId="165" fontId="5" fillId="0" borderId="7" xfId="1" applyNumberFormat="1" applyFont="1" applyFill="1" applyBorder="1" applyAlignment="1">
      <alignment horizontal="center"/>
    </xf>
    <xf numFmtId="0" fontId="5" fillId="0" borderId="7" xfId="0" applyFont="1" applyBorder="1" applyAlignment="1">
      <alignment horizontal="centerContinuous" wrapText="1"/>
    </xf>
    <xf numFmtId="0" fontId="23" fillId="0" borderId="4" xfId="0" applyFont="1" applyBorder="1" applyAlignment="1">
      <alignment horizontal="left"/>
    </xf>
    <xf numFmtId="0" fontId="5" fillId="0" borderId="4" xfId="0" applyFont="1" applyFill="1" applyBorder="1"/>
    <xf numFmtId="0" fontId="5" fillId="0" borderId="0" xfId="0" applyFont="1" applyFill="1"/>
    <xf numFmtId="9" fontId="5" fillId="0" borderId="0" xfId="1" applyFont="1" applyFill="1"/>
    <xf numFmtId="3" fontId="5" fillId="0" borderId="0" xfId="0" applyNumberFormat="1" applyFont="1" applyFill="1"/>
    <xf numFmtId="3" fontId="2" fillId="0" borderId="0" xfId="0" applyNumberFormat="1" applyFont="1" applyFill="1"/>
    <xf numFmtId="174" fontId="5" fillId="0" borderId="0" xfId="1" applyNumberFormat="1" applyFont="1" applyFill="1" applyAlignment="1">
      <alignment horizontal="center"/>
    </xf>
    <xf numFmtId="0" fontId="24" fillId="0" borderId="0" xfId="0" applyFont="1" applyAlignment="1">
      <alignment horizontal="left" vertical="center"/>
    </xf>
    <xf numFmtId="1" fontId="2" fillId="0" borderId="7" xfId="0" applyNumberFormat="1" applyFont="1" applyBorder="1" applyAlignment="1">
      <alignment horizontal="center"/>
    </xf>
    <xf numFmtId="0" fontId="5" fillId="0" borderId="0" xfId="0" quotePrefix="1" applyFont="1" applyAlignment="1">
      <alignment horizontal="left"/>
    </xf>
    <xf numFmtId="164" fontId="26" fillId="0" borderId="0" xfId="0" applyNumberFormat="1" applyFont="1" applyAlignment="1">
      <alignment horizontal="center"/>
    </xf>
    <xf numFmtId="0" fontId="5" fillId="0" borderId="0" xfId="0" applyFont="1" applyFill="1" applyAlignment="1">
      <alignment horizontal="center"/>
    </xf>
    <xf numFmtId="165" fontId="5" fillId="0" borderId="0" xfId="1" applyNumberFormat="1" applyFont="1" applyFill="1" applyBorder="1" applyAlignment="1">
      <alignment horizontal="center"/>
    </xf>
    <xf numFmtId="0" fontId="5" fillId="0" borderId="0" xfId="0" applyFont="1" applyFill="1" applyBorder="1" applyAlignment="1">
      <alignment horizontal="center"/>
    </xf>
    <xf numFmtId="3" fontId="5" fillId="0" borderId="0" xfId="0" applyNumberFormat="1" applyFont="1" applyFill="1" applyBorder="1" applyAlignment="1">
      <alignment horizontal="center"/>
    </xf>
    <xf numFmtId="0" fontId="5" fillId="0" borderId="0" xfId="0" applyFont="1" applyFill="1" applyBorder="1" applyAlignment="1">
      <alignment horizontal="center" wrapText="1"/>
    </xf>
    <xf numFmtId="0" fontId="5" fillId="0" borderId="0" xfId="0" applyFont="1" applyFill="1" applyBorder="1" applyAlignment="1">
      <alignment horizontal="center"/>
    </xf>
    <xf numFmtId="0" fontId="5" fillId="0" borderId="7" xfId="0" applyFont="1" applyFill="1" applyBorder="1" applyAlignment="1">
      <alignment horizontal="center" wrapText="1"/>
    </xf>
    <xf numFmtId="0" fontId="5" fillId="0" borderId="7" xfId="0" applyFont="1" applyFill="1" applyBorder="1" applyAlignment="1">
      <alignment horizontal="center"/>
    </xf>
    <xf numFmtId="0" fontId="2" fillId="0" borderId="7" xfId="0" applyFont="1" applyBorder="1"/>
    <xf numFmtId="3" fontId="5" fillId="0" borderId="0" xfId="0" applyNumberFormat="1" applyFont="1" applyFill="1" applyAlignment="1">
      <alignment horizontal="center"/>
    </xf>
    <xf numFmtId="3" fontId="5" fillId="0" borderId="7" xfId="0" applyNumberFormat="1" applyFont="1" applyFill="1" applyBorder="1" applyAlignment="1">
      <alignment horizontal="center"/>
    </xf>
    <xf numFmtId="174" fontId="5" fillId="0" borderId="7" xfId="1" applyNumberFormat="1" applyFont="1" applyFill="1" applyBorder="1" applyAlignment="1">
      <alignment horizontal="center"/>
    </xf>
    <xf numFmtId="174" fontId="5" fillId="0" borderId="0" xfId="0" applyNumberFormat="1" applyFont="1" applyFill="1" applyAlignment="1">
      <alignment horizontal="center" vertical="center"/>
    </xf>
    <xf numFmtId="174" fontId="5" fillId="0" borderId="0" xfId="0" applyNumberFormat="1" applyFont="1" applyFill="1" applyAlignment="1">
      <alignment horizontal="center"/>
    </xf>
    <xf numFmtId="0" fontId="5" fillId="0" borderId="0" xfId="0" applyFont="1" applyFill="1" applyAlignment="1">
      <alignment horizontal="left"/>
    </xf>
    <xf numFmtId="168" fontId="5" fillId="0" borderId="0" xfId="0" applyNumberFormat="1" applyFont="1" applyFill="1" applyAlignment="1">
      <alignment horizontal="center"/>
    </xf>
    <xf numFmtId="168" fontId="5" fillId="0" borderId="7" xfId="0" applyNumberFormat="1" applyFont="1" applyFill="1" applyBorder="1" applyAlignment="1">
      <alignment horizontal="center"/>
    </xf>
    <xf numFmtId="0" fontId="5" fillId="0" borderId="0" xfId="0" quotePrefix="1" applyFont="1" applyFill="1"/>
    <xf numFmtId="0" fontId="15" fillId="0" borderId="0" xfId="0" applyFont="1" applyFill="1"/>
    <xf numFmtId="165" fontId="5" fillId="0" borderId="0" xfId="0" applyNumberFormat="1" applyFont="1" applyFill="1" applyAlignment="1">
      <alignment horizontal="center"/>
    </xf>
    <xf numFmtId="0" fontId="15" fillId="0" borderId="4" xfId="0" applyFont="1" applyFill="1" applyBorder="1"/>
    <xf numFmtId="4" fontId="5" fillId="0" borderId="0" xfId="0" applyNumberFormat="1" applyFont="1" applyFill="1" applyAlignment="1">
      <alignment horizontal="center"/>
    </xf>
    <xf numFmtId="4" fontId="5" fillId="0" borderId="7" xfId="0" applyNumberFormat="1" applyFont="1" applyFill="1" applyBorder="1" applyAlignment="1">
      <alignment horizontal="center"/>
    </xf>
    <xf numFmtId="0" fontId="2" fillId="0" borderId="0" xfId="0" applyFont="1" applyFill="1" applyBorder="1" applyAlignment="1">
      <alignment horizontal="center"/>
    </xf>
    <xf numFmtId="3" fontId="2" fillId="0" borderId="0" xfId="0" applyNumberFormat="1" applyFont="1" applyFill="1" applyBorder="1" applyAlignment="1">
      <alignment horizontal="center"/>
    </xf>
    <xf numFmtId="0" fontId="2" fillId="0" borderId="0" xfId="0" applyFont="1" applyFill="1" applyBorder="1"/>
    <xf numFmtId="0" fontId="2" fillId="0" borderId="0" xfId="0" applyFont="1" applyFill="1" applyBorder="1" applyAlignment="1">
      <alignment horizontal="center" wrapText="1"/>
    </xf>
    <xf numFmtId="0" fontId="2" fillId="0" borderId="0" xfId="0" applyFont="1" applyFill="1" applyBorder="1" applyAlignment="1">
      <alignment horizontal="center"/>
    </xf>
    <xf numFmtId="0" fontId="2" fillId="0" borderId="7" xfId="0" applyFont="1" applyFill="1" applyBorder="1" applyAlignment="1">
      <alignment horizontal="center" wrapText="1"/>
    </xf>
    <xf numFmtId="0" fontId="2" fillId="0" borderId="0" xfId="0" applyFont="1" applyBorder="1" applyAlignment="1">
      <alignment horizontal="center" wrapText="1"/>
    </xf>
    <xf numFmtId="0" fontId="2" fillId="0" borderId="0" xfId="0" applyFont="1" applyBorder="1" applyAlignment="1">
      <alignment horizontal="center"/>
    </xf>
    <xf numFmtId="0" fontId="5" fillId="0" borderId="0" xfId="0" applyFont="1" applyBorder="1"/>
    <xf numFmtId="0" fontId="2" fillId="0" borderId="0" xfId="0" applyFont="1" applyBorder="1" applyAlignment="1">
      <alignment horizontal="center"/>
    </xf>
    <xf numFmtId="3" fontId="2" fillId="0" borderId="0" xfId="0" applyNumberFormat="1" applyFont="1" applyBorder="1" applyAlignment="1">
      <alignment horizontal="center"/>
    </xf>
    <xf numFmtId="0" fontId="2" fillId="0" borderId="7" xfId="0" applyFont="1" applyBorder="1" applyAlignment="1">
      <alignment horizont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0</xdr:colOff>
      <xdr:row>148</xdr:row>
      <xdr:rowOff>0</xdr:rowOff>
    </xdr:from>
    <xdr:to>
      <xdr:col>20</xdr:col>
      <xdr:colOff>9525</xdr:colOff>
      <xdr:row>152</xdr:row>
      <xdr:rowOff>0</xdr:rowOff>
    </xdr:to>
    <xdr:cxnSp macro="">
      <xdr:nvCxnSpPr>
        <xdr:cNvPr id="3" name="Straight Connector 2">
          <a:extLst>
            <a:ext uri="{FF2B5EF4-FFF2-40B4-BE49-F238E27FC236}">
              <a16:creationId xmlns:a16="http://schemas.microsoft.com/office/drawing/2014/main" id="{93105970-4504-140D-9940-E5A219762091}"/>
            </a:ext>
          </a:extLst>
        </xdr:cNvPr>
        <xdr:cNvCxnSpPr/>
      </xdr:nvCxnSpPr>
      <xdr:spPr>
        <a:xfrm flipV="1">
          <a:off x="12773025" y="36614100"/>
          <a:ext cx="809625" cy="15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148</xdr:row>
      <xdr:rowOff>0</xdr:rowOff>
    </xdr:from>
    <xdr:to>
      <xdr:col>28</xdr:col>
      <xdr:colOff>11430</xdr:colOff>
      <xdr:row>152</xdr:row>
      <xdr:rowOff>0</xdr:rowOff>
    </xdr:to>
    <xdr:cxnSp macro="">
      <xdr:nvCxnSpPr>
        <xdr:cNvPr id="4" name="Straight Connector 3">
          <a:extLst>
            <a:ext uri="{FF2B5EF4-FFF2-40B4-BE49-F238E27FC236}">
              <a16:creationId xmlns:a16="http://schemas.microsoft.com/office/drawing/2014/main" id="{3ED90487-D9A4-4AE2-BF10-28437D20D804}"/>
            </a:ext>
          </a:extLst>
        </xdr:cNvPr>
        <xdr:cNvCxnSpPr/>
      </xdr:nvCxnSpPr>
      <xdr:spPr>
        <a:xfrm flipV="1">
          <a:off x="15973425" y="36614100"/>
          <a:ext cx="811530" cy="15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CE2F-AEC1-4A0A-9F06-F548DA5064BE}">
  <dimension ref="A1:R67"/>
  <sheetViews>
    <sheetView tabSelected="1" zoomScaleNormal="100" workbookViewId="0"/>
  </sheetViews>
  <sheetFormatPr defaultRowHeight="15.6"/>
  <cols>
    <col min="1" max="1" width="8.88671875" style="1" customWidth="1"/>
    <col min="2" max="2" width="14.77734375" style="1" customWidth="1"/>
    <col min="3" max="3" width="20.77734375" style="1" customWidth="1"/>
    <col min="4" max="6" width="14.77734375" style="1" customWidth="1"/>
    <col min="7" max="8" width="11.77734375" style="1" customWidth="1"/>
    <col min="9" max="9" width="18.44140625" style="1" customWidth="1"/>
    <col min="10" max="12" width="11.77734375" style="1" customWidth="1"/>
    <col min="13" max="16384" width="8.88671875" style="1"/>
  </cols>
  <sheetData>
    <row r="1" spans="1:12" ht="17.399999999999999">
      <c r="A1" s="2" t="s">
        <v>9</v>
      </c>
      <c r="B1" s="4"/>
      <c r="C1" s="8" t="s">
        <v>109</v>
      </c>
      <c r="D1" s="4"/>
      <c r="E1" s="4"/>
      <c r="F1" s="4"/>
      <c r="G1" s="4"/>
      <c r="H1" s="4"/>
      <c r="I1" s="4"/>
      <c r="J1" s="4"/>
      <c r="K1" s="4"/>
      <c r="L1" s="3"/>
    </row>
    <row r="2" spans="1:12">
      <c r="A2" s="4"/>
      <c r="B2" s="4"/>
      <c r="C2" s="4"/>
      <c r="D2" s="4"/>
      <c r="E2" s="4"/>
      <c r="F2" s="4"/>
      <c r="G2" s="4"/>
      <c r="H2" s="4"/>
      <c r="I2" s="4"/>
      <c r="J2" s="4"/>
      <c r="K2" s="4"/>
      <c r="L2" s="3"/>
    </row>
    <row r="3" spans="1:12">
      <c r="A3" s="4" t="s">
        <v>12</v>
      </c>
      <c r="B3" s="4"/>
      <c r="C3" s="4"/>
      <c r="D3" s="4"/>
      <c r="E3" s="4"/>
      <c r="F3" s="4"/>
      <c r="G3" s="4"/>
      <c r="H3" s="4"/>
      <c r="I3" s="4"/>
      <c r="J3" s="4"/>
      <c r="K3" s="4"/>
      <c r="L3" s="3"/>
    </row>
    <row r="4" spans="1:12">
      <c r="A4" s="20"/>
      <c r="B4" s="21" t="s">
        <v>22</v>
      </c>
      <c r="C4" s="26">
        <v>1000</v>
      </c>
      <c r="D4" s="27" t="s">
        <v>23</v>
      </c>
      <c r="E4" s="8"/>
      <c r="F4" s="8"/>
      <c r="G4" s="8"/>
      <c r="H4" s="8"/>
      <c r="I4" s="26">
        <v>2100</v>
      </c>
      <c r="J4" s="27" t="s">
        <v>24</v>
      </c>
      <c r="K4" s="8"/>
      <c r="L4" s="8"/>
    </row>
    <row r="5" spans="1:12">
      <c r="A5" s="20"/>
      <c r="B5" s="21" t="s">
        <v>27</v>
      </c>
      <c r="C5" s="8"/>
      <c r="D5" s="8"/>
      <c r="E5" s="8"/>
      <c r="F5" s="8"/>
      <c r="G5" s="8"/>
      <c r="H5" s="8"/>
      <c r="I5" s="8"/>
      <c r="J5" s="8"/>
      <c r="K5" s="8"/>
      <c r="L5" s="8"/>
    </row>
    <row r="6" spans="1:12">
      <c r="A6" s="20"/>
      <c r="B6" s="21"/>
      <c r="C6" s="28">
        <v>0.8</v>
      </c>
      <c r="D6" s="8" t="s">
        <v>25</v>
      </c>
      <c r="E6" s="8"/>
      <c r="F6" s="8"/>
      <c r="G6" s="8"/>
      <c r="H6" s="8"/>
      <c r="I6" s="8"/>
      <c r="J6" s="8"/>
      <c r="K6" s="8"/>
      <c r="L6" s="8"/>
    </row>
    <row r="7" spans="1:12">
      <c r="A7" s="20"/>
      <c r="B7" s="21"/>
      <c r="C7" s="28">
        <v>0.7</v>
      </c>
      <c r="D7" s="8" t="s">
        <v>26</v>
      </c>
      <c r="E7" s="8"/>
      <c r="F7" s="8"/>
      <c r="G7" s="8"/>
      <c r="H7" s="8"/>
      <c r="I7" s="8"/>
      <c r="J7" s="8"/>
      <c r="K7" s="8"/>
      <c r="L7" s="8"/>
    </row>
    <row r="8" spans="1:12">
      <c r="A8" s="20"/>
      <c r="B8" s="21" t="s">
        <v>17</v>
      </c>
      <c r="C8" s="8"/>
      <c r="D8" s="8"/>
      <c r="E8" s="8"/>
      <c r="F8" s="8"/>
      <c r="G8" s="8"/>
      <c r="H8" s="8"/>
      <c r="I8" s="8"/>
      <c r="J8" s="8"/>
      <c r="K8" s="8"/>
      <c r="L8" s="8"/>
    </row>
    <row r="9" spans="1:12" ht="31.2">
      <c r="A9" s="20"/>
      <c r="B9" s="24" t="s">
        <v>13</v>
      </c>
      <c r="C9" s="24" t="s">
        <v>14</v>
      </c>
      <c r="D9" s="24" t="s">
        <v>15</v>
      </c>
      <c r="E9" s="24" t="s">
        <v>16</v>
      </c>
      <c r="F9" s="8"/>
      <c r="G9" s="8"/>
      <c r="H9" s="8"/>
      <c r="I9" s="8"/>
      <c r="J9" s="8"/>
      <c r="K9" s="8"/>
      <c r="L9" s="8"/>
    </row>
    <row r="10" spans="1:12">
      <c r="A10" s="20"/>
      <c r="B10" s="25">
        <v>100</v>
      </c>
      <c r="C10" s="51">
        <v>44621</v>
      </c>
      <c r="D10" s="25">
        <v>12</v>
      </c>
      <c r="E10" s="26">
        <v>3000</v>
      </c>
      <c r="F10" s="8"/>
      <c r="G10" s="8"/>
      <c r="H10" s="8"/>
      <c r="I10" s="8"/>
      <c r="J10" s="8"/>
      <c r="K10" s="8"/>
      <c r="L10" s="8"/>
    </row>
    <row r="11" spans="1:12">
      <c r="A11" s="8"/>
      <c r="B11" s="25">
        <v>200</v>
      </c>
      <c r="C11" s="52">
        <v>44682</v>
      </c>
      <c r="D11" s="25">
        <v>24</v>
      </c>
      <c r="E11" s="26">
        <v>4200</v>
      </c>
      <c r="F11" s="8"/>
      <c r="G11" s="8"/>
      <c r="H11" s="8"/>
      <c r="I11" s="8"/>
      <c r="J11" s="8"/>
      <c r="K11" s="8"/>
      <c r="L11" s="8"/>
    </row>
    <row r="12" spans="1:12">
      <c r="A12" s="8"/>
      <c r="B12" s="25">
        <v>300</v>
      </c>
      <c r="C12" s="51">
        <v>44743</v>
      </c>
      <c r="D12" s="25">
        <v>18</v>
      </c>
      <c r="E12" s="26">
        <v>2100</v>
      </c>
      <c r="F12" s="8"/>
      <c r="G12" s="8"/>
      <c r="H12" s="8"/>
      <c r="I12" s="8"/>
      <c r="J12" s="8"/>
      <c r="K12" s="8"/>
      <c r="L12" s="8"/>
    </row>
    <row r="13" spans="1:12">
      <c r="A13" s="20"/>
      <c r="B13" s="25">
        <v>400</v>
      </c>
      <c r="C13" s="51">
        <v>45170</v>
      </c>
      <c r="D13" s="25">
        <v>6</v>
      </c>
      <c r="E13" s="26">
        <v>1200</v>
      </c>
      <c r="F13" s="8"/>
      <c r="G13" s="8"/>
      <c r="H13" s="8"/>
      <c r="I13" s="8"/>
      <c r="J13" s="8"/>
      <c r="K13" s="8"/>
      <c r="L13" s="8"/>
    </row>
    <row r="14" spans="1:12">
      <c r="A14" s="20"/>
      <c r="B14" s="21" t="s">
        <v>18</v>
      </c>
      <c r="C14" s="22"/>
      <c r="D14" s="22"/>
      <c r="E14" s="23"/>
      <c r="F14" s="8"/>
      <c r="G14" s="8"/>
      <c r="H14" s="8"/>
      <c r="I14" s="8"/>
      <c r="J14" s="8"/>
      <c r="K14" s="8"/>
      <c r="L14" s="8"/>
    </row>
    <row r="15" spans="1:12">
      <c r="A15" s="20"/>
      <c r="B15" s="21" t="s">
        <v>19</v>
      </c>
      <c r="C15" s="22"/>
      <c r="D15" s="22"/>
      <c r="E15" s="23"/>
      <c r="F15" s="8"/>
      <c r="G15" s="8"/>
      <c r="H15" s="8"/>
      <c r="I15" s="8"/>
      <c r="J15" s="8"/>
      <c r="K15" s="8"/>
      <c r="L15" s="8"/>
    </row>
    <row r="16" spans="1:12">
      <c r="A16" s="20"/>
      <c r="B16" s="21" t="s">
        <v>20</v>
      </c>
      <c r="C16" s="22"/>
      <c r="D16" s="22"/>
      <c r="E16" s="23"/>
      <c r="F16" s="8"/>
      <c r="G16" s="8"/>
      <c r="H16" s="8"/>
      <c r="I16" s="8"/>
      <c r="J16" s="8"/>
      <c r="K16" s="8"/>
      <c r="L16" s="8"/>
    </row>
    <row r="17" spans="1:18">
      <c r="A17" s="20"/>
      <c r="B17" s="21" t="s">
        <v>28</v>
      </c>
      <c r="C17" s="22"/>
      <c r="D17" s="22"/>
      <c r="E17" s="23"/>
      <c r="F17" s="8"/>
      <c r="G17" s="8"/>
      <c r="H17" s="28">
        <v>0.05</v>
      </c>
      <c r="I17" s="8"/>
      <c r="J17" s="8"/>
      <c r="K17" s="8"/>
      <c r="L17" s="8"/>
    </row>
    <row r="18" spans="1:18">
      <c r="A18" s="20"/>
      <c r="B18" s="21" t="s">
        <v>29</v>
      </c>
      <c r="C18" s="22"/>
      <c r="D18" s="22"/>
      <c r="E18" s="23"/>
      <c r="F18" s="8"/>
      <c r="G18" s="8"/>
      <c r="H18" s="28">
        <v>0.08</v>
      </c>
      <c r="I18" s="8"/>
      <c r="J18" s="8"/>
      <c r="K18" s="8"/>
      <c r="L18" s="8"/>
    </row>
    <row r="19" spans="1:18">
      <c r="A19" s="20"/>
      <c r="B19" s="21" t="s">
        <v>21</v>
      </c>
      <c r="C19" s="22"/>
      <c r="D19" s="22"/>
      <c r="E19" s="23"/>
      <c r="F19" s="8"/>
      <c r="G19" s="8"/>
      <c r="H19" s="8"/>
      <c r="I19" s="8"/>
      <c r="J19" s="8"/>
      <c r="K19" s="8"/>
      <c r="L19" s="8"/>
    </row>
    <row r="20" spans="1:18">
      <c r="A20" s="4"/>
      <c r="B20" s="4"/>
      <c r="C20" s="4"/>
      <c r="D20" s="4"/>
      <c r="E20" s="4"/>
      <c r="F20" s="4"/>
      <c r="G20" s="4"/>
      <c r="H20" s="8"/>
      <c r="I20" s="8"/>
      <c r="J20" s="8"/>
      <c r="K20" s="8"/>
      <c r="L20" s="8"/>
    </row>
    <row r="21" spans="1:18">
      <c r="A21" s="6"/>
      <c r="B21" s="6"/>
      <c r="C21" s="6"/>
      <c r="D21" s="6"/>
      <c r="E21" s="6"/>
      <c r="F21" s="6"/>
      <c r="G21" s="6"/>
      <c r="H21" s="6"/>
      <c r="I21" s="6"/>
      <c r="J21" s="6"/>
      <c r="K21" s="6"/>
      <c r="L21" s="6"/>
    </row>
    <row r="22" spans="1:18">
      <c r="A22" s="5" t="s">
        <v>4</v>
      </c>
      <c r="B22" s="8" t="s">
        <v>30</v>
      </c>
      <c r="C22" s="4"/>
      <c r="D22" s="4"/>
      <c r="E22" s="4"/>
      <c r="F22" s="4"/>
      <c r="G22" s="4"/>
      <c r="H22" s="4"/>
      <c r="I22" s="4"/>
      <c r="J22" s="4"/>
      <c r="K22" s="4"/>
      <c r="L22" s="4"/>
      <c r="M22" s="7"/>
      <c r="N22" s="7"/>
      <c r="O22" s="7"/>
      <c r="P22" s="7"/>
      <c r="Q22" s="7"/>
      <c r="R22" s="7"/>
    </row>
    <row r="23" spans="1:18">
      <c r="A23" s="6"/>
      <c r="B23" s="6"/>
      <c r="C23" s="6"/>
      <c r="D23" s="6"/>
      <c r="E23" s="6"/>
      <c r="F23" s="6"/>
      <c r="G23" s="6"/>
      <c r="H23" s="6"/>
      <c r="I23" s="6"/>
      <c r="J23" s="6"/>
      <c r="K23" s="6"/>
      <c r="L23" s="6"/>
      <c r="M23" s="6"/>
    </row>
    <row r="24" spans="1:18">
      <c r="A24" s="6" t="s">
        <v>1</v>
      </c>
      <c r="B24" s="6"/>
      <c r="C24" s="6"/>
      <c r="D24" s="6"/>
      <c r="E24" s="6"/>
      <c r="F24" s="6"/>
      <c r="G24" s="6"/>
      <c r="H24" s="6"/>
      <c r="I24" s="6"/>
      <c r="J24" s="6"/>
      <c r="K24" s="6"/>
      <c r="L24" s="6"/>
      <c r="M24" s="6"/>
      <c r="N24" s="7"/>
    </row>
    <row r="25" spans="1:18" ht="46.8">
      <c r="A25" s="6"/>
      <c r="B25" s="53" t="s">
        <v>208</v>
      </c>
      <c r="C25" s="53" t="s">
        <v>222</v>
      </c>
      <c r="D25" s="54" t="s">
        <v>210</v>
      </c>
      <c r="E25" s="53" t="s">
        <v>211</v>
      </c>
      <c r="F25" s="54" t="s">
        <v>212</v>
      </c>
      <c r="G25" s="54" t="s">
        <v>221</v>
      </c>
      <c r="H25" s="6"/>
      <c r="I25" s="6"/>
      <c r="J25" s="6"/>
      <c r="K25" s="6"/>
      <c r="L25" s="6"/>
      <c r="M25" s="6"/>
      <c r="N25" s="7"/>
    </row>
    <row r="26" spans="1:18">
      <c r="A26" s="6"/>
      <c r="B26" s="55" t="s">
        <v>213</v>
      </c>
      <c r="C26" s="55" t="s">
        <v>214</v>
      </c>
      <c r="D26" s="56">
        <f>I4/12</f>
        <v>175</v>
      </c>
      <c r="E26" s="57">
        <f>C4</f>
        <v>1000</v>
      </c>
      <c r="F26" s="55">
        <v>3</v>
      </c>
      <c r="G26" s="57">
        <f>D26*E26*F26</f>
        <v>525000</v>
      </c>
      <c r="H26" s="6"/>
      <c r="I26" s="6"/>
      <c r="J26" s="6"/>
      <c r="K26" s="6"/>
      <c r="L26" s="6"/>
      <c r="M26" s="6"/>
      <c r="N26" s="7"/>
    </row>
    <row r="27" spans="1:18">
      <c r="B27" s="55" t="s">
        <v>213</v>
      </c>
      <c r="C27" s="55" t="s">
        <v>215</v>
      </c>
      <c r="D27" s="56">
        <f>D26*(1+H17)</f>
        <v>183.75</v>
      </c>
      <c r="E27" s="57">
        <f>E26*C6</f>
        <v>800</v>
      </c>
      <c r="F27" s="55">
        <v>9</v>
      </c>
      <c r="G27" s="57">
        <f>D27*E27*F27</f>
        <v>1323000</v>
      </c>
      <c r="M27" s="7"/>
      <c r="N27" s="7"/>
    </row>
    <row r="28" spans="1:18">
      <c r="B28" s="58">
        <v>100</v>
      </c>
      <c r="C28" s="59" t="s">
        <v>216</v>
      </c>
      <c r="D28" s="56">
        <f>E10/D10</f>
        <v>250</v>
      </c>
      <c r="E28" s="57">
        <v>1</v>
      </c>
      <c r="F28" s="55">
        <v>10</v>
      </c>
      <c r="G28" s="57">
        <f t="shared" ref="G28:G31" si="0">D28*E28*F28</f>
        <v>2500</v>
      </c>
      <c r="M28" s="7"/>
      <c r="N28" s="7"/>
    </row>
    <row r="29" spans="1:18">
      <c r="B29" s="58">
        <v>200</v>
      </c>
      <c r="C29" s="59" t="s">
        <v>217</v>
      </c>
      <c r="D29" s="56">
        <f t="shared" ref="D29:D31" si="1">E11/D11</f>
        <v>175</v>
      </c>
      <c r="E29" s="55">
        <v>1</v>
      </c>
      <c r="F29" s="55">
        <v>8</v>
      </c>
      <c r="G29" s="57">
        <f t="shared" si="0"/>
        <v>1400</v>
      </c>
      <c r="M29" s="7"/>
      <c r="N29" s="7"/>
    </row>
    <row r="30" spans="1:18">
      <c r="B30" s="58">
        <v>300</v>
      </c>
      <c r="C30" s="55" t="s">
        <v>218</v>
      </c>
      <c r="D30" s="56">
        <f t="shared" si="1"/>
        <v>116.66666666666667</v>
      </c>
      <c r="E30" s="55">
        <v>1</v>
      </c>
      <c r="F30" s="55">
        <v>6</v>
      </c>
      <c r="G30" s="57">
        <f t="shared" si="0"/>
        <v>700</v>
      </c>
      <c r="M30" s="7"/>
      <c r="N30" s="7"/>
    </row>
    <row r="31" spans="1:18">
      <c r="B31" s="60">
        <v>400</v>
      </c>
      <c r="C31" s="53" t="s">
        <v>219</v>
      </c>
      <c r="D31" s="61">
        <f t="shared" si="1"/>
        <v>200</v>
      </c>
      <c r="E31" s="53">
        <v>1</v>
      </c>
      <c r="F31" s="53">
        <v>0</v>
      </c>
      <c r="G31" s="62">
        <f t="shared" si="0"/>
        <v>0</v>
      </c>
      <c r="M31" s="7"/>
      <c r="N31" s="7"/>
    </row>
    <row r="32" spans="1:18">
      <c r="B32" s="55" t="s">
        <v>220</v>
      </c>
      <c r="G32" s="57">
        <f>SUM(G26:G31)</f>
        <v>1852600</v>
      </c>
      <c r="M32" s="7"/>
      <c r="N32" s="7"/>
    </row>
    <row r="34" spans="1:13">
      <c r="A34" s="5" t="s">
        <v>5</v>
      </c>
      <c r="B34" s="8" t="s">
        <v>31</v>
      </c>
      <c r="C34" s="4"/>
      <c r="D34" s="4"/>
      <c r="E34" s="4"/>
      <c r="F34" s="4"/>
      <c r="G34" s="4"/>
      <c r="H34" s="4"/>
      <c r="I34" s="4"/>
      <c r="J34" s="4"/>
      <c r="K34" s="4"/>
      <c r="L34" s="4"/>
    </row>
    <row r="35" spans="1:13">
      <c r="A35" s="6"/>
      <c r="B35" s="6"/>
      <c r="C35" s="6"/>
      <c r="D35" s="6"/>
      <c r="E35" s="6"/>
      <c r="F35" s="6"/>
      <c r="G35" s="6"/>
      <c r="H35" s="6"/>
      <c r="I35" s="6"/>
      <c r="J35" s="6"/>
      <c r="K35" s="6"/>
      <c r="L35" s="6"/>
    </row>
    <row r="36" spans="1:13">
      <c r="A36" s="6" t="s">
        <v>1</v>
      </c>
      <c r="B36" s="6"/>
      <c r="C36" s="6"/>
      <c r="D36" s="6"/>
      <c r="E36" s="6"/>
      <c r="F36" s="6"/>
      <c r="G36" s="6"/>
      <c r="H36" s="6"/>
      <c r="I36" s="6"/>
      <c r="J36" s="6"/>
      <c r="K36" s="6"/>
      <c r="L36" s="6"/>
    </row>
    <row r="37" spans="1:13" ht="46.8">
      <c r="A37" s="6"/>
      <c r="B37" s="53" t="s">
        <v>208</v>
      </c>
      <c r="C37" s="54" t="s">
        <v>210</v>
      </c>
      <c r="D37" s="53" t="s">
        <v>211</v>
      </c>
      <c r="E37" s="54" t="s">
        <v>224</v>
      </c>
      <c r="F37" s="54" t="s">
        <v>223</v>
      </c>
      <c r="G37" s="6"/>
      <c r="H37" s="6"/>
      <c r="I37" s="6"/>
      <c r="J37" s="6"/>
      <c r="K37" s="6"/>
      <c r="L37" s="6"/>
    </row>
    <row r="38" spans="1:13">
      <c r="A38" s="6"/>
      <c r="B38" s="55" t="s">
        <v>213</v>
      </c>
      <c r="C38" s="56">
        <f>D27*(1+H18)</f>
        <v>198.45000000000002</v>
      </c>
      <c r="D38" s="57">
        <f>C4*C6*C7</f>
        <v>560</v>
      </c>
      <c r="E38" s="55">
        <v>3</v>
      </c>
      <c r="F38" s="57">
        <f>C38*D38*E38</f>
        <v>333396.00000000006</v>
      </c>
      <c r="G38" s="6"/>
      <c r="H38" s="6"/>
      <c r="I38" s="6"/>
      <c r="J38" s="6"/>
      <c r="K38" s="6"/>
      <c r="L38" s="6"/>
    </row>
    <row r="39" spans="1:13">
      <c r="B39" s="58">
        <v>100</v>
      </c>
      <c r="C39" s="56">
        <f>D28*(1+H17)</f>
        <v>262.5</v>
      </c>
      <c r="D39" s="57">
        <v>1</v>
      </c>
      <c r="E39" s="55">
        <v>2</v>
      </c>
      <c r="F39" s="57">
        <f t="shared" ref="F39:F42" si="2">C39*D39*E39</f>
        <v>525</v>
      </c>
      <c r="M39" s="6"/>
    </row>
    <row r="40" spans="1:13">
      <c r="B40" s="58">
        <v>200</v>
      </c>
      <c r="C40" s="56">
        <f t="shared" ref="C40:C42" si="3">D29</f>
        <v>175</v>
      </c>
      <c r="D40" s="55">
        <v>1</v>
      </c>
      <c r="E40" s="55">
        <v>4</v>
      </c>
      <c r="F40" s="57">
        <f t="shared" si="2"/>
        <v>700</v>
      </c>
      <c r="M40" s="6"/>
    </row>
    <row r="41" spans="1:13">
      <c r="B41" s="58">
        <v>300</v>
      </c>
      <c r="C41" s="56">
        <f t="shared" si="3"/>
        <v>116.66666666666667</v>
      </c>
      <c r="D41" s="55">
        <v>1</v>
      </c>
      <c r="E41" s="55">
        <v>0</v>
      </c>
      <c r="F41" s="57">
        <f t="shared" si="2"/>
        <v>0</v>
      </c>
      <c r="M41" s="6"/>
    </row>
    <row r="42" spans="1:13">
      <c r="B42" s="60">
        <v>400</v>
      </c>
      <c r="C42" s="61">
        <f t="shared" si="3"/>
        <v>200</v>
      </c>
      <c r="D42" s="53">
        <v>1</v>
      </c>
      <c r="E42" s="53">
        <v>2</v>
      </c>
      <c r="F42" s="62">
        <f t="shared" si="2"/>
        <v>400</v>
      </c>
    </row>
    <row r="43" spans="1:13">
      <c r="B43" s="55" t="s">
        <v>220</v>
      </c>
      <c r="F43" s="57">
        <f>SUM(F38:F42)</f>
        <v>335021.00000000006</v>
      </c>
    </row>
    <row r="45" spans="1:13">
      <c r="A45" s="8" t="s">
        <v>32</v>
      </c>
      <c r="B45" s="3"/>
      <c r="C45" s="3"/>
      <c r="D45" s="3"/>
      <c r="E45" s="3"/>
      <c r="F45" s="3"/>
      <c r="G45" s="4"/>
      <c r="H45" s="4"/>
      <c r="I45" s="4"/>
      <c r="J45" s="4"/>
      <c r="K45" s="4"/>
      <c r="L45" s="4"/>
    </row>
    <row r="47" spans="1:13">
      <c r="A47" s="5" t="s">
        <v>0</v>
      </c>
      <c r="B47" s="8" t="s">
        <v>33</v>
      </c>
      <c r="C47" s="4"/>
      <c r="D47" s="4"/>
      <c r="E47" s="4"/>
      <c r="F47" s="4"/>
      <c r="G47" s="4"/>
      <c r="H47" s="4"/>
      <c r="I47" s="4"/>
      <c r="J47" s="4"/>
      <c r="K47" s="4"/>
      <c r="L47" s="4"/>
    </row>
    <row r="48" spans="1:13">
      <c r="A48" s="6"/>
      <c r="B48" s="6"/>
      <c r="C48" s="6"/>
      <c r="D48" s="6"/>
      <c r="E48" s="6"/>
      <c r="F48" s="6"/>
      <c r="G48" s="6"/>
      <c r="H48" s="6"/>
      <c r="I48" s="6"/>
      <c r="J48" s="6"/>
      <c r="K48" s="6"/>
      <c r="L48" s="6"/>
    </row>
    <row r="49" spans="1:14">
      <c r="A49" s="6" t="s">
        <v>1</v>
      </c>
      <c r="B49" s="6"/>
      <c r="C49" s="6"/>
      <c r="D49" s="6"/>
      <c r="E49" s="6"/>
      <c r="F49" s="6"/>
      <c r="G49" s="6"/>
      <c r="H49" s="6"/>
      <c r="I49" s="6"/>
      <c r="J49" s="6"/>
      <c r="K49" s="6"/>
      <c r="L49" s="6"/>
    </row>
    <row r="50" spans="1:14" ht="46.8">
      <c r="A50" s="6"/>
      <c r="B50" s="53" t="s">
        <v>208</v>
      </c>
      <c r="C50" s="53" t="s">
        <v>209</v>
      </c>
      <c r="D50" s="54" t="s">
        <v>225</v>
      </c>
      <c r="E50" s="54" t="s">
        <v>226</v>
      </c>
      <c r="F50" s="54" t="s">
        <v>227</v>
      </c>
      <c r="G50" s="53" t="s">
        <v>211</v>
      </c>
      <c r="H50" s="54" t="s">
        <v>212</v>
      </c>
      <c r="I50" s="54" t="s">
        <v>228</v>
      </c>
      <c r="J50" s="6"/>
      <c r="K50" s="6"/>
      <c r="L50" s="6"/>
    </row>
    <row r="51" spans="1:14">
      <c r="A51" s="6"/>
      <c r="B51" s="55" t="s">
        <v>213</v>
      </c>
      <c r="C51" s="55" t="s">
        <v>214</v>
      </c>
      <c r="D51" s="56">
        <f>D26</f>
        <v>175</v>
      </c>
      <c r="E51" s="63">
        <f>(1+H17)*(1+H18)-1</f>
        <v>0.13400000000000012</v>
      </c>
      <c r="F51" s="56">
        <f>D51*(1+E51)</f>
        <v>198.45000000000002</v>
      </c>
      <c r="G51" s="57">
        <f>E26</f>
        <v>1000</v>
      </c>
      <c r="H51" s="55">
        <f>F26</f>
        <v>3</v>
      </c>
      <c r="I51" s="57">
        <f>F51*G51*H51</f>
        <v>595350.00000000012</v>
      </c>
      <c r="J51" s="6"/>
      <c r="K51" s="6"/>
      <c r="L51" s="6"/>
    </row>
    <row r="52" spans="1:14">
      <c r="B52" s="55" t="s">
        <v>213</v>
      </c>
      <c r="C52" s="55" t="s">
        <v>215</v>
      </c>
      <c r="D52" s="56">
        <f t="shared" ref="D52:D55" si="4">D27</f>
        <v>183.75</v>
      </c>
      <c r="E52" s="63">
        <f>H18</f>
        <v>0.08</v>
      </c>
      <c r="F52" s="56">
        <f t="shared" ref="F52:F55" si="5">D52*(1+E52)</f>
        <v>198.45000000000002</v>
      </c>
      <c r="G52" s="57">
        <f t="shared" ref="G52:G56" si="6">E27</f>
        <v>800</v>
      </c>
      <c r="H52" s="55">
        <f t="shared" ref="H52:H56" si="7">F27</f>
        <v>9</v>
      </c>
      <c r="I52" s="57">
        <f>F52*G52*H52</f>
        <v>1428840</v>
      </c>
    </row>
    <row r="53" spans="1:14">
      <c r="B53" s="58">
        <v>100</v>
      </c>
      <c r="C53" s="59" t="s">
        <v>216</v>
      </c>
      <c r="D53" s="56">
        <f t="shared" si="4"/>
        <v>250</v>
      </c>
      <c r="E53" s="63">
        <f>E51</f>
        <v>0.13400000000000012</v>
      </c>
      <c r="F53" s="56">
        <f t="shared" si="5"/>
        <v>283.50000000000006</v>
      </c>
      <c r="G53" s="57">
        <f t="shared" si="6"/>
        <v>1</v>
      </c>
      <c r="H53" s="55">
        <f t="shared" si="7"/>
        <v>10</v>
      </c>
      <c r="I53" s="57">
        <f t="shared" ref="I53:I56" si="8">F53*G53*H53</f>
        <v>2835.0000000000005</v>
      </c>
    </row>
    <row r="54" spans="1:14">
      <c r="B54" s="58">
        <v>200</v>
      </c>
      <c r="C54" s="59" t="s">
        <v>217</v>
      </c>
      <c r="D54" s="56">
        <f t="shared" si="4"/>
        <v>175</v>
      </c>
      <c r="E54" s="63">
        <f>E52</f>
        <v>0.08</v>
      </c>
      <c r="F54" s="56">
        <f t="shared" si="5"/>
        <v>189</v>
      </c>
      <c r="G54" s="55">
        <f t="shared" si="6"/>
        <v>1</v>
      </c>
      <c r="H54" s="55">
        <f t="shared" si="7"/>
        <v>8</v>
      </c>
      <c r="I54" s="57">
        <f t="shared" si="8"/>
        <v>1512</v>
      </c>
      <c r="M54" s="6"/>
      <c r="N54" s="6"/>
    </row>
    <row r="55" spans="1:14">
      <c r="B55" s="58">
        <v>300</v>
      </c>
      <c r="C55" s="55" t="s">
        <v>218</v>
      </c>
      <c r="D55" s="56">
        <f t="shared" si="4"/>
        <v>116.66666666666667</v>
      </c>
      <c r="E55" s="63">
        <f>E54</f>
        <v>0.08</v>
      </c>
      <c r="F55" s="56">
        <f t="shared" si="5"/>
        <v>126.00000000000001</v>
      </c>
      <c r="G55" s="55">
        <f t="shared" si="6"/>
        <v>1</v>
      </c>
      <c r="H55" s="55">
        <f t="shared" si="7"/>
        <v>6</v>
      </c>
      <c r="I55" s="57">
        <f t="shared" si="8"/>
        <v>756.00000000000011</v>
      </c>
      <c r="M55" s="6"/>
      <c r="N55" s="6"/>
    </row>
    <row r="56" spans="1:14">
      <c r="B56" s="60">
        <v>400</v>
      </c>
      <c r="C56" s="53" t="s">
        <v>219</v>
      </c>
      <c r="D56" s="61"/>
      <c r="E56" s="64"/>
      <c r="F56" s="61"/>
      <c r="G56" s="53">
        <f t="shared" si="6"/>
        <v>1</v>
      </c>
      <c r="H56" s="53">
        <f t="shared" si="7"/>
        <v>0</v>
      </c>
      <c r="I56" s="62">
        <f t="shared" si="8"/>
        <v>0</v>
      </c>
      <c r="M56" s="6"/>
      <c r="N56" s="6"/>
    </row>
    <row r="57" spans="1:14">
      <c r="B57" s="55" t="s">
        <v>220</v>
      </c>
      <c r="E57"/>
      <c r="I57" s="57">
        <f>SUM(I51:I56)</f>
        <v>2029293</v>
      </c>
    </row>
    <row r="59" spans="1:14">
      <c r="A59" s="5" t="s">
        <v>2</v>
      </c>
      <c r="B59" s="8" t="s">
        <v>34</v>
      </c>
      <c r="C59" s="4"/>
      <c r="D59" s="4"/>
      <c r="E59" s="4"/>
      <c r="F59" s="4"/>
      <c r="G59" s="4"/>
      <c r="H59" s="4"/>
      <c r="I59" s="4"/>
      <c r="J59" s="4"/>
      <c r="K59" s="4"/>
      <c r="L59" s="4"/>
    </row>
    <row r="60" spans="1:14">
      <c r="A60" s="6"/>
      <c r="B60" s="6"/>
      <c r="C60" s="6"/>
      <c r="D60" s="6"/>
      <c r="E60" s="6"/>
      <c r="F60" s="6"/>
      <c r="G60" s="6"/>
      <c r="H60" s="6"/>
      <c r="I60" s="6"/>
      <c r="J60" s="6"/>
      <c r="K60" s="6"/>
      <c r="L60" s="6"/>
    </row>
    <row r="61" spans="1:14">
      <c r="A61" s="6" t="s">
        <v>1</v>
      </c>
      <c r="B61" s="6"/>
      <c r="C61" s="6"/>
      <c r="D61" s="6"/>
      <c r="E61" s="6"/>
      <c r="F61" s="6"/>
      <c r="G61" s="6"/>
      <c r="H61" s="6"/>
      <c r="I61" s="6"/>
      <c r="J61" s="6"/>
      <c r="K61" s="6"/>
      <c r="L61" s="6"/>
    </row>
    <row r="62" spans="1:14">
      <c r="A62" s="6"/>
      <c r="B62" s="6"/>
      <c r="C62" s="6"/>
      <c r="D62" s="6"/>
      <c r="E62" s="6"/>
      <c r="F62" s="6"/>
      <c r="G62" s="6"/>
      <c r="H62" s="6"/>
      <c r="I62" s="6"/>
      <c r="J62" s="6"/>
      <c r="K62" s="6"/>
      <c r="L62" s="6"/>
    </row>
    <row r="63" spans="1:14">
      <c r="A63" s="6"/>
      <c r="B63" s="6" t="s">
        <v>229</v>
      </c>
      <c r="C63" s="6"/>
      <c r="D63" s="6"/>
      <c r="E63" s="6"/>
      <c r="F63" s="6"/>
      <c r="G63" s="6"/>
      <c r="H63" s="6"/>
      <c r="I63" s="6"/>
      <c r="J63" s="6"/>
      <c r="K63" s="6"/>
      <c r="L63" s="6"/>
    </row>
    <row r="66" spans="13:13">
      <c r="M66" s="6"/>
    </row>
    <row r="67" spans="13:13">
      <c r="M67" s="6"/>
    </row>
  </sheetData>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0469D-E9B3-4CFC-B431-8D4FA08DD2B4}">
  <dimension ref="A1:R164"/>
  <sheetViews>
    <sheetView zoomScaleNormal="100" workbookViewId="0"/>
  </sheetViews>
  <sheetFormatPr defaultRowHeight="15.6"/>
  <cols>
    <col min="1" max="1" width="14.21875" style="1" customWidth="1"/>
    <col min="2" max="7" width="11.77734375" style="1" customWidth="1"/>
    <col min="8" max="8" width="18.21875" style="1" customWidth="1"/>
    <col min="9" max="9" width="11.77734375" style="1" customWidth="1"/>
    <col min="10" max="16384" width="8.88671875" style="1"/>
  </cols>
  <sheetData>
    <row r="1" spans="1:12" ht="17.399999999999999">
      <c r="A1" s="2" t="s">
        <v>154</v>
      </c>
      <c r="B1" s="4"/>
      <c r="C1" s="8" t="s">
        <v>155</v>
      </c>
      <c r="D1" s="4"/>
      <c r="E1" s="4"/>
      <c r="F1" s="4"/>
      <c r="G1" s="4"/>
      <c r="H1" s="4"/>
      <c r="I1" s="4"/>
      <c r="J1" s="4"/>
      <c r="K1" s="4"/>
      <c r="L1" s="3"/>
    </row>
    <row r="2" spans="1:12">
      <c r="A2" s="4"/>
      <c r="B2" s="4"/>
      <c r="C2" s="4"/>
      <c r="D2" s="4"/>
      <c r="E2" s="4"/>
      <c r="F2" s="4"/>
      <c r="G2" s="4"/>
      <c r="H2" s="4"/>
      <c r="I2" s="4"/>
      <c r="J2" s="4"/>
      <c r="K2" s="4"/>
      <c r="L2" s="3"/>
    </row>
    <row r="3" spans="1:12">
      <c r="A3" s="118" t="s">
        <v>156</v>
      </c>
      <c r="B3" s="118"/>
      <c r="C3" s="118"/>
      <c r="D3" s="118"/>
      <c r="E3" s="118"/>
      <c r="F3" s="118"/>
      <c r="G3" s="118"/>
      <c r="H3" s="118"/>
      <c r="I3" s="118"/>
      <c r="J3" s="118"/>
      <c r="K3" s="118"/>
      <c r="L3" s="118"/>
    </row>
    <row r="4" spans="1:12">
      <c r="A4" s="118"/>
      <c r="B4" s="118"/>
      <c r="C4" s="118"/>
      <c r="D4" s="118"/>
      <c r="E4" s="118"/>
      <c r="F4" s="118"/>
      <c r="G4" s="118"/>
      <c r="H4" s="118"/>
      <c r="I4" s="118"/>
      <c r="J4" s="118"/>
      <c r="K4" s="118"/>
      <c r="L4" s="118"/>
    </row>
    <row r="5" spans="1:12">
      <c r="A5" s="20"/>
      <c r="B5" s="8"/>
      <c r="C5" s="8"/>
      <c r="D5" s="8"/>
      <c r="E5" s="8"/>
      <c r="F5" s="8"/>
      <c r="G5" s="8"/>
      <c r="H5" s="8"/>
      <c r="I5" s="8"/>
      <c r="J5" s="8"/>
      <c r="K5" s="8"/>
      <c r="L5" s="8"/>
    </row>
    <row r="6" spans="1:12">
      <c r="A6" s="20"/>
      <c r="B6" s="113" t="s">
        <v>72</v>
      </c>
      <c r="C6" s="114" t="s">
        <v>38</v>
      </c>
      <c r="D6" s="114"/>
      <c r="E6" s="114"/>
      <c r="F6" s="114"/>
      <c r="G6" s="114"/>
      <c r="H6" s="114"/>
      <c r="I6" s="113" t="s">
        <v>91</v>
      </c>
      <c r="J6" s="8"/>
      <c r="K6" s="8"/>
      <c r="L6" s="8"/>
    </row>
    <row r="7" spans="1:12">
      <c r="A7" s="20"/>
      <c r="B7" s="113"/>
      <c r="C7" s="30">
        <v>12</v>
      </c>
      <c r="D7" s="30">
        <v>24</v>
      </c>
      <c r="E7" s="30">
        <v>36</v>
      </c>
      <c r="F7" s="30">
        <v>48</v>
      </c>
      <c r="G7" s="30">
        <v>60</v>
      </c>
      <c r="H7" s="30">
        <v>72</v>
      </c>
      <c r="I7" s="113"/>
      <c r="J7" s="8"/>
      <c r="K7" s="8"/>
      <c r="L7" s="8"/>
    </row>
    <row r="8" spans="1:12">
      <c r="A8" s="20"/>
      <c r="B8" s="25">
        <v>2018</v>
      </c>
      <c r="C8" s="26">
        <v>2547815</v>
      </c>
      <c r="D8" s="26">
        <v>3882690</v>
      </c>
      <c r="E8" s="26">
        <v>4892823</v>
      </c>
      <c r="F8" s="26">
        <v>5569866</v>
      </c>
      <c r="G8" s="26">
        <v>5949436</v>
      </c>
      <c r="H8" s="26">
        <v>6457536</v>
      </c>
      <c r="I8" s="26">
        <v>7009030</v>
      </c>
      <c r="J8" s="8"/>
      <c r="K8" s="8"/>
      <c r="L8" s="8"/>
    </row>
    <row r="9" spans="1:12">
      <c r="A9" s="20"/>
      <c r="B9" s="25">
        <v>2019</v>
      </c>
      <c r="C9" s="26">
        <v>2838865</v>
      </c>
      <c r="D9" s="26">
        <v>4127622</v>
      </c>
      <c r="E9" s="26">
        <v>5006184</v>
      </c>
      <c r="F9" s="26">
        <v>5807333</v>
      </c>
      <c r="G9" s="26">
        <v>6766801</v>
      </c>
      <c r="H9" s="25"/>
      <c r="I9" s="26">
        <v>7971966</v>
      </c>
      <c r="J9" s="8"/>
      <c r="K9" s="8"/>
      <c r="L9" s="8"/>
    </row>
    <row r="10" spans="1:12">
      <c r="A10" s="4"/>
      <c r="B10" s="25">
        <v>2020</v>
      </c>
      <c r="C10" s="26">
        <v>2937668</v>
      </c>
      <c r="D10" s="26">
        <v>4227315</v>
      </c>
      <c r="E10" s="26">
        <v>5435742</v>
      </c>
      <c r="F10" s="26">
        <v>6403965</v>
      </c>
      <c r="G10" s="25"/>
      <c r="H10" s="25"/>
      <c r="I10" s="26">
        <v>8424818</v>
      </c>
      <c r="J10" s="8"/>
      <c r="K10" s="8"/>
      <c r="L10" s="8"/>
    </row>
    <row r="11" spans="1:12">
      <c r="A11" s="4"/>
      <c r="B11" s="25">
        <v>2021</v>
      </c>
      <c r="C11" s="26">
        <v>3135121</v>
      </c>
      <c r="D11" s="26">
        <v>4466810</v>
      </c>
      <c r="E11" s="26">
        <v>5821531</v>
      </c>
      <c r="F11" s="25"/>
      <c r="G11" s="25"/>
      <c r="H11" s="25"/>
      <c r="I11" s="26">
        <v>8875100</v>
      </c>
      <c r="J11" s="8"/>
      <c r="K11" s="8"/>
      <c r="L11" s="8"/>
    </row>
    <row r="12" spans="1:12">
      <c r="A12" s="4"/>
      <c r="B12" s="25">
        <v>2022</v>
      </c>
      <c r="C12" s="26">
        <v>3231963</v>
      </c>
      <c r="D12" s="26">
        <v>4537564</v>
      </c>
      <c r="E12" s="25"/>
      <c r="F12" s="25"/>
      <c r="G12" s="25"/>
      <c r="H12" s="25"/>
      <c r="I12" s="26">
        <v>8754568</v>
      </c>
      <c r="J12" s="8"/>
      <c r="K12" s="8"/>
      <c r="L12" s="8"/>
    </row>
    <row r="13" spans="1:12">
      <c r="A13" s="4"/>
      <c r="B13" s="25">
        <v>2023</v>
      </c>
      <c r="C13" s="26">
        <v>3311902</v>
      </c>
      <c r="D13" s="25"/>
      <c r="E13" s="25"/>
      <c r="F13" s="25"/>
      <c r="G13" s="25"/>
      <c r="H13" s="25"/>
      <c r="I13" s="26">
        <v>9259675</v>
      </c>
      <c r="J13" s="8"/>
      <c r="K13" s="8"/>
      <c r="L13" s="8"/>
    </row>
    <row r="14" spans="1:12">
      <c r="A14" s="4"/>
      <c r="B14" s="8"/>
      <c r="C14" s="8"/>
      <c r="D14" s="8"/>
      <c r="E14" s="8"/>
      <c r="F14" s="8"/>
      <c r="G14" s="8"/>
      <c r="H14" s="8"/>
      <c r="I14" s="8"/>
      <c r="J14" s="8"/>
      <c r="K14" s="8"/>
      <c r="L14" s="8"/>
    </row>
    <row r="15" spans="1:12" ht="15.6" customHeight="1">
      <c r="A15" s="4"/>
      <c r="B15" s="113" t="s">
        <v>72</v>
      </c>
      <c r="C15" s="114" t="s">
        <v>114</v>
      </c>
      <c r="D15" s="114"/>
      <c r="E15" s="114"/>
      <c r="F15" s="114"/>
      <c r="G15" s="114"/>
      <c r="H15" s="114"/>
      <c r="I15" s="113" t="s">
        <v>91</v>
      </c>
      <c r="J15" s="8"/>
      <c r="K15" s="8"/>
      <c r="L15" s="8"/>
    </row>
    <row r="16" spans="1:12">
      <c r="A16" s="4"/>
      <c r="B16" s="113"/>
      <c r="C16" s="30">
        <v>12</v>
      </c>
      <c r="D16" s="30">
        <v>24</v>
      </c>
      <c r="E16" s="30">
        <v>36</v>
      </c>
      <c r="F16" s="30">
        <v>48</v>
      </c>
      <c r="G16" s="30">
        <v>60</v>
      </c>
      <c r="H16" s="30">
        <v>72</v>
      </c>
      <c r="I16" s="113"/>
      <c r="J16" s="8"/>
      <c r="K16" s="8"/>
      <c r="L16" s="8"/>
    </row>
    <row r="17" spans="1:12">
      <c r="A17" s="4"/>
      <c r="B17" s="25">
        <v>2018</v>
      </c>
      <c r="C17" s="26">
        <v>1473977</v>
      </c>
      <c r="D17" s="26">
        <v>2934650</v>
      </c>
      <c r="E17" s="26">
        <v>4236143</v>
      </c>
      <c r="F17" s="26">
        <v>5227761</v>
      </c>
      <c r="G17" s="26">
        <v>5923948</v>
      </c>
      <c r="H17" s="26">
        <v>6457536</v>
      </c>
      <c r="I17" s="26">
        <v>7039187</v>
      </c>
      <c r="J17" s="8"/>
      <c r="K17" s="8"/>
      <c r="L17" s="8"/>
    </row>
    <row r="18" spans="1:12">
      <c r="A18" s="4"/>
      <c r="B18" s="25">
        <v>2019</v>
      </c>
      <c r="C18" s="26">
        <v>1706744</v>
      </c>
      <c r="D18" s="26">
        <v>3161169</v>
      </c>
      <c r="E18" s="26">
        <v>4325672</v>
      </c>
      <c r="F18" s="26">
        <v>5447559</v>
      </c>
      <c r="G18" s="26">
        <v>6761362</v>
      </c>
      <c r="H18" s="25"/>
      <c r="I18" s="26">
        <v>8034251</v>
      </c>
      <c r="J18" s="8"/>
      <c r="K18" s="8"/>
      <c r="L18" s="8"/>
    </row>
    <row r="19" spans="1:12">
      <c r="A19" s="4"/>
      <c r="B19" s="25">
        <v>2020</v>
      </c>
      <c r="C19" s="26">
        <v>1733016</v>
      </c>
      <c r="D19" s="26">
        <v>3228227</v>
      </c>
      <c r="E19" s="26">
        <v>4689331</v>
      </c>
      <c r="F19" s="26">
        <v>6256636</v>
      </c>
      <c r="G19" s="25"/>
      <c r="H19" s="25"/>
      <c r="I19" s="26">
        <v>8826037</v>
      </c>
      <c r="J19" s="8"/>
      <c r="K19" s="8"/>
      <c r="L19" s="8"/>
    </row>
    <row r="20" spans="1:12">
      <c r="A20" s="4"/>
      <c r="B20" s="25">
        <v>2021</v>
      </c>
      <c r="C20" s="26">
        <v>1851625</v>
      </c>
      <c r="D20" s="26">
        <v>3385403</v>
      </c>
      <c r="E20" s="26">
        <v>5483690</v>
      </c>
      <c r="F20" s="25"/>
      <c r="G20" s="25"/>
      <c r="H20" s="25"/>
      <c r="I20" s="26">
        <v>9869855</v>
      </c>
      <c r="J20" s="8"/>
      <c r="K20" s="8"/>
      <c r="L20" s="8"/>
    </row>
    <row r="21" spans="1:12">
      <c r="A21" s="4"/>
      <c r="B21" s="25">
        <v>2022</v>
      </c>
      <c r="C21" s="26">
        <v>1838698</v>
      </c>
      <c r="D21" s="26">
        <v>3759628</v>
      </c>
      <c r="E21" s="25"/>
      <c r="F21" s="25"/>
      <c r="G21" s="25"/>
      <c r="H21" s="25"/>
      <c r="I21" s="26">
        <v>9954417</v>
      </c>
      <c r="J21" s="8"/>
      <c r="K21" s="8"/>
      <c r="L21" s="8"/>
    </row>
    <row r="22" spans="1:12">
      <c r="A22" s="4"/>
      <c r="B22" s="25">
        <v>2023</v>
      </c>
      <c r="C22" s="26">
        <v>2081240</v>
      </c>
      <c r="D22" s="25"/>
      <c r="E22" s="25"/>
      <c r="F22" s="25"/>
      <c r="G22" s="25"/>
      <c r="H22" s="25"/>
      <c r="I22" s="26">
        <v>10557046</v>
      </c>
      <c r="J22" s="8"/>
      <c r="K22" s="8"/>
      <c r="L22" s="8"/>
    </row>
    <row r="23" spans="1:12">
      <c r="A23" s="4"/>
      <c r="B23" s="8"/>
      <c r="C23" s="8"/>
      <c r="D23" s="8"/>
      <c r="E23" s="8"/>
      <c r="F23" s="8"/>
      <c r="G23" s="8"/>
      <c r="H23" s="8"/>
      <c r="I23" s="8"/>
      <c r="J23" s="8"/>
      <c r="K23" s="8"/>
      <c r="L23" s="8"/>
    </row>
    <row r="24" spans="1:12">
      <c r="A24" s="4"/>
      <c r="B24" s="113" t="s">
        <v>72</v>
      </c>
      <c r="C24" s="114" t="s">
        <v>157</v>
      </c>
      <c r="D24" s="114"/>
      <c r="E24" s="114"/>
      <c r="F24" s="114"/>
      <c r="G24" s="114"/>
      <c r="H24" s="114"/>
      <c r="I24" s="113" t="s">
        <v>89</v>
      </c>
      <c r="J24" s="8"/>
      <c r="K24" s="8"/>
      <c r="L24" s="8"/>
    </row>
    <row r="25" spans="1:12">
      <c r="A25" s="4"/>
      <c r="B25" s="113"/>
      <c r="C25" s="30">
        <v>12</v>
      </c>
      <c r="D25" s="30">
        <v>24</v>
      </c>
      <c r="E25" s="30">
        <v>36</v>
      </c>
      <c r="F25" s="30">
        <v>48</v>
      </c>
      <c r="G25" s="30">
        <v>60</v>
      </c>
      <c r="H25" s="30">
        <v>72</v>
      </c>
      <c r="I25" s="113"/>
      <c r="J25" s="8"/>
      <c r="K25" s="8"/>
      <c r="L25" s="8"/>
    </row>
    <row r="26" spans="1:12">
      <c r="A26" s="4"/>
      <c r="B26" s="25">
        <v>2018</v>
      </c>
      <c r="C26" s="25">
        <v>886</v>
      </c>
      <c r="D26" s="26">
        <v>1138</v>
      </c>
      <c r="E26" s="26">
        <v>1298</v>
      </c>
      <c r="F26" s="26">
        <v>1392</v>
      </c>
      <c r="G26" s="26">
        <v>1457</v>
      </c>
      <c r="H26" s="26">
        <v>1471</v>
      </c>
      <c r="I26" s="26">
        <v>1485</v>
      </c>
      <c r="J26" s="8"/>
      <c r="K26" s="8"/>
      <c r="L26" s="8"/>
    </row>
    <row r="27" spans="1:12">
      <c r="A27" s="4"/>
      <c r="B27" s="25">
        <v>2019</v>
      </c>
      <c r="C27" s="25">
        <v>899</v>
      </c>
      <c r="D27" s="26">
        <v>1134</v>
      </c>
      <c r="E27" s="26">
        <v>1275</v>
      </c>
      <c r="F27" s="26">
        <v>1392</v>
      </c>
      <c r="G27" s="26">
        <v>1464</v>
      </c>
      <c r="H27" s="25"/>
      <c r="I27" s="26">
        <v>1492</v>
      </c>
      <c r="J27" s="8"/>
      <c r="K27" s="8"/>
      <c r="L27" s="8"/>
    </row>
    <row r="28" spans="1:12">
      <c r="A28" s="4"/>
      <c r="B28" s="25">
        <v>2020</v>
      </c>
      <c r="C28" s="25">
        <v>893</v>
      </c>
      <c r="D28" s="26">
        <v>1128</v>
      </c>
      <c r="E28" s="26">
        <v>1297</v>
      </c>
      <c r="F28" s="26">
        <v>1402</v>
      </c>
      <c r="G28" s="25"/>
      <c r="H28" s="25"/>
      <c r="I28" s="26">
        <v>1499</v>
      </c>
      <c r="J28" s="8"/>
      <c r="K28" s="8"/>
      <c r="L28" s="8"/>
    </row>
    <row r="29" spans="1:12">
      <c r="A29" s="4"/>
      <c r="B29" s="25">
        <v>2021</v>
      </c>
      <c r="C29" s="25">
        <v>909</v>
      </c>
      <c r="D29" s="26">
        <v>1117</v>
      </c>
      <c r="E29" s="26">
        <v>1299</v>
      </c>
      <c r="F29" s="25"/>
      <c r="G29" s="25"/>
      <c r="H29" s="25"/>
      <c r="I29" s="26">
        <v>1503</v>
      </c>
      <c r="J29" s="8"/>
      <c r="K29" s="8"/>
      <c r="L29" s="8"/>
    </row>
    <row r="30" spans="1:12">
      <c r="A30" s="4"/>
      <c r="B30" s="25">
        <v>2022</v>
      </c>
      <c r="C30" s="25">
        <v>908</v>
      </c>
      <c r="D30" s="26">
        <v>1113</v>
      </c>
      <c r="E30" s="25"/>
      <c r="F30" s="25"/>
      <c r="G30" s="25"/>
      <c r="H30" s="25"/>
      <c r="I30" s="26">
        <v>1474</v>
      </c>
      <c r="J30" s="8"/>
      <c r="K30" s="8"/>
      <c r="L30" s="8"/>
    </row>
    <row r="31" spans="1:12">
      <c r="A31" s="4"/>
      <c r="B31" s="25">
        <v>2023</v>
      </c>
      <c r="C31" s="25">
        <v>899</v>
      </c>
      <c r="D31" s="25"/>
      <c r="E31" s="25"/>
      <c r="F31" s="25"/>
      <c r="G31" s="25"/>
      <c r="H31" s="25"/>
      <c r="I31" s="26">
        <v>1491</v>
      </c>
      <c r="J31" s="8"/>
      <c r="K31" s="8"/>
      <c r="L31" s="8"/>
    </row>
    <row r="32" spans="1:12">
      <c r="A32" s="4"/>
      <c r="B32" s="8"/>
      <c r="C32" s="8"/>
      <c r="D32" s="8"/>
      <c r="E32" s="8"/>
      <c r="F32" s="8"/>
      <c r="G32" s="8"/>
      <c r="H32" s="8"/>
      <c r="I32" s="8"/>
      <c r="J32" s="8"/>
      <c r="K32" s="8"/>
      <c r="L32" s="8"/>
    </row>
    <row r="33" spans="1:18">
      <c r="A33" s="4"/>
      <c r="B33" s="113" t="s">
        <v>72</v>
      </c>
      <c r="C33" s="114" t="s">
        <v>158</v>
      </c>
      <c r="D33" s="114"/>
      <c r="E33" s="114"/>
      <c r="F33" s="114"/>
      <c r="G33" s="114"/>
      <c r="H33" s="114"/>
      <c r="I33" s="113" t="s">
        <v>89</v>
      </c>
      <c r="J33" s="8"/>
      <c r="K33" s="8"/>
      <c r="L33" s="8"/>
    </row>
    <row r="34" spans="1:18">
      <c r="A34" s="9"/>
      <c r="B34" s="113"/>
      <c r="C34" s="30">
        <v>12</v>
      </c>
      <c r="D34" s="30">
        <v>24</v>
      </c>
      <c r="E34" s="30">
        <v>36</v>
      </c>
      <c r="F34" s="30">
        <v>48</v>
      </c>
      <c r="G34" s="30">
        <v>60</v>
      </c>
      <c r="H34" s="30">
        <v>72</v>
      </c>
      <c r="I34" s="113"/>
      <c r="J34" s="8"/>
      <c r="K34" s="8"/>
      <c r="L34" s="8"/>
    </row>
    <row r="35" spans="1:18">
      <c r="A35" s="4"/>
      <c r="B35" s="25">
        <v>2018</v>
      </c>
      <c r="C35" s="25">
        <v>574</v>
      </c>
      <c r="D35" s="25">
        <v>862</v>
      </c>
      <c r="E35" s="26">
        <v>1070</v>
      </c>
      <c r="F35" s="26">
        <v>1210</v>
      </c>
      <c r="G35" s="26">
        <v>1319</v>
      </c>
      <c r="H35" s="26">
        <v>1471</v>
      </c>
      <c r="I35" s="26">
        <v>1641</v>
      </c>
      <c r="J35" s="8"/>
      <c r="K35" s="8"/>
      <c r="L35" s="8"/>
    </row>
    <row r="36" spans="1:18">
      <c r="A36" s="4"/>
      <c r="B36" s="25">
        <v>2019</v>
      </c>
      <c r="C36" s="25">
        <v>589</v>
      </c>
      <c r="D36" s="25">
        <v>862</v>
      </c>
      <c r="E36" s="26">
        <v>1048</v>
      </c>
      <c r="F36" s="26">
        <v>1209</v>
      </c>
      <c r="G36" s="26">
        <v>1436</v>
      </c>
      <c r="H36" s="25"/>
      <c r="I36" s="26">
        <v>1786</v>
      </c>
      <c r="J36" s="8"/>
      <c r="K36" s="8"/>
      <c r="L36" s="8"/>
    </row>
    <row r="37" spans="1:18">
      <c r="A37" s="4"/>
      <c r="B37" s="25">
        <v>2020</v>
      </c>
      <c r="C37" s="25">
        <v>581</v>
      </c>
      <c r="D37" s="25">
        <v>862</v>
      </c>
      <c r="E37" s="26">
        <v>1066</v>
      </c>
      <c r="F37" s="26">
        <v>1331</v>
      </c>
      <c r="G37" s="25"/>
      <c r="H37" s="25"/>
      <c r="I37" s="26">
        <v>1885</v>
      </c>
      <c r="J37" s="8"/>
      <c r="K37" s="8"/>
      <c r="L37" s="8"/>
    </row>
    <row r="38" spans="1:18">
      <c r="A38" s="4"/>
      <c r="B38" s="25">
        <v>2021</v>
      </c>
      <c r="C38" s="25">
        <v>593</v>
      </c>
      <c r="D38" s="25">
        <v>847</v>
      </c>
      <c r="E38" s="26">
        <v>1199</v>
      </c>
      <c r="F38" s="25"/>
      <c r="G38" s="25"/>
      <c r="H38" s="25"/>
      <c r="I38" s="26">
        <v>2000</v>
      </c>
      <c r="J38" s="8"/>
      <c r="K38" s="8"/>
      <c r="L38" s="8"/>
    </row>
    <row r="39" spans="1:18">
      <c r="A39" s="8"/>
      <c r="B39" s="25">
        <v>2022</v>
      </c>
      <c r="C39" s="25">
        <v>587</v>
      </c>
      <c r="D39" s="25">
        <v>928</v>
      </c>
      <c r="E39" s="25"/>
      <c r="F39" s="25"/>
      <c r="G39" s="25"/>
      <c r="H39" s="25"/>
      <c r="I39" s="26">
        <v>1977</v>
      </c>
      <c r="J39" s="8"/>
      <c r="K39" s="8"/>
      <c r="L39" s="8"/>
    </row>
    <row r="40" spans="1:18">
      <c r="A40" s="8"/>
      <c r="B40" s="25">
        <v>2023</v>
      </c>
      <c r="C40" s="25">
        <v>626</v>
      </c>
      <c r="D40" s="25"/>
      <c r="E40" s="25"/>
      <c r="F40" s="25"/>
      <c r="G40" s="25"/>
      <c r="H40" s="25"/>
      <c r="I40" s="26">
        <v>1990</v>
      </c>
      <c r="J40" s="8"/>
      <c r="K40" s="8"/>
      <c r="L40" s="8"/>
    </row>
    <row r="41" spans="1:18">
      <c r="A41" s="8"/>
      <c r="B41" s="8"/>
      <c r="C41" s="8"/>
      <c r="D41" s="8"/>
      <c r="E41" s="8"/>
      <c r="F41" s="8"/>
      <c r="G41" s="8"/>
      <c r="H41" s="8"/>
      <c r="I41" s="8"/>
      <c r="J41" s="8"/>
      <c r="K41" s="8"/>
      <c r="L41" s="8"/>
    </row>
    <row r="42" spans="1:18">
      <c r="A42" s="8"/>
      <c r="B42" s="21" t="s">
        <v>159</v>
      </c>
      <c r="C42" s="8"/>
      <c r="D42" s="8"/>
      <c r="E42" s="8"/>
      <c r="F42" s="8"/>
      <c r="G42" s="8"/>
      <c r="H42" s="8"/>
      <c r="I42" s="8"/>
      <c r="J42" s="8"/>
      <c r="K42" s="8"/>
      <c r="L42" s="8"/>
    </row>
    <row r="43" spans="1:18">
      <c r="A43" s="8"/>
      <c r="B43" s="21" t="s">
        <v>160</v>
      </c>
      <c r="C43" s="8"/>
      <c r="D43" s="8"/>
      <c r="E43" s="8"/>
      <c r="F43" s="8"/>
      <c r="G43" s="8"/>
      <c r="H43" s="8"/>
      <c r="I43" s="8"/>
      <c r="J43" s="8"/>
      <c r="K43" s="8"/>
      <c r="L43" s="8"/>
    </row>
    <row r="44" spans="1:18">
      <c r="A44" s="8"/>
      <c r="B44" s="21" t="s">
        <v>161</v>
      </c>
      <c r="C44" s="8"/>
      <c r="D44" s="8"/>
      <c r="E44" s="8"/>
      <c r="F44" s="8"/>
      <c r="G44" s="8"/>
      <c r="H44" s="8"/>
      <c r="I44" s="8"/>
      <c r="J44" s="8"/>
      <c r="K44" s="8"/>
      <c r="L44" s="8"/>
    </row>
    <row r="45" spans="1:18">
      <c r="A45" s="6"/>
      <c r="B45" s="6"/>
      <c r="C45" s="6"/>
      <c r="D45" s="6"/>
      <c r="E45" s="6"/>
      <c r="F45" s="6"/>
      <c r="G45" s="6"/>
      <c r="H45" s="6"/>
      <c r="I45" s="6"/>
      <c r="J45" s="6"/>
      <c r="K45" s="6"/>
      <c r="L45" s="6"/>
    </row>
    <row r="46" spans="1:18">
      <c r="A46" s="5" t="s">
        <v>4</v>
      </c>
      <c r="B46" s="8" t="s">
        <v>162</v>
      </c>
      <c r="C46" s="4"/>
      <c r="D46" s="4"/>
      <c r="E46" s="4"/>
      <c r="F46" s="4"/>
      <c r="G46" s="4"/>
      <c r="H46" s="4"/>
      <c r="I46" s="4"/>
      <c r="J46" s="4"/>
      <c r="K46" s="4"/>
      <c r="L46" s="4"/>
      <c r="M46" s="7"/>
      <c r="N46" s="7"/>
      <c r="O46" s="7"/>
      <c r="P46" s="7"/>
      <c r="Q46" s="7"/>
      <c r="R46" s="7"/>
    </row>
    <row r="47" spans="1:18">
      <c r="A47" s="6"/>
      <c r="B47" s="6"/>
      <c r="C47" s="6"/>
      <c r="D47" s="6"/>
      <c r="E47" s="6"/>
      <c r="F47" s="6"/>
      <c r="G47" s="6"/>
      <c r="H47" s="6"/>
      <c r="I47" s="6"/>
      <c r="J47" s="6"/>
      <c r="K47" s="6"/>
      <c r="L47" s="6"/>
      <c r="M47" s="6"/>
    </row>
    <row r="48" spans="1:18">
      <c r="A48" s="6" t="s">
        <v>1</v>
      </c>
      <c r="B48" s="6"/>
      <c r="C48" s="6"/>
      <c r="D48" s="6"/>
      <c r="E48" s="6"/>
      <c r="F48" s="6"/>
      <c r="G48" s="6"/>
      <c r="H48" s="6"/>
      <c r="I48" s="6"/>
      <c r="J48" s="6"/>
      <c r="K48" s="6"/>
      <c r="L48" s="6"/>
      <c r="M48" s="6"/>
      <c r="N48" s="7"/>
    </row>
    <row r="49" spans="1:14">
      <c r="A49" s="6"/>
      <c r="B49" s="6"/>
      <c r="C49" s="6"/>
      <c r="D49" s="6"/>
      <c r="E49" s="6"/>
      <c r="F49" s="6"/>
      <c r="G49" s="6"/>
      <c r="H49" s="6"/>
      <c r="I49" s="6"/>
      <c r="J49" s="6"/>
      <c r="K49" s="6"/>
      <c r="L49" s="6"/>
      <c r="M49" s="6"/>
      <c r="N49" s="7"/>
    </row>
    <row r="50" spans="1:14">
      <c r="A50" s="1" t="s">
        <v>377</v>
      </c>
      <c r="H50" s="6"/>
      <c r="I50" s="6"/>
      <c r="J50" s="6"/>
      <c r="K50" s="6"/>
      <c r="L50" s="6"/>
      <c r="M50" s="6"/>
      <c r="N50" s="7"/>
    </row>
    <row r="51" spans="1:14">
      <c r="A51" s="53" t="s">
        <v>290</v>
      </c>
      <c r="B51" s="170">
        <v>12</v>
      </c>
      <c r="C51" s="170">
        <f>B51+12</f>
        <v>24</v>
      </c>
      <c r="D51" s="170">
        <f t="shared" ref="D51:G51" si="0">C51+12</f>
        <v>36</v>
      </c>
      <c r="E51" s="170">
        <f t="shared" si="0"/>
        <v>48</v>
      </c>
      <c r="F51" s="170">
        <f t="shared" si="0"/>
        <v>60</v>
      </c>
      <c r="G51" s="170">
        <f t="shared" si="0"/>
        <v>72</v>
      </c>
      <c r="H51" s="6"/>
      <c r="I51" s="6"/>
      <c r="J51" s="6"/>
      <c r="K51" s="6"/>
      <c r="L51" s="6"/>
      <c r="M51" s="6"/>
      <c r="N51" s="7"/>
    </row>
    <row r="52" spans="1:14" ht="16.2">
      <c r="A52" s="67">
        <v>2018</v>
      </c>
      <c r="B52" s="65">
        <f>C17/C8</f>
        <v>0.57852591338068104</v>
      </c>
      <c r="C52" s="65">
        <f>D17/D8</f>
        <v>0.75582907726344362</v>
      </c>
      <c r="D52" s="65">
        <f>E17/E8</f>
        <v>0.86578709264569753</v>
      </c>
      <c r="E52" s="65">
        <f>F17/F8</f>
        <v>0.93857931232097869</v>
      </c>
      <c r="F52" s="65">
        <f>G17/G8</f>
        <v>0.99571589643119107</v>
      </c>
      <c r="G52" s="172">
        <f>H17/H8</f>
        <v>1</v>
      </c>
      <c r="H52" s="6"/>
      <c r="I52" s="6"/>
      <c r="J52" s="6"/>
      <c r="K52" s="6"/>
      <c r="L52" s="6"/>
      <c r="M52" s="6"/>
      <c r="N52" s="7"/>
    </row>
    <row r="53" spans="1:14" ht="16.2">
      <c r="A53" s="67">
        <f>A52+1</f>
        <v>2019</v>
      </c>
      <c r="B53" s="65">
        <f>C18/C9</f>
        <v>0.60120646807791145</v>
      </c>
      <c r="C53" s="65">
        <f>D18/D9</f>
        <v>0.76585719331857427</v>
      </c>
      <c r="D53" s="65">
        <f>E18/E9</f>
        <v>0.86406572351315891</v>
      </c>
      <c r="E53" s="65">
        <f>F18/F9</f>
        <v>0.93804832614213784</v>
      </c>
      <c r="F53" s="172">
        <f>G18/G9</f>
        <v>0.99919622285330989</v>
      </c>
      <c r="H53" s="6"/>
      <c r="I53" s="6"/>
      <c r="J53" s="6"/>
      <c r="K53" s="6"/>
      <c r="L53" s="6"/>
      <c r="M53" s="6"/>
      <c r="N53" s="7"/>
    </row>
    <row r="54" spans="1:14" ht="16.2">
      <c r="A54" s="67">
        <f t="shared" ref="A54:A57" si="1">A53+1</f>
        <v>2020</v>
      </c>
      <c r="B54" s="65">
        <f>C19/C10</f>
        <v>0.5899291546900467</v>
      </c>
      <c r="C54" s="65">
        <f>D19/D10</f>
        <v>0.76365896556088197</v>
      </c>
      <c r="D54" s="65">
        <f>E19/E10</f>
        <v>0.86268461601010493</v>
      </c>
      <c r="E54" s="172">
        <f>F19/F10</f>
        <v>0.97699409662607462</v>
      </c>
      <c r="H54" s="6"/>
      <c r="I54" s="6"/>
      <c r="J54" s="6"/>
      <c r="K54" s="6"/>
      <c r="L54" s="6"/>
      <c r="M54" s="6"/>
      <c r="N54" s="7"/>
    </row>
    <row r="55" spans="1:14" ht="16.2">
      <c r="A55" s="67">
        <f t="shared" si="1"/>
        <v>2021</v>
      </c>
      <c r="B55" s="65">
        <f>C20/C11</f>
        <v>0.59060718868585937</v>
      </c>
      <c r="C55" s="65">
        <f>D20/D11</f>
        <v>0.75790172404915368</v>
      </c>
      <c r="D55" s="172">
        <f>E20/E11</f>
        <v>0.94196698428643599</v>
      </c>
      <c r="H55" s="6"/>
      <c r="I55" s="6"/>
      <c r="J55" s="6"/>
      <c r="K55" s="6"/>
      <c r="L55" s="6"/>
      <c r="M55" s="6"/>
      <c r="N55" s="7"/>
    </row>
    <row r="56" spans="1:14" ht="16.2">
      <c r="A56" s="67">
        <f t="shared" si="1"/>
        <v>2022</v>
      </c>
      <c r="B56" s="65">
        <f>C21/C12</f>
        <v>0.56891059705819647</v>
      </c>
      <c r="C56" s="172">
        <f>D21/D12</f>
        <v>0.82855646774348524</v>
      </c>
      <c r="H56" s="6"/>
      <c r="I56" s="6"/>
      <c r="J56" s="6"/>
      <c r="K56" s="6"/>
      <c r="L56" s="6"/>
      <c r="M56" s="6"/>
      <c r="N56" s="7"/>
    </row>
    <row r="57" spans="1:14" ht="16.2">
      <c r="A57" s="67">
        <f t="shared" si="1"/>
        <v>2023</v>
      </c>
      <c r="B57" s="172">
        <f>C22/C13</f>
        <v>0.62841231413248344</v>
      </c>
      <c r="H57" s="6"/>
      <c r="I57" s="6"/>
      <c r="J57" s="6"/>
      <c r="K57" s="6"/>
      <c r="L57" s="6"/>
      <c r="M57" s="6"/>
      <c r="N57" s="7"/>
    </row>
    <row r="58" spans="1:14">
      <c r="A58" s="171" t="s">
        <v>375</v>
      </c>
      <c r="B58" s="65"/>
      <c r="H58" s="6"/>
      <c r="I58" s="6"/>
      <c r="J58" s="6"/>
      <c r="K58" s="6"/>
      <c r="L58" s="6"/>
      <c r="M58" s="6"/>
      <c r="N58" s="7"/>
    </row>
    <row r="59" spans="1:14">
      <c r="A59" s="171" t="s">
        <v>376</v>
      </c>
      <c r="B59" s="65"/>
      <c r="H59" s="6"/>
      <c r="I59" s="6"/>
      <c r="J59" s="6"/>
      <c r="K59" s="6"/>
      <c r="L59" s="6"/>
      <c r="M59" s="6"/>
      <c r="N59" s="7"/>
    </row>
    <row r="60" spans="1:14">
      <c r="A60" s="67"/>
      <c r="B60" s="65"/>
      <c r="H60" s="6"/>
      <c r="I60" s="6"/>
      <c r="J60" s="6"/>
      <c r="K60" s="6"/>
      <c r="L60" s="6"/>
      <c r="M60" s="6"/>
      <c r="N60" s="7"/>
    </row>
    <row r="61" spans="1:14">
      <c r="A61" s="1" t="s">
        <v>378</v>
      </c>
      <c r="H61" s="6"/>
      <c r="I61" s="6"/>
      <c r="J61" s="6"/>
      <c r="K61" s="6"/>
      <c r="L61" s="6"/>
      <c r="M61" s="6"/>
      <c r="N61" s="7"/>
    </row>
    <row r="62" spans="1:14">
      <c r="A62" s="53" t="s">
        <v>290</v>
      </c>
      <c r="B62" s="170">
        <v>12</v>
      </c>
      <c r="C62" s="170">
        <f>B62+12</f>
        <v>24</v>
      </c>
      <c r="D62" s="170">
        <f t="shared" ref="D62:G62" si="2">C62+12</f>
        <v>36</v>
      </c>
      <c r="E62" s="170">
        <f t="shared" si="2"/>
        <v>48</v>
      </c>
      <c r="F62" s="170">
        <f t="shared" si="2"/>
        <v>60</v>
      </c>
      <c r="G62" s="170">
        <f t="shared" si="2"/>
        <v>72</v>
      </c>
      <c r="H62" s="6"/>
      <c r="I62" s="6"/>
      <c r="J62" s="6"/>
      <c r="K62" s="6"/>
      <c r="L62" s="6"/>
      <c r="M62" s="6"/>
      <c r="N62" s="7"/>
    </row>
    <row r="63" spans="1:14" ht="16.2">
      <c r="A63" s="67">
        <v>2018</v>
      </c>
      <c r="B63" s="65">
        <f>C35/C26</f>
        <v>0.64785553047404065</v>
      </c>
      <c r="C63" s="65">
        <f>D35/D26</f>
        <v>0.75746924428822493</v>
      </c>
      <c r="D63" s="65">
        <f>E35/E26</f>
        <v>0.82434514637904466</v>
      </c>
      <c r="E63" s="65">
        <f>F35/F26</f>
        <v>0.86925287356321834</v>
      </c>
      <c r="F63" s="65">
        <f>G35/G26</f>
        <v>0.90528483184625941</v>
      </c>
      <c r="G63" s="172">
        <f>H35/H26</f>
        <v>1</v>
      </c>
      <c r="H63" s="6"/>
      <c r="I63" s="6"/>
      <c r="J63" s="6"/>
      <c r="K63" s="6"/>
      <c r="L63" s="6"/>
      <c r="M63" s="6"/>
      <c r="N63" s="7"/>
    </row>
    <row r="64" spans="1:14" ht="16.2">
      <c r="A64" s="67">
        <f>A63+1</f>
        <v>2019</v>
      </c>
      <c r="B64" s="65">
        <f>C36/C27</f>
        <v>0.65517241379310343</v>
      </c>
      <c r="C64" s="65">
        <f>D36/D27</f>
        <v>0.76014109347442682</v>
      </c>
      <c r="D64" s="65">
        <f>E36/E27</f>
        <v>0.82196078431372555</v>
      </c>
      <c r="E64" s="65">
        <f>F36/F27</f>
        <v>0.86853448275862066</v>
      </c>
      <c r="F64" s="172">
        <f>G36/G27</f>
        <v>0.98087431693989069</v>
      </c>
      <c r="H64" s="6"/>
      <c r="I64" s="6"/>
      <c r="J64" s="6"/>
      <c r="K64" s="6"/>
      <c r="L64" s="6"/>
      <c r="M64" s="6"/>
      <c r="N64" s="7"/>
    </row>
    <row r="65" spans="1:14" ht="16.2">
      <c r="A65" s="67">
        <f t="shared" ref="A65:A68" si="3">A64+1</f>
        <v>2020</v>
      </c>
      <c r="B65" s="65">
        <f>C37/C28</f>
        <v>0.65061590145576709</v>
      </c>
      <c r="C65" s="65">
        <f>D37/D28</f>
        <v>0.76418439716312059</v>
      </c>
      <c r="D65" s="65">
        <f>E37/E28</f>
        <v>0.82189668465690058</v>
      </c>
      <c r="E65" s="172">
        <f>F37/F28</f>
        <v>0.94935805991440803</v>
      </c>
      <c r="H65" s="6"/>
      <c r="I65" s="6"/>
      <c r="J65" s="6"/>
      <c r="K65" s="6"/>
      <c r="L65" s="6"/>
      <c r="M65" s="6"/>
      <c r="N65" s="7"/>
    </row>
    <row r="66" spans="1:14" ht="16.2">
      <c r="A66" s="67">
        <f t="shared" si="3"/>
        <v>2021</v>
      </c>
      <c r="B66" s="65">
        <f>C38/C29</f>
        <v>0.65236523652365241</v>
      </c>
      <c r="C66" s="65">
        <f>D38/D29</f>
        <v>0.75828111011638322</v>
      </c>
      <c r="D66" s="172">
        <f>E38/E29</f>
        <v>0.92301770592763666</v>
      </c>
      <c r="H66" s="6"/>
      <c r="I66" s="6"/>
      <c r="J66" s="6"/>
      <c r="K66" s="6"/>
      <c r="L66" s="6"/>
      <c r="M66" s="6"/>
      <c r="N66" s="7"/>
    </row>
    <row r="67" spans="1:14" ht="16.2">
      <c r="A67" s="67">
        <f t="shared" si="3"/>
        <v>2022</v>
      </c>
      <c r="B67" s="65">
        <f>C39/C30</f>
        <v>0.6464757709251101</v>
      </c>
      <c r="C67" s="172">
        <f>D39/D30</f>
        <v>0.83378256963162622</v>
      </c>
      <c r="H67" s="6"/>
      <c r="I67" s="6"/>
      <c r="J67" s="6"/>
      <c r="K67" s="6"/>
      <c r="L67" s="6"/>
      <c r="M67" s="6"/>
      <c r="N67" s="7"/>
    </row>
    <row r="68" spans="1:14" ht="16.2">
      <c r="A68" s="67">
        <f t="shared" si="3"/>
        <v>2023</v>
      </c>
      <c r="B68" s="172">
        <f>C40/C31</f>
        <v>0.69632925472747498</v>
      </c>
      <c r="H68" s="6"/>
      <c r="I68" s="6"/>
      <c r="J68" s="6"/>
      <c r="K68" s="6"/>
      <c r="L68" s="6"/>
      <c r="M68" s="6"/>
      <c r="N68" s="7"/>
    </row>
    <row r="69" spans="1:14">
      <c r="A69" s="171" t="s">
        <v>375</v>
      </c>
      <c r="B69" s="65"/>
      <c r="H69" s="6"/>
      <c r="I69" s="6"/>
      <c r="J69" s="6"/>
      <c r="K69" s="6"/>
      <c r="L69" s="6"/>
      <c r="M69" s="6"/>
      <c r="N69" s="7"/>
    </row>
    <row r="70" spans="1:14">
      <c r="A70" s="171" t="s">
        <v>376</v>
      </c>
      <c r="B70" s="65"/>
      <c r="H70" s="6"/>
      <c r="I70" s="6"/>
      <c r="J70" s="6"/>
      <c r="K70" s="6"/>
      <c r="L70" s="6"/>
      <c r="M70" s="6"/>
      <c r="N70" s="7"/>
    </row>
    <row r="71" spans="1:14">
      <c r="M71" s="7"/>
      <c r="N71" s="7"/>
    </row>
    <row r="72" spans="1:14">
      <c r="A72" s="32" t="s">
        <v>163</v>
      </c>
      <c r="B72" s="3"/>
      <c r="C72" s="3"/>
      <c r="D72" s="3"/>
      <c r="E72" s="3"/>
      <c r="F72" s="3"/>
      <c r="G72" s="4"/>
      <c r="H72" s="4"/>
      <c r="I72" s="4"/>
      <c r="J72" s="4"/>
      <c r="K72" s="4"/>
      <c r="L72" s="4"/>
    </row>
    <row r="74" spans="1:14">
      <c r="A74" s="5" t="s">
        <v>5</v>
      </c>
      <c r="B74" s="8" t="s">
        <v>164</v>
      </c>
      <c r="C74" s="4"/>
      <c r="D74" s="4"/>
      <c r="E74" s="4"/>
      <c r="F74" s="4"/>
      <c r="G74" s="4"/>
      <c r="H74" s="4"/>
      <c r="I74" s="4"/>
      <c r="J74" s="4"/>
      <c r="K74" s="4"/>
      <c r="L74" s="4"/>
    </row>
    <row r="75" spans="1:14">
      <c r="A75" s="6"/>
      <c r="B75" s="6"/>
      <c r="C75" s="6"/>
      <c r="D75" s="6"/>
      <c r="E75" s="6"/>
      <c r="F75" s="6"/>
      <c r="G75" s="6"/>
      <c r="H75" s="6"/>
      <c r="I75" s="6"/>
      <c r="J75" s="6"/>
      <c r="K75" s="6"/>
      <c r="L75" s="6"/>
    </row>
    <row r="76" spans="1:14">
      <c r="A76" s="6" t="s">
        <v>1</v>
      </c>
      <c r="B76" s="6"/>
      <c r="C76"/>
      <c r="D76" s="6"/>
      <c r="E76" s="6"/>
      <c r="F76" s="6"/>
      <c r="G76" s="6"/>
      <c r="H76" s="6"/>
      <c r="I76" s="6"/>
      <c r="J76" s="6"/>
      <c r="K76" s="6"/>
      <c r="L76" s="6"/>
    </row>
    <row r="77" spans="1:14">
      <c r="A77" s="6"/>
      <c r="B77" s="6"/>
      <c r="C77" s="6"/>
      <c r="D77" s="6"/>
      <c r="E77" s="6"/>
      <c r="F77" s="6"/>
      <c r="G77" s="6"/>
      <c r="H77" s="6"/>
      <c r="I77" s="6"/>
      <c r="J77" s="6"/>
      <c r="K77" s="6"/>
      <c r="L77" s="6"/>
    </row>
    <row r="78" spans="1:14" s="133" customFormat="1">
      <c r="A78" s="133" t="s">
        <v>383</v>
      </c>
      <c r="H78" s="164"/>
      <c r="I78" s="164"/>
      <c r="J78" s="164"/>
      <c r="K78" s="164"/>
      <c r="L78" s="164"/>
    </row>
    <row r="79" spans="1:14" s="133" customFormat="1">
      <c r="H79" s="164"/>
      <c r="I79" s="164"/>
      <c r="J79" s="164"/>
      <c r="K79" s="164"/>
      <c r="L79" s="164"/>
    </row>
    <row r="80" spans="1:14" s="133" customFormat="1">
      <c r="A80" s="177" t="s">
        <v>72</v>
      </c>
      <c r="B80" s="178" t="s">
        <v>379</v>
      </c>
      <c r="C80" s="178"/>
      <c r="D80" s="178"/>
      <c r="E80" s="178"/>
      <c r="F80" s="178"/>
      <c r="G80" s="178"/>
      <c r="H80" s="164"/>
      <c r="I80" s="164"/>
      <c r="J80" s="164"/>
      <c r="K80" s="164"/>
      <c r="L80" s="164"/>
    </row>
    <row r="81" spans="1:12" s="133" customFormat="1">
      <c r="A81" s="179"/>
      <c r="B81" s="180">
        <v>12</v>
      </c>
      <c r="C81" s="180">
        <f>B81+12</f>
        <v>24</v>
      </c>
      <c r="D81" s="180">
        <f t="shared" ref="D81:G81" si="4">C81+12</f>
        <v>36</v>
      </c>
      <c r="E81" s="180">
        <f t="shared" si="4"/>
        <v>48</v>
      </c>
      <c r="F81" s="180">
        <f t="shared" si="4"/>
        <v>60</v>
      </c>
      <c r="G81" s="180">
        <f t="shared" si="4"/>
        <v>72</v>
      </c>
      <c r="H81" s="164"/>
      <c r="I81" s="164"/>
      <c r="J81" s="164"/>
      <c r="K81" s="164"/>
      <c r="L81" s="164"/>
    </row>
    <row r="82" spans="1:12" s="133" customFormat="1">
      <c r="A82" s="175">
        <v>2018</v>
      </c>
      <c r="B82" s="176">
        <f>(C8-C17)/(C26-C35)</f>
        <v>3441.7884615384614</v>
      </c>
      <c r="C82" s="176">
        <f>(D8-D17)/(D26-D35)</f>
        <v>3434.927536231884</v>
      </c>
      <c r="D82" s="176">
        <f>(E8-E17)/(E26-E35)</f>
        <v>2880.1754385964914</v>
      </c>
      <c r="E82" s="176">
        <f>(F8-F17)/(F26-F35)</f>
        <v>1879.6978021978023</v>
      </c>
      <c r="F82" s="176">
        <f>(G8-G17)/(G26-G35)</f>
        <v>184.69565217391303</v>
      </c>
      <c r="G82" s="176" t="e">
        <f>(H8-H17)/(H26-H35)</f>
        <v>#DIV/0!</v>
      </c>
      <c r="H82" s="164"/>
      <c r="I82" s="164"/>
      <c r="J82" s="164"/>
      <c r="K82" s="164"/>
      <c r="L82" s="164"/>
    </row>
    <row r="83" spans="1:12" s="133" customFormat="1">
      <c r="A83" s="175">
        <f>A82+1</f>
        <v>2019</v>
      </c>
      <c r="B83" s="176">
        <f>(C9-C18)/(C27-C36)</f>
        <v>3652.0032258064516</v>
      </c>
      <c r="C83" s="176">
        <f>(D9-D18)/(D27-D36)</f>
        <v>3553.1360294117649</v>
      </c>
      <c r="D83" s="176">
        <f>(E9-E18)/(E27-E36)</f>
        <v>2997.8502202643172</v>
      </c>
      <c r="E83" s="176">
        <f>(F9-F18)/(F27-F36)</f>
        <v>1965.9781420765028</v>
      </c>
      <c r="F83" s="176">
        <f>(G9-G18)/(G27-G36)</f>
        <v>194.25</v>
      </c>
      <c r="G83" s="176"/>
      <c r="H83" s="164"/>
      <c r="I83" s="164"/>
      <c r="J83" s="164"/>
      <c r="K83" s="164"/>
      <c r="L83" s="164"/>
    </row>
    <row r="84" spans="1:12" s="133" customFormat="1">
      <c r="A84" s="175">
        <f t="shared" ref="A84:A87" si="5">A83+1</f>
        <v>2020</v>
      </c>
      <c r="B84" s="176">
        <f>(C10-C19)/(C28-C37)</f>
        <v>3861.0641025641025</v>
      </c>
      <c r="C84" s="176">
        <f>(D10-D19)/(D28-D37)</f>
        <v>3755.9699248120301</v>
      </c>
      <c r="D84" s="176">
        <f>(E10-E19)/(E28-E37)</f>
        <v>3231.2164502164501</v>
      </c>
      <c r="E84" s="176">
        <f>(F10-F19)/(F28-F37)</f>
        <v>2075.0563380281692</v>
      </c>
      <c r="F84" s="176"/>
      <c r="G84" s="176"/>
      <c r="H84" s="164"/>
      <c r="I84" s="164"/>
      <c r="J84" s="164"/>
      <c r="K84" s="164"/>
      <c r="L84" s="164"/>
    </row>
    <row r="85" spans="1:12" s="133" customFormat="1">
      <c r="A85" s="175">
        <f t="shared" si="5"/>
        <v>2021</v>
      </c>
      <c r="B85" s="176">
        <f>(C11-C20)/(C29-C38)</f>
        <v>4061.6962025316457</v>
      </c>
      <c r="C85" s="176">
        <f>(D11-D20)/(D29-D38)</f>
        <v>4005.2111111111112</v>
      </c>
      <c r="D85" s="176">
        <f>(E11-E20)/(E29-E38)</f>
        <v>3378.41</v>
      </c>
      <c r="E85" s="176"/>
      <c r="F85" s="176"/>
      <c r="G85" s="176"/>
      <c r="H85" s="164"/>
      <c r="I85" s="164"/>
      <c r="J85" s="164"/>
      <c r="K85" s="164"/>
      <c r="L85" s="164"/>
    </row>
    <row r="86" spans="1:12" s="133" customFormat="1">
      <c r="A86" s="175">
        <f t="shared" si="5"/>
        <v>2022</v>
      </c>
      <c r="B86" s="176">
        <f>(C12-C21)/(C30-C39)</f>
        <v>4340.3894080996888</v>
      </c>
      <c r="C86" s="176">
        <f>(D12-D21)/(D30-D39)</f>
        <v>4205.0594594594595</v>
      </c>
      <c r="D86" s="176"/>
      <c r="E86" s="176"/>
      <c r="F86" s="176"/>
      <c r="G86" s="176"/>
      <c r="H86" s="164"/>
      <c r="I86" s="164"/>
      <c r="J86" s="164"/>
      <c r="K86" s="164"/>
      <c r="L86" s="164"/>
    </row>
    <row r="87" spans="1:12" s="133" customFormat="1">
      <c r="A87" s="175">
        <f t="shared" si="5"/>
        <v>2023</v>
      </c>
      <c r="B87" s="176">
        <f>(C13-C22)/(C31-C40)</f>
        <v>4507.9194139194142</v>
      </c>
      <c r="C87" s="176"/>
      <c r="D87" s="176"/>
      <c r="E87" s="176"/>
      <c r="F87" s="176"/>
      <c r="G87" s="176"/>
      <c r="H87" s="164"/>
      <c r="I87" s="164"/>
      <c r="J87" s="164"/>
      <c r="K87" s="164"/>
      <c r="L87" s="164"/>
    </row>
    <row r="88" spans="1:12" s="133" customFormat="1">
      <c r="H88" s="164"/>
      <c r="I88" s="164"/>
      <c r="J88" s="164"/>
      <c r="K88" s="164"/>
      <c r="L88" s="164"/>
    </row>
    <row r="89" spans="1:12" s="133" customFormat="1">
      <c r="A89" s="177" t="s">
        <v>72</v>
      </c>
      <c r="B89" s="178" t="s">
        <v>380</v>
      </c>
      <c r="C89" s="178"/>
      <c r="D89" s="178"/>
      <c r="E89" s="178"/>
      <c r="F89" s="178"/>
      <c r="G89" s="178"/>
      <c r="H89" s="164"/>
      <c r="I89" s="164"/>
      <c r="J89" s="164"/>
      <c r="K89" s="164"/>
      <c r="L89" s="164"/>
    </row>
    <row r="90" spans="1:12" s="133" customFormat="1">
      <c r="A90" s="179"/>
      <c r="B90" s="180">
        <v>12</v>
      </c>
      <c r="C90" s="180">
        <f>B90+12</f>
        <v>24</v>
      </c>
      <c r="D90" s="180">
        <f t="shared" ref="D90:G90" si="6">C90+12</f>
        <v>36</v>
      </c>
      <c r="E90" s="180">
        <f t="shared" si="6"/>
        <v>48</v>
      </c>
      <c r="F90" s="180">
        <f t="shared" si="6"/>
        <v>60</v>
      </c>
      <c r="G90" s="180">
        <f t="shared" si="6"/>
        <v>72</v>
      </c>
      <c r="H90" s="164"/>
      <c r="I90" s="164"/>
      <c r="J90" s="164"/>
      <c r="K90" s="164"/>
      <c r="L90" s="164"/>
    </row>
    <row r="91" spans="1:12" s="133" customFormat="1">
      <c r="A91" s="175" t="str">
        <f>A82&amp;"-"&amp;A83</f>
        <v>2018-2019</v>
      </c>
      <c r="B91" s="174">
        <f>B83/B82-1</f>
        <v>6.1077188972277874E-2</v>
      </c>
      <c r="C91" s="174">
        <f t="shared" ref="C91:F91" si="7">C83/C82-1</f>
        <v>3.4413678871827225E-2</v>
      </c>
      <c r="D91" s="174">
        <f t="shared" si="7"/>
        <v>4.0856810349430894E-2</v>
      </c>
      <c r="E91" s="174">
        <f t="shared" si="7"/>
        <v>4.5901176124065746E-2</v>
      </c>
      <c r="F91" s="174">
        <f t="shared" si="7"/>
        <v>5.1730225988700695E-2</v>
      </c>
      <c r="G91" s="174"/>
      <c r="H91" s="164"/>
      <c r="I91" s="164"/>
      <c r="J91" s="164"/>
      <c r="K91" s="164"/>
      <c r="L91" s="164"/>
    </row>
    <row r="92" spans="1:12" s="133" customFormat="1">
      <c r="A92" s="175" t="str">
        <f t="shared" ref="A92:A95" si="8">A83&amp;"-"&amp;A84</f>
        <v>2019-2020</v>
      </c>
      <c r="B92" s="174">
        <f t="shared" ref="B92:E95" si="9">B84/B83-1</f>
        <v>5.724553452755643E-2</v>
      </c>
      <c r="C92" s="174">
        <f t="shared" si="9"/>
        <v>5.7085879550140772E-2</v>
      </c>
      <c r="D92" s="174">
        <f t="shared" si="9"/>
        <v>7.7844526179015494E-2</v>
      </c>
      <c r="E92" s="174">
        <f t="shared" si="9"/>
        <v>5.5482913882478835E-2</v>
      </c>
      <c r="F92" s="174"/>
      <c r="G92" s="174"/>
      <c r="H92" s="164"/>
      <c r="I92" s="164"/>
      <c r="J92" s="164"/>
      <c r="K92" s="164"/>
      <c r="L92" s="164"/>
    </row>
    <row r="93" spans="1:12" s="133" customFormat="1">
      <c r="A93" s="175" t="str">
        <f t="shared" si="8"/>
        <v>2020-2021</v>
      </c>
      <c r="B93" s="174">
        <f t="shared" si="9"/>
        <v>5.196290313706653E-2</v>
      </c>
      <c r="C93" s="174">
        <f t="shared" si="9"/>
        <v>6.6358674666851858E-2</v>
      </c>
      <c r="D93" s="174">
        <f t="shared" si="9"/>
        <v>4.5553602505858048E-2</v>
      </c>
      <c r="E93" s="174"/>
      <c r="F93" s="174"/>
      <c r="G93" s="174"/>
      <c r="H93" s="164"/>
      <c r="I93" s="164"/>
      <c r="J93" s="164"/>
      <c r="K93" s="164"/>
      <c r="L93" s="164"/>
    </row>
    <row r="94" spans="1:12" s="133" customFormat="1">
      <c r="A94" s="175" t="str">
        <f t="shared" si="8"/>
        <v>2021-2022</v>
      </c>
      <c r="B94" s="174">
        <f t="shared" si="9"/>
        <v>6.8614980459231312E-2</v>
      </c>
      <c r="C94" s="174">
        <f t="shared" si="9"/>
        <v>4.989708227712053E-2</v>
      </c>
      <c r="D94" s="174"/>
      <c r="E94" s="174"/>
      <c r="F94" s="174"/>
      <c r="G94" s="174"/>
      <c r="H94" s="164"/>
      <c r="I94" s="164"/>
      <c r="J94" s="164"/>
      <c r="K94" s="164"/>
      <c r="L94" s="164"/>
    </row>
    <row r="95" spans="1:12" s="133" customFormat="1">
      <c r="A95" s="180" t="str">
        <f t="shared" si="8"/>
        <v>2022-2023</v>
      </c>
      <c r="B95" s="160">
        <f t="shared" si="9"/>
        <v>3.8597920616775694E-2</v>
      </c>
      <c r="C95" s="160"/>
      <c r="D95" s="160"/>
      <c r="E95" s="160"/>
      <c r="F95" s="160"/>
      <c r="G95" s="160"/>
      <c r="H95" s="164"/>
      <c r="I95" s="164"/>
      <c r="J95" s="164"/>
      <c r="K95" s="164"/>
      <c r="L95" s="164"/>
    </row>
    <row r="96" spans="1:12" s="133" customFormat="1">
      <c r="A96" s="173" t="s">
        <v>274</v>
      </c>
      <c r="B96" s="174">
        <f>AVERAGE(B91:B95)</f>
        <v>5.5499705542581566E-2</v>
      </c>
      <c r="C96" s="174">
        <f t="shared" ref="C96:F96" si="10">AVERAGE(C91:C95)</f>
        <v>5.1938828841485096E-2</v>
      </c>
      <c r="D96" s="174">
        <f t="shared" si="10"/>
        <v>5.4751646344768146E-2</v>
      </c>
      <c r="E96" s="174">
        <f t="shared" si="10"/>
        <v>5.069204500327229E-2</v>
      </c>
      <c r="F96" s="174">
        <f t="shared" si="10"/>
        <v>5.1730225988700695E-2</v>
      </c>
      <c r="G96" s="174"/>
      <c r="H96" s="164"/>
      <c r="I96" s="164"/>
      <c r="J96" s="164"/>
      <c r="K96" s="164"/>
      <c r="L96" s="164"/>
    </row>
    <row r="97" spans="1:12" s="133" customFormat="1">
      <c r="H97" s="164"/>
      <c r="I97" s="164"/>
      <c r="J97" s="164"/>
      <c r="K97" s="164"/>
      <c r="L97" s="164"/>
    </row>
    <row r="98" spans="1:12" s="133" customFormat="1">
      <c r="A98" s="144" t="s">
        <v>382</v>
      </c>
      <c r="H98" s="164"/>
      <c r="I98" s="164"/>
      <c r="J98" s="164"/>
      <c r="K98" s="164"/>
      <c r="L98" s="164"/>
    </row>
    <row r="99" spans="1:12" s="133" customFormat="1">
      <c r="A99" s="144" t="s">
        <v>381</v>
      </c>
      <c r="H99" s="164"/>
      <c r="I99" s="164"/>
      <c r="J99" s="164"/>
      <c r="K99" s="164"/>
      <c r="L99" s="164"/>
    </row>
    <row r="101" spans="1:12">
      <c r="A101" s="128" t="s">
        <v>165</v>
      </c>
      <c r="B101" s="128"/>
      <c r="C101" s="128"/>
      <c r="D101" s="128"/>
      <c r="E101" s="128"/>
      <c r="F101" s="128"/>
      <c r="G101" s="128"/>
      <c r="H101" s="128"/>
      <c r="I101" s="128"/>
      <c r="J101" s="128"/>
      <c r="K101" s="128"/>
      <c r="L101" s="128"/>
    </row>
    <row r="102" spans="1:12">
      <c r="A102" s="128"/>
      <c r="B102" s="128"/>
      <c r="C102" s="128"/>
      <c r="D102" s="128"/>
      <c r="E102" s="128"/>
      <c r="F102" s="128"/>
      <c r="G102" s="128"/>
      <c r="H102" s="128"/>
      <c r="I102" s="128"/>
      <c r="J102" s="128"/>
      <c r="K102" s="128"/>
      <c r="L102" s="128"/>
    </row>
    <row r="103" spans="1:12">
      <c r="A103" s="128"/>
      <c r="B103" s="128"/>
      <c r="C103" s="128"/>
      <c r="D103" s="128"/>
      <c r="E103" s="128"/>
      <c r="F103" s="128"/>
      <c r="G103" s="128"/>
      <c r="H103" s="128"/>
      <c r="I103" s="128"/>
      <c r="J103" s="128"/>
      <c r="K103" s="128"/>
      <c r="L103" s="128"/>
    </row>
    <row r="105" spans="1:12">
      <c r="A105" s="5" t="s">
        <v>0</v>
      </c>
      <c r="B105" s="8" t="s">
        <v>166</v>
      </c>
      <c r="C105" s="4"/>
      <c r="D105" s="4"/>
      <c r="E105" s="4"/>
      <c r="F105" s="4"/>
      <c r="G105" s="4"/>
      <c r="H105" s="4"/>
      <c r="I105" s="4"/>
      <c r="J105" s="4"/>
      <c r="K105" s="4"/>
      <c r="L105" s="4"/>
    </row>
    <row r="106" spans="1:12">
      <c r="A106" s="6"/>
      <c r="B106" s="6"/>
      <c r="C106" s="6"/>
      <c r="D106" s="6"/>
      <c r="E106" s="6"/>
      <c r="F106" s="6"/>
      <c r="G106" s="6"/>
      <c r="H106" s="6"/>
      <c r="I106" s="6"/>
      <c r="J106" s="6"/>
      <c r="K106" s="6"/>
      <c r="L106" s="6"/>
    </row>
    <row r="107" spans="1:12">
      <c r="A107" s="6" t="s">
        <v>1</v>
      </c>
      <c r="B107" s="6"/>
      <c r="C107" s="6"/>
      <c r="D107" s="6"/>
      <c r="E107" s="6"/>
      <c r="F107" s="6"/>
      <c r="G107" s="6"/>
      <c r="H107" s="6"/>
      <c r="I107" s="6"/>
      <c r="J107" s="6"/>
      <c r="K107" s="6"/>
      <c r="L107" s="6"/>
    </row>
    <row r="108" spans="1:12">
      <c r="A108" s="6"/>
      <c r="B108" s="6"/>
      <c r="C108" s="6"/>
      <c r="D108" s="6"/>
      <c r="E108" s="6"/>
      <c r="F108" s="6"/>
      <c r="G108" s="6"/>
      <c r="H108" s="6"/>
      <c r="I108" s="6"/>
      <c r="J108" s="6"/>
      <c r="K108" s="6"/>
      <c r="L108" s="6"/>
    </row>
    <row r="109" spans="1:12">
      <c r="A109" s="91" t="s">
        <v>293</v>
      </c>
      <c r="B109" s="6"/>
      <c r="C109" s="6"/>
      <c r="D109" s="6"/>
      <c r="E109" s="6"/>
      <c r="F109" s="6"/>
      <c r="G109" s="6"/>
      <c r="H109" s="6"/>
      <c r="I109" s="6"/>
      <c r="J109" s="6"/>
      <c r="K109" s="6"/>
      <c r="L109" s="6"/>
    </row>
    <row r="110" spans="1:12">
      <c r="A110" s="147" t="s">
        <v>389</v>
      </c>
      <c r="B110" s="6"/>
      <c r="C110" s="6"/>
      <c r="D110" s="6"/>
      <c r="E110" s="6"/>
      <c r="F110" s="6"/>
      <c r="G110" s="6"/>
      <c r="H110" s="6"/>
      <c r="I110" s="6"/>
      <c r="J110" s="6"/>
      <c r="K110" s="6"/>
      <c r="L110" s="6"/>
    </row>
    <row r="111" spans="1:12">
      <c r="A111" s="6"/>
      <c r="B111" s="6"/>
      <c r="C111" s="6"/>
      <c r="D111" s="6"/>
      <c r="E111" s="6"/>
      <c r="F111" s="6"/>
      <c r="G111" s="6"/>
      <c r="H111" s="6"/>
      <c r="I111" s="6"/>
      <c r="J111" s="6"/>
      <c r="K111" s="6"/>
      <c r="L111" s="6"/>
    </row>
    <row r="112" spans="1:12">
      <c r="A112" s="1" t="s">
        <v>384</v>
      </c>
      <c r="G112" s="57">
        <v>4400</v>
      </c>
      <c r="I112" s="6"/>
      <c r="J112" s="6"/>
      <c r="K112" s="6"/>
      <c r="L112" s="6"/>
    </row>
    <row r="113" spans="1:12">
      <c r="I113" s="6"/>
      <c r="J113" s="6"/>
      <c r="K113" s="6"/>
      <c r="L113" s="6"/>
    </row>
    <row r="114" spans="1:12">
      <c r="A114" s="1" t="s">
        <v>385</v>
      </c>
      <c r="I114" s="6"/>
      <c r="J114" s="6"/>
      <c r="K114" s="6"/>
      <c r="L114" s="6"/>
    </row>
    <row r="115" spans="1:12" ht="31.2">
      <c r="A115" s="53" t="s">
        <v>290</v>
      </c>
      <c r="B115" s="170">
        <v>12</v>
      </c>
      <c r="C115" s="170">
        <f>B115+12</f>
        <v>24</v>
      </c>
      <c r="D115" s="170">
        <f t="shared" ref="D115:G115" si="11">C115+12</f>
        <v>36</v>
      </c>
      <c r="E115" s="170">
        <f t="shared" si="11"/>
        <v>48</v>
      </c>
      <c r="F115" s="170">
        <f t="shared" si="11"/>
        <v>60</v>
      </c>
      <c r="G115" s="170">
        <f t="shared" si="11"/>
        <v>72</v>
      </c>
      <c r="H115" s="54" t="s">
        <v>386</v>
      </c>
      <c r="I115" s="6"/>
      <c r="J115" s="6"/>
      <c r="K115" s="6"/>
      <c r="L115" s="6"/>
    </row>
    <row r="116" spans="1:12">
      <c r="A116" s="67">
        <v>2018</v>
      </c>
      <c r="B116" s="65">
        <f>C35/$H116</f>
        <v>0.3865319865319865</v>
      </c>
      <c r="C116" s="65">
        <f>D35/$H116</f>
        <v>0.58047138047138047</v>
      </c>
      <c r="D116" s="65">
        <f>E35/$H116</f>
        <v>0.72053872053872059</v>
      </c>
      <c r="E116" s="65">
        <f>F35/$H116</f>
        <v>0.81481481481481477</v>
      </c>
      <c r="F116" s="65">
        <f>G35/$H116</f>
        <v>0.88821548821548824</v>
      </c>
      <c r="G116" s="65">
        <f>H35/$H116</f>
        <v>0.99057239057239055</v>
      </c>
      <c r="H116" s="57">
        <f>I26</f>
        <v>1485</v>
      </c>
      <c r="I116" s="6"/>
      <c r="J116" s="6"/>
      <c r="K116" s="6"/>
      <c r="L116" s="6"/>
    </row>
    <row r="117" spans="1:12">
      <c r="A117" s="67">
        <f>A116+1</f>
        <v>2019</v>
      </c>
      <c r="B117" s="65">
        <f>C36/$H117</f>
        <v>0.39477211796246647</v>
      </c>
      <c r="C117" s="65">
        <f>D36/$H117</f>
        <v>0.57774798927613946</v>
      </c>
      <c r="D117" s="65">
        <f>E36/$H117</f>
        <v>0.7024128686327078</v>
      </c>
      <c r="E117" s="65">
        <f>F36/$H117</f>
        <v>0.81032171581769441</v>
      </c>
      <c r="F117" s="65">
        <f>G36/$H117</f>
        <v>0.96246648793565681</v>
      </c>
      <c r="H117" s="57">
        <f>I27</f>
        <v>1492</v>
      </c>
      <c r="I117" s="6"/>
      <c r="J117" s="6"/>
      <c r="K117" s="6"/>
      <c r="L117" s="6"/>
    </row>
    <row r="118" spans="1:12">
      <c r="A118" s="67">
        <f t="shared" ref="A118:A121" si="12">A117+1</f>
        <v>2020</v>
      </c>
      <c r="B118" s="65">
        <f>C37/$H118</f>
        <v>0.38759172781854567</v>
      </c>
      <c r="C118" s="65">
        <f>D37/$H118</f>
        <v>0.57505003335557037</v>
      </c>
      <c r="D118" s="65">
        <f>E37/$H118</f>
        <v>0.7111407605070047</v>
      </c>
      <c r="E118" s="65">
        <f>F37/$H118</f>
        <v>0.88792528352234823</v>
      </c>
      <c r="H118" s="57">
        <f>I28</f>
        <v>1499</v>
      </c>
      <c r="I118" s="6"/>
      <c r="J118" s="6"/>
      <c r="K118" s="6"/>
      <c r="L118" s="6"/>
    </row>
    <row r="119" spans="1:12">
      <c r="A119" s="67">
        <f t="shared" si="12"/>
        <v>2021</v>
      </c>
      <c r="B119" s="65">
        <f>C38/$H119</f>
        <v>0.39454424484364603</v>
      </c>
      <c r="C119" s="65">
        <f>D38/$H119</f>
        <v>0.56353958749168331</v>
      </c>
      <c r="D119" s="65">
        <f>E38/$H119</f>
        <v>0.79773785761809712</v>
      </c>
      <c r="H119" s="57">
        <f>I29</f>
        <v>1503</v>
      </c>
      <c r="I119" s="6"/>
      <c r="J119" s="6"/>
      <c r="K119" s="6"/>
      <c r="L119" s="6"/>
    </row>
    <row r="120" spans="1:12">
      <c r="A120" s="67">
        <f t="shared" si="12"/>
        <v>2022</v>
      </c>
      <c r="B120" s="65">
        <f>C39/$H120</f>
        <v>0.39823609226594303</v>
      </c>
      <c r="C120" s="65">
        <f>D39/$H120</f>
        <v>0.62957937584803259</v>
      </c>
      <c r="H120" s="57">
        <f>I30</f>
        <v>1474</v>
      </c>
      <c r="I120" s="6"/>
      <c r="J120" s="6"/>
      <c r="K120" s="6"/>
      <c r="L120" s="6"/>
    </row>
    <row r="121" spans="1:12">
      <c r="A121" s="68">
        <f t="shared" si="12"/>
        <v>2023</v>
      </c>
      <c r="B121" s="69">
        <f>C40/$H121</f>
        <v>0.4198524480214621</v>
      </c>
      <c r="C121" s="181"/>
      <c r="D121" s="181"/>
      <c r="E121" s="181"/>
      <c r="F121" s="181"/>
      <c r="G121" s="181"/>
      <c r="H121" s="62">
        <f>I31</f>
        <v>1491</v>
      </c>
      <c r="I121" s="6"/>
      <c r="J121" s="6"/>
      <c r="K121" s="6"/>
      <c r="L121" s="6"/>
    </row>
    <row r="122" spans="1:12">
      <c r="A122" s="55" t="s">
        <v>355</v>
      </c>
      <c r="B122" s="65">
        <f>B121</f>
        <v>0.4198524480214621</v>
      </c>
      <c r="C122" s="65">
        <f>C120</f>
        <v>0.62957937584803259</v>
      </c>
      <c r="D122" s="65">
        <f>D119</f>
        <v>0.79773785761809712</v>
      </c>
      <c r="E122" s="65">
        <f>E118</f>
        <v>0.88792528352234823</v>
      </c>
      <c r="F122" s="65">
        <f>F117</f>
        <v>0.96246648793565681</v>
      </c>
      <c r="G122" s="65">
        <f>G116</f>
        <v>0.99057239057239055</v>
      </c>
      <c r="I122" s="6"/>
      <c r="J122" s="6"/>
      <c r="K122" s="6"/>
      <c r="L122" s="6"/>
    </row>
    <row r="123" spans="1:12">
      <c r="I123" s="6"/>
      <c r="J123" s="6"/>
      <c r="K123" s="6"/>
      <c r="L123" s="6"/>
    </row>
    <row r="124" spans="1:12">
      <c r="A124" s="1" t="s">
        <v>387</v>
      </c>
      <c r="I124" s="6"/>
      <c r="J124" s="6"/>
      <c r="K124" s="6"/>
      <c r="L124" s="6"/>
    </row>
    <row r="125" spans="1:12" ht="31.2">
      <c r="A125" s="53" t="s">
        <v>290</v>
      </c>
      <c r="B125" s="170">
        <v>12</v>
      </c>
      <c r="C125" s="170">
        <f>B125+12</f>
        <v>24</v>
      </c>
      <c r="D125" s="170">
        <f t="shared" ref="D125:G125" si="13">C125+12</f>
        <v>36</v>
      </c>
      <c r="E125" s="170">
        <f t="shared" si="13"/>
        <v>48</v>
      </c>
      <c r="F125" s="170">
        <f t="shared" si="13"/>
        <v>60</v>
      </c>
      <c r="G125" s="170">
        <f t="shared" si="13"/>
        <v>72</v>
      </c>
      <c r="H125" s="71" t="s">
        <v>386</v>
      </c>
      <c r="I125" s="6"/>
      <c r="J125" s="6"/>
      <c r="K125" s="6"/>
      <c r="L125" s="6"/>
    </row>
    <row r="126" spans="1:12">
      <c r="A126" s="67">
        <v>2018</v>
      </c>
      <c r="B126" s="57">
        <f>B$122*$H126</f>
        <v>623.48088531187125</v>
      </c>
      <c r="C126" s="57">
        <f>C$122*$H126</f>
        <v>934.92537313432842</v>
      </c>
      <c r="D126" s="57">
        <f>D$122*$H126</f>
        <v>1184.6407185628743</v>
      </c>
      <c r="E126" s="57">
        <f>E$122*$H126</f>
        <v>1318.5690460306871</v>
      </c>
      <c r="F126" s="57">
        <f>F$122*$H126</f>
        <v>1429.2627345844503</v>
      </c>
      <c r="G126" s="57">
        <f>G$122*$H126</f>
        <v>1471</v>
      </c>
      <c r="H126" s="81">
        <f>I26</f>
        <v>1485</v>
      </c>
      <c r="I126" s="6"/>
      <c r="J126" s="6"/>
      <c r="K126" s="6"/>
      <c r="L126" s="6"/>
    </row>
    <row r="127" spans="1:12">
      <c r="A127" s="67">
        <f>A126+1</f>
        <v>2019</v>
      </c>
      <c r="B127" s="57">
        <f t="shared" ref="B127:B131" si="14">B$122*$H127</f>
        <v>626.4198524480214</v>
      </c>
      <c r="C127" s="57">
        <f>C$122*$H127</f>
        <v>939.33242876526458</v>
      </c>
      <c r="D127" s="57">
        <f>D$122*$H127</f>
        <v>1190.224883566201</v>
      </c>
      <c r="E127" s="57">
        <f>E$122*$H127</f>
        <v>1324.7845230153437</v>
      </c>
      <c r="F127" s="57">
        <f>F$122*$H127</f>
        <v>1436</v>
      </c>
      <c r="G127" s="57"/>
      <c r="H127" s="81">
        <f t="shared" ref="H127:H131" si="15">I27</f>
        <v>1492</v>
      </c>
      <c r="I127" s="6"/>
      <c r="J127" s="6"/>
      <c r="K127" s="6"/>
      <c r="L127" s="6"/>
    </row>
    <row r="128" spans="1:12">
      <c r="A128" s="67">
        <f t="shared" ref="A128:A131" si="16">A127+1</f>
        <v>2020</v>
      </c>
      <c r="B128" s="57">
        <f t="shared" si="14"/>
        <v>629.35881958417167</v>
      </c>
      <c r="C128" s="57">
        <f>C$122*$H128</f>
        <v>943.73948439620085</v>
      </c>
      <c r="D128" s="57">
        <f>D$122*$H128</f>
        <v>1195.8090485695275</v>
      </c>
      <c r="E128" s="57">
        <f>E$122*$H128</f>
        <v>1331</v>
      </c>
      <c r="F128" s="57"/>
      <c r="G128" s="57"/>
      <c r="H128" s="81">
        <f t="shared" si="15"/>
        <v>1499</v>
      </c>
      <c r="I128" s="6"/>
      <c r="J128" s="6"/>
      <c r="K128" s="6"/>
      <c r="L128" s="6"/>
    </row>
    <row r="129" spans="1:12">
      <c r="A129" s="67">
        <f t="shared" si="16"/>
        <v>2021</v>
      </c>
      <c r="B129" s="57">
        <f t="shared" si="14"/>
        <v>631.0382293762575</v>
      </c>
      <c r="C129" s="57">
        <f>C$122*$H129</f>
        <v>946.25780189959301</v>
      </c>
      <c r="D129" s="57">
        <f>D$122*$H129</f>
        <v>1199</v>
      </c>
      <c r="E129" s="57"/>
      <c r="F129" s="57"/>
      <c r="G129" s="57"/>
      <c r="H129" s="81">
        <f t="shared" si="15"/>
        <v>1503</v>
      </c>
      <c r="I129" s="6"/>
      <c r="J129" s="6"/>
      <c r="K129" s="6"/>
      <c r="L129" s="6"/>
    </row>
    <row r="130" spans="1:12">
      <c r="A130" s="67">
        <f t="shared" si="16"/>
        <v>2022</v>
      </c>
      <c r="B130" s="57">
        <f t="shared" si="14"/>
        <v>618.86250838363515</v>
      </c>
      <c r="C130" s="57">
        <f>C$122*$H130</f>
        <v>928</v>
      </c>
      <c r="D130" s="57"/>
      <c r="E130" s="57"/>
      <c r="F130" s="57"/>
      <c r="G130" s="57"/>
      <c r="H130" s="81">
        <f t="shared" si="15"/>
        <v>1474</v>
      </c>
      <c r="I130" s="6"/>
      <c r="J130" s="6"/>
      <c r="K130" s="6"/>
      <c r="L130" s="6"/>
    </row>
    <row r="131" spans="1:12">
      <c r="A131" s="67">
        <f t="shared" si="16"/>
        <v>2023</v>
      </c>
      <c r="B131" s="57">
        <f t="shared" si="14"/>
        <v>626</v>
      </c>
      <c r="C131" s="57"/>
      <c r="D131" s="57"/>
      <c r="E131" s="57"/>
      <c r="F131" s="57"/>
      <c r="G131" s="57"/>
      <c r="H131" s="81">
        <f t="shared" si="15"/>
        <v>1491</v>
      </c>
      <c r="I131" s="6"/>
      <c r="J131" s="6"/>
      <c r="K131" s="6"/>
      <c r="L131" s="6"/>
    </row>
    <row r="132" spans="1:12">
      <c r="A132" s="67"/>
      <c r="B132" s="57"/>
      <c r="C132" s="88"/>
      <c r="D132" s="88"/>
      <c r="E132" s="88"/>
      <c r="F132" s="88"/>
      <c r="G132" s="88"/>
      <c r="I132" s="6"/>
      <c r="J132" s="6"/>
      <c r="K132" s="6"/>
      <c r="L132" s="6"/>
    </row>
    <row r="133" spans="1:12">
      <c r="A133" s="1" t="s">
        <v>388</v>
      </c>
      <c r="B133" s="57"/>
      <c r="C133" s="88"/>
      <c r="D133" s="88"/>
      <c r="E133" s="88"/>
      <c r="F133" s="88"/>
      <c r="G133" s="88"/>
      <c r="I133" s="6"/>
      <c r="J133" s="6"/>
      <c r="K133" s="6"/>
      <c r="L133" s="6"/>
    </row>
    <row r="134" spans="1:12">
      <c r="A134" s="53" t="s">
        <v>290</v>
      </c>
      <c r="B134" s="170">
        <v>12</v>
      </c>
      <c r="C134" s="170">
        <f>B134+12</f>
        <v>24</v>
      </c>
      <c r="D134" s="170">
        <f t="shared" ref="D134:G134" si="17">C134+12</f>
        <v>36</v>
      </c>
      <c r="E134" s="170">
        <f t="shared" si="17"/>
        <v>48</v>
      </c>
      <c r="F134" s="170">
        <f t="shared" si="17"/>
        <v>60</v>
      </c>
      <c r="G134" s="170">
        <f t="shared" si="17"/>
        <v>72</v>
      </c>
      <c r="I134" s="6"/>
      <c r="J134" s="6"/>
      <c r="K134" s="6"/>
      <c r="L134" s="6"/>
    </row>
    <row r="135" spans="1:12">
      <c r="A135" s="67">
        <v>2018</v>
      </c>
      <c r="B135" s="57">
        <f>B126*$G$112</f>
        <v>2743315.8953722334</v>
      </c>
      <c r="C135" s="57">
        <f>C126*$G$112</f>
        <v>4113671.6417910452</v>
      </c>
      <c r="D135" s="57">
        <f>D126*$G$112</f>
        <v>5212419.1616766471</v>
      </c>
      <c r="E135" s="57">
        <f>E126*$G$112</f>
        <v>5801703.8025350235</v>
      </c>
      <c r="F135" s="57">
        <f>F126*$G$112</f>
        <v>6288756.0321715809</v>
      </c>
      <c r="G135" s="57">
        <f>G126*$G$112</f>
        <v>6472400</v>
      </c>
      <c r="I135" s="6"/>
      <c r="J135" s="6"/>
      <c r="K135" s="6"/>
      <c r="L135" s="6"/>
    </row>
    <row r="136" spans="1:12">
      <c r="A136" s="67">
        <f>A135+1</f>
        <v>2019</v>
      </c>
      <c r="B136" s="57">
        <f>B127*$G$112</f>
        <v>2756247.350771294</v>
      </c>
      <c r="C136" s="57">
        <f>C127*$G$112</f>
        <v>4133062.686567164</v>
      </c>
      <c r="D136" s="57">
        <f>D127*$G$112</f>
        <v>5236989.4876912842</v>
      </c>
      <c r="E136" s="57">
        <f>E127*$G$112</f>
        <v>5829051.9012675118</v>
      </c>
      <c r="F136" s="57">
        <f>F127*$G$112</f>
        <v>6318400</v>
      </c>
      <c r="G136" s="88"/>
      <c r="I136" s="6"/>
      <c r="J136" s="6"/>
      <c r="K136" s="6"/>
      <c r="L136" s="6"/>
    </row>
    <row r="137" spans="1:12">
      <c r="A137" s="67">
        <f t="shared" ref="A137:A140" si="18">A136+1</f>
        <v>2020</v>
      </c>
      <c r="B137" s="57">
        <f>B128*$G$112</f>
        <v>2769178.8061703555</v>
      </c>
      <c r="C137" s="57">
        <f>C128*$G$112</f>
        <v>4152453.7313432838</v>
      </c>
      <c r="D137" s="57">
        <f>D128*$G$112</f>
        <v>5261559.8137059212</v>
      </c>
      <c r="E137" s="57">
        <f>E128*$G$112</f>
        <v>5856400</v>
      </c>
      <c r="F137" s="88"/>
      <c r="G137" s="88"/>
      <c r="I137" s="6"/>
      <c r="J137" s="6"/>
      <c r="K137" s="6"/>
      <c r="L137" s="6"/>
    </row>
    <row r="138" spans="1:12">
      <c r="A138" s="67">
        <f t="shared" si="18"/>
        <v>2021</v>
      </c>
      <c r="B138" s="57">
        <f>B129*$G$112</f>
        <v>2776568.2092555328</v>
      </c>
      <c r="C138" s="57">
        <f>C129*$G$112</f>
        <v>4163534.3283582092</v>
      </c>
      <c r="D138" s="57">
        <f>D129*$G$112</f>
        <v>5275600</v>
      </c>
      <c r="E138" s="88"/>
      <c r="F138" s="88"/>
      <c r="G138" s="88"/>
      <c r="I138" s="6"/>
      <c r="J138" s="6"/>
      <c r="K138" s="6"/>
      <c r="L138" s="6"/>
    </row>
    <row r="139" spans="1:12">
      <c r="A139" s="67">
        <f t="shared" si="18"/>
        <v>2022</v>
      </c>
      <c r="B139" s="57">
        <f>B130*$G$112</f>
        <v>2722995.0368879945</v>
      </c>
      <c r="C139" s="57">
        <f>C130*$G$112</f>
        <v>4083200</v>
      </c>
      <c r="D139" s="88"/>
      <c r="E139" s="88"/>
      <c r="F139" s="88"/>
      <c r="G139" s="88"/>
      <c r="I139" s="6"/>
      <c r="J139" s="6"/>
      <c r="K139" s="6"/>
      <c r="L139" s="6"/>
    </row>
    <row r="140" spans="1:12">
      <c r="A140" s="67">
        <f t="shared" si="18"/>
        <v>2023</v>
      </c>
      <c r="B140" s="57">
        <f>B131*$G$112</f>
        <v>2754400</v>
      </c>
      <c r="C140" s="88"/>
      <c r="D140" s="88"/>
      <c r="E140" s="88"/>
      <c r="F140" s="88"/>
      <c r="G140" s="88"/>
      <c r="I140" s="6"/>
      <c r="J140" s="6"/>
      <c r="K140" s="6"/>
      <c r="L140" s="6"/>
    </row>
    <row r="142" spans="1:12">
      <c r="A142" s="5" t="s">
        <v>2</v>
      </c>
      <c r="B142" s="8" t="s">
        <v>167</v>
      </c>
      <c r="C142" s="4"/>
      <c r="D142" s="4"/>
      <c r="E142" s="4"/>
      <c r="F142" s="4"/>
      <c r="G142" s="4"/>
      <c r="H142" s="4"/>
      <c r="I142" s="4"/>
      <c r="J142" s="4"/>
      <c r="K142" s="4"/>
      <c r="L142" s="4"/>
    </row>
    <row r="143" spans="1:12">
      <c r="A143" s="6"/>
      <c r="B143" s="6"/>
      <c r="C143" s="6"/>
      <c r="D143" s="6"/>
      <c r="E143" s="6"/>
      <c r="F143" s="6"/>
      <c r="G143" s="6"/>
      <c r="H143" s="6"/>
      <c r="I143" s="6"/>
      <c r="J143" s="6"/>
      <c r="K143" s="6"/>
      <c r="L143" s="6"/>
    </row>
    <row r="144" spans="1:12">
      <c r="A144" s="6" t="s">
        <v>1</v>
      </c>
      <c r="B144" s="6"/>
      <c r="C144" s="6"/>
      <c r="D144" s="6"/>
      <c r="E144" s="6"/>
      <c r="F144" s="6"/>
      <c r="G144" s="6"/>
      <c r="H144" s="6"/>
      <c r="I144" s="6"/>
      <c r="J144" s="6"/>
      <c r="K144" s="6"/>
      <c r="L144" s="6"/>
    </row>
    <row r="145" spans="1:12">
      <c r="A145" s="6"/>
      <c r="B145" s="6"/>
      <c r="C145" s="6"/>
      <c r="D145" s="6"/>
      <c r="E145" s="6"/>
      <c r="F145" s="6"/>
      <c r="G145" s="6"/>
      <c r="H145" s="6"/>
      <c r="I145" s="6"/>
      <c r="J145" s="6"/>
      <c r="K145" s="6"/>
      <c r="L145" s="6"/>
    </row>
    <row r="146" spans="1:12">
      <c r="A146" s="6" t="s">
        <v>390</v>
      </c>
      <c r="B146" s="6"/>
      <c r="C146" s="6"/>
      <c r="D146" s="6"/>
      <c r="E146" s="6"/>
      <c r="F146" s="6"/>
      <c r="G146" s="6"/>
      <c r="H146" s="6"/>
      <c r="I146" s="6"/>
      <c r="J146" s="6"/>
      <c r="K146" s="6"/>
      <c r="L146" s="6"/>
    </row>
    <row r="147" spans="1:12">
      <c r="A147" s="1" t="s">
        <v>391</v>
      </c>
    </row>
    <row r="149" spans="1:12">
      <c r="A149" s="5" t="s">
        <v>3</v>
      </c>
      <c r="B149" s="8" t="s">
        <v>168</v>
      </c>
      <c r="C149" s="4"/>
      <c r="D149" s="4"/>
      <c r="E149" s="4"/>
      <c r="F149" s="4"/>
      <c r="G149" s="4"/>
      <c r="H149" s="4"/>
      <c r="I149" s="4"/>
      <c r="J149" s="4"/>
      <c r="K149" s="4"/>
      <c r="L149" s="4"/>
    </row>
    <row r="150" spans="1:12">
      <c r="A150" s="6"/>
      <c r="B150" s="6"/>
      <c r="C150" s="6"/>
      <c r="D150" s="6"/>
      <c r="E150" s="6"/>
      <c r="F150" s="6"/>
      <c r="G150" s="6"/>
      <c r="H150" s="6"/>
      <c r="I150" s="6"/>
      <c r="J150" s="6"/>
      <c r="K150" s="6"/>
      <c r="L150" s="6"/>
    </row>
    <row r="151" spans="1:12">
      <c r="A151" s="6" t="s">
        <v>1</v>
      </c>
      <c r="B151" s="6"/>
      <c r="C151" s="6"/>
      <c r="D151" s="6"/>
      <c r="E151" s="6"/>
      <c r="F151" s="6"/>
      <c r="G151" s="6"/>
      <c r="H151" s="6"/>
      <c r="I151" s="6"/>
      <c r="J151" s="6"/>
      <c r="K151" s="6"/>
      <c r="L151" s="6"/>
    </row>
    <row r="152" spans="1:12">
      <c r="A152" s="6"/>
      <c r="B152" s="6"/>
      <c r="C152" s="6"/>
      <c r="D152" s="6"/>
      <c r="E152" s="6"/>
      <c r="F152" s="6"/>
      <c r="G152" s="6"/>
      <c r="H152" s="6"/>
      <c r="I152" s="6"/>
      <c r="J152" s="6"/>
      <c r="K152" s="6"/>
      <c r="L152" s="6"/>
    </row>
    <row r="153" spans="1:12">
      <c r="A153" s="6" t="s">
        <v>392</v>
      </c>
      <c r="B153" s="6"/>
      <c r="C153" s="6"/>
      <c r="D153" s="6"/>
      <c r="E153" s="6"/>
      <c r="F153" s="6"/>
      <c r="G153" s="6"/>
      <c r="H153" s="6"/>
      <c r="I153" s="6"/>
      <c r="J153" s="6"/>
      <c r="K153" s="6"/>
      <c r="L153" s="6"/>
    </row>
    <row r="155" spans="1:12">
      <c r="A155" s="118" t="s">
        <v>169</v>
      </c>
      <c r="B155" s="118"/>
      <c r="C155" s="118"/>
      <c r="D155" s="118"/>
      <c r="E155" s="118"/>
      <c r="F155" s="118"/>
      <c r="G155" s="118"/>
      <c r="H155" s="118"/>
      <c r="I155" s="118"/>
      <c r="J155" s="118"/>
      <c r="K155" s="118"/>
      <c r="L155" s="118"/>
    </row>
    <row r="156" spans="1:12">
      <c r="A156" s="118"/>
      <c r="B156" s="118"/>
      <c r="C156" s="118"/>
      <c r="D156" s="118"/>
      <c r="E156" s="118"/>
      <c r="F156" s="118"/>
      <c r="G156" s="118"/>
      <c r="H156" s="118"/>
      <c r="I156" s="118"/>
      <c r="J156" s="118"/>
      <c r="K156" s="118"/>
      <c r="L156" s="118"/>
    </row>
    <row r="158" spans="1:12">
      <c r="A158" s="5" t="s">
        <v>6</v>
      </c>
      <c r="B158" s="8" t="s">
        <v>170</v>
      </c>
      <c r="C158" s="4"/>
      <c r="D158" s="4"/>
      <c r="E158" s="4"/>
      <c r="F158" s="4"/>
      <c r="G158" s="4"/>
      <c r="H158" s="4"/>
      <c r="I158" s="4"/>
      <c r="J158" s="4"/>
      <c r="K158" s="4"/>
      <c r="L158" s="4"/>
    </row>
    <row r="159" spans="1:12">
      <c r="A159" s="6"/>
      <c r="B159" s="6"/>
      <c r="C159" s="6"/>
      <c r="D159" s="6"/>
      <c r="E159" s="6"/>
      <c r="F159" s="6"/>
      <c r="G159" s="6"/>
      <c r="H159" s="6"/>
      <c r="I159" s="6"/>
      <c r="J159" s="6"/>
      <c r="K159" s="6"/>
      <c r="L159" s="6"/>
    </row>
    <row r="160" spans="1:12">
      <c r="A160" s="6" t="s">
        <v>1</v>
      </c>
      <c r="B160" s="6"/>
      <c r="C160" s="6"/>
      <c r="D160" s="6"/>
      <c r="E160" s="6"/>
      <c r="F160" s="6"/>
      <c r="G160" s="6"/>
      <c r="H160" s="6"/>
      <c r="I160" s="6"/>
      <c r="J160" s="6"/>
      <c r="K160" s="6"/>
      <c r="L160" s="6"/>
    </row>
    <row r="161" spans="1:12">
      <c r="A161" s="6"/>
      <c r="B161" s="6"/>
      <c r="C161" s="6"/>
      <c r="D161" s="6"/>
      <c r="E161" s="6"/>
      <c r="F161" s="6"/>
      <c r="G161" s="6"/>
      <c r="H161" s="6"/>
      <c r="I161" s="6"/>
      <c r="J161" s="6"/>
      <c r="K161" s="6"/>
      <c r="L161" s="6"/>
    </row>
    <row r="162" spans="1:12">
      <c r="A162" s="6" t="s">
        <v>393</v>
      </c>
      <c r="B162" s="6"/>
      <c r="C162" s="6"/>
      <c r="D162" s="6"/>
      <c r="E162" s="6"/>
      <c r="F162" s="6"/>
      <c r="G162" s="6"/>
      <c r="H162" s="6"/>
      <c r="I162" s="6"/>
      <c r="J162" s="6"/>
      <c r="K162" s="6"/>
      <c r="L162" s="6"/>
    </row>
    <row r="163" spans="1:12">
      <c r="A163" s="1" t="s">
        <v>394</v>
      </c>
    </row>
    <row r="164" spans="1:12">
      <c r="A164" s="1" t="s">
        <v>395</v>
      </c>
    </row>
  </sheetData>
  <mergeCells count="19">
    <mergeCell ref="B80:G80"/>
    <mergeCell ref="A89:A90"/>
    <mergeCell ref="B89:G89"/>
    <mergeCell ref="A101:L103"/>
    <mergeCell ref="A155:L156"/>
    <mergeCell ref="A3:L4"/>
    <mergeCell ref="B24:B25"/>
    <mergeCell ref="C24:H24"/>
    <mergeCell ref="I24:I25"/>
    <mergeCell ref="B33:B34"/>
    <mergeCell ref="C33:H33"/>
    <mergeCell ref="I33:I34"/>
    <mergeCell ref="B6:B7"/>
    <mergeCell ref="C6:H6"/>
    <mergeCell ref="I6:I7"/>
    <mergeCell ref="B15:B16"/>
    <mergeCell ref="C15:H15"/>
    <mergeCell ref="I15:I16"/>
    <mergeCell ref="A80:A81"/>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6688C-4A06-4E68-AB20-7D0F36E57F5E}">
  <dimension ref="A1:L4"/>
  <sheetViews>
    <sheetView zoomScaleNormal="100" workbookViewId="0"/>
  </sheetViews>
  <sheetFormatPr defaultRowHeight="15.6"/>
  <cols>
    <col min="1" max="6" width="8.88671875" style="1" customWidth="1"/>
    <col min="7" max="7" width="8.88671875" style="1"/>
    <col min="8" max="8" width="8.88671875" style="1" customWidth="1"/>
    <col min="9" max="16384" width="8.88671875" style="1"/>
  </cols>
  <sheetData>
    <row r="1" spans="1:12" ht="17.399999999999999">
      <c r="A1" s="2" t="s">
        <v>171</v>
      </c>
      <c r="B1" s="4"/>
      <c r="C1" s="8" t="s">
        <v>8</v>
      </c>
      <c r="D1" s="4"/>
      <c r="E1" s="4"/>
      <c r="F1" s="4"/>
      <c r="G1" s="4"/>
      <c r="H1" s="4"/>
      <c r="I1" s="4"/>
      <c r="J1" s="4"/>
      <c r="K1" s="4"/>
      <c r="L1" s="3"/>
    </row>
    <row r="2" spans="1:12">
      <c r="A2" s="4"/>
      <c r="B2" s="4"/>
      <c r="C2" s="4"/>
      <c r="D2" s="4"/>
      <c r="E2" s="4"/>
      <c r="F2" s="4"/>
      <c r="G2" s="4"/>
      <c r="H2" s="4"/>
      <c r="I2" s="4"/>
      <c r="J2" s="4"/>
      <c r="K2" s="4"/>
      <c r="L2" s="3"/>
    </row>
    <row r="3" spans="1:12" ht="16.2">
      <c r="A3" s="10" t="s">
        <v>172</v>
      </c>
      <c r="B3" s="4"/>
      <c r="C3" s="4"/>
      <c r="D3" s="4"/>
      <c r="E3" s="4"/>
      <c r="F3" s="4"/>
      <c r="G3" s="4"/>
      <c r="H3" s="8"/>
      <c r="I3" s="8"/>
      <c r="J3" s="8"/>
      <c r="K3" s="8"/>
      <c r="L3" s="8"/>
    </row>
    <row r="4" spans="1:12">
      <c r="A4" s="4"/>
      <c r="B4" s="4"/>
      <c r="C4" s="4"/>
      <c r="D4" s="4"/>
      <c r="E4" s="4"/>
      <c r="F4" s="4"/>
      <c r="G4" s="4"/>
      <c r="H4" s="8"/>
      <c r="I4" s="8"/>
      <c r="J4" s="8"/>
      <c r="K4" s="8"/>
      <c r="L4" s="8"/>
    </row>
  </sheetData>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32107-083E-4BB4-92EC-A1B8D904D76D}">
  <dimension ref="A1:R100"/>
  <sheetViews>
    <sheetView zoomScaleNormal="100" workbookViewId="0"/>
  </sheetViews>
  <sheetFormatPr defaultRowHeight="15.6"/>
  <cols>
    <col min="1" max="5" width="14.77734375" style="1" customWidth="1"/>
    <col min="6" max="6" width="8.88671875" style="1" customWidth="1"/>
    <col min="7" max="7" width="8.88671875" style="1"/>
    <col min="8" max="8" width="8.88671875" style="1" customWidth="1"/>
    <col min="9" max="16384" width="8.88671875" style="1"/>
  </cols>
  <sheetData>
    <row r="1" spans="1:18" ht="17.399999999999999">
      <c r="A1" s="2" t="s">
        <v>173</v>
      </c>
      <c r="B1" s="4"/>
      <c r="C1" s="8" t="s">
        <v>155</v>
      </c>
      <c r="D1" s="4"/>
      <c r="E1" s="4"/>
      <c r="F1" s="4"/>
      <c r="G1" s="4"/>
      <c r="H1" s="4"/>
      <c r="I1" s="4"/>
      <c r="J1" s="4"/>
      <c r="K1" s="4"/>
      <c r="L1" s="3"/>
    </row>
    <row r="2" spans="1:18">
      <c r="A2" s="4"/>
      <c r="B2" s="4"/>
      <c r="C2" s="4"/>
      <c r="D2" s="4"/>
      <c r="E2" s="4"/>
      <c r="F2" s="4"/>
      <c r="G2" s="4"/>
      <c r="H2" s="4"/>
      <c r="I2" s="4"/>
      <c r="J2" s="4"/>
      <c r="K2" s="4"/>
      <c r="L2" s="3"/>
    </row>
    <row r="3" spans="1:18">
      <c r="A3" s="8" t="s">
        <v>174</v>
      </c>
      <c r="B3" s="4"/>
      <c r="C3" s="4"/>
      <c r="D3" s="4"/>
      <c r="E3" s="4"/>
      <c r="F3" s="4"/>
      <c r="G3" s="4"/>
      <c r="H3" s="4"/>
      <c r="I3" s="4"/>
      <c r="J3" s="4"/>
      <c r="K3" s="4"/>
      <c r="L3" s="3"/>
    </row>
    <row r="4" spans="1:18">
      <c r="A4" s="6"/>
      <c r="B4" s="6"/>
      <c r="C4" s="6"/>
      <c r="D4" s="6"/>
      <c r="E4" s="6"/>
      <c r="F4" s="6"/>
      <c r="G4" s="6"/>
      <c r="H4" s="6"/>
      <c r="I4" s="6"/>
      <c r="J4" s="6"/>
      <c r="K4" s="6"/>
      <c r="L4" s="6"/>
    </row>
    <row r="5" spans="1:18">
      <c r="A5" s="5" t="s">
        <v>4</v>
      </c>
      <c r="B5" s="8" t="s">
        <v>175</v>
      </c>
      <c r="C5" s="4"/>
      <c r="D5" s="4"/>
      <c r="E5" s="4"/>
      <c r="F5" s="4"/>
      <c r="G5" s="4"/>
      <c r="H5" s="4"/>
      <c r="I5" s="4"/>
      <c r="J5" s="4"/>
      <c r="K5" s="4"/>
      <c r="L5" s="4"/>
      <c r="M5" s="7"/>
      <c r="N5" s="7"/>
      <c r="O5" s="7"/>
      <c r="P5" s="7"/>
      <c r="Q5" s="7"/>
      <c r="R5" s="7"/>
    </row>
    <row r="6" spans="1:18">
      <c r="A6" s="6"/>
      <c r="B6" s="6"/>
      <c r="C6" s="6"/>
      <c r="D6" s="6"/>
      <c r="E6" s="6"/>
      <c r="F6" s="6"/>
      <c r="G6" s="6"/>
      <c r="H6" s="6"/>
      <c r="I6" s="6"/>
      <c r="J6" s="6"/>
      <c r="K6" s="6"/>
      <c r="L6" s="6"/>
      <c r="M6" s="6"/>
    </row>
    <row r="7" spans="1:18">
      <c r="A7" s="6" t="s">
        <v>1</v>
      </c>
      <c r="B7" s="6"/>
      <c r="C7" s="6"/>
      <c r="D7" s="6"/>
      <c r="E7" s="6"/>
      <c r="F7" s="6"/>
      <c r="G7" s="6"/>
      <c r="H7" s="6"/>
      <c r="I7" s="6"/>
      <c r="J7" s="6"/>
      <c r="K7" s="6"/>
      <c r="L7" s="6"/>
      <c r="M7" s="6"/>
      <c r="N7" s="7"/>
    </row>
    <row r="8" spans="1:18">
      <c r="A8" s="6"/>
      <c r="B8" s="6"/>
      <c r="C8" s="6"/>
      <c r="D8" s="6"/>
      <c r="E8" s="6"/>
      <c r="F8" s="6"/>
      <c r="G8" s="6"/>
      <c r="H8" s="6"/>
      <c r="I8" s="6"/>
      <c r="J8" s="6"/>
      <c r="K8" s="6"/>
      <c r="L8" s="6"/>
      <c r="M8" s="6"/>
      <c r="N8" s="7"/>
    </row>
    <row r="9" spans="1:18">
      <c r="A9" s="6" t="s">
        <v>351</v>
      </c>
      <c r="B9" s="6"/>
      <c r="C9" s="6"/>
      <c r="D9" s="6"/>
      <c r="E9" s="6"/>
      <c r="F9" s="6"/>
      <c r="G9" s="6"/>
      <c r="H9" s="6"/>
      <c r="I9" s="6"/>
      <c r="J9" s="6"/>
      <c r="K9" s="6"/>
      <c r="L9" s="6"/>
      <c r="M9" s="6"/>
      <c r="N9" s="7"/>
    </row>
    <row r="10" spans="1:18">
      <c r="A10" s="1" t="s">
        <v>396</v>
      </c>
      <c r="M10" s="7"/>
      <c r="N10" s="7"/>
    </row>
    <row r="11" spans="1:18">
      <c r="A11" s="1" t="s">
        <v>397</v>
      </c>
      <c r="M11" s="7"/>
      <c r="N11" s="7"/>
    </row>
    <row r="12" spans="1:18">
      <c r="A12" s="1" t="s">
        <v>398</v>
      </c>
      <c r="M12" s="7"/>
      <c r="N12" s="7"/>
    </row>
    <row r="13" spans="1:18">
      <c r="M13" s="7"/>
      <c r="N13" s="7"/>
    </row>
    <row r="14" spans="1:18">
      <c r="A14" s="8" t="s">
        <v>78</v>
      </c>
      <c r="B14" s="8"/>
      <c r="C14" s="8"/>
      <c r="D14" s="8"/>
      <c r="E14" s="8"/>
      <c r="F14" s="8"/>
      <c r="G14" s="8"/>
      <c r="H14" s="8"/>
      <c r="I14" s="8"/>
      <c r="J14" s="8"/>
      <c r="K14" s="8"/>
      <c r="L14" s="8"/>
      <c r="M14" s="7"/>
      <c r="N14" s="7"/>
    </row>
    <row r="15" spans="1:18">
      <c r="A15" s="8"/>
      <c r="B15" s="8"/>
      <c r="C15" s="8"/>
      <c r="D15" s="8"/>
      <c r="E15" s="8"/>
      <c r="F15" s="8"/>
      <c r="G15" s="8"/>
      <c r="H15" s="8"/>
      <c r="I15" s="8"/>
      <c r="J15" s="8"/>
      <c r="K15" s="8"/>
      <c r="L15" s="8"/>
      <c r="M15" s="7"/>
      <c r="N15" s="7"/>
    </row>
    <row r="16" spans="1:18">
      <c r="A16" s="8"/>
      <c r="B16" s="8"/>
      <c r="C16" s="8"/>
      <c r="D16" s="8"/>
      <c r="E16" s="8"/>
      <c r="F16" s="8"/>
      <c r="G16" s="8"/>
      <c r="H16" s="8"/>
      <c r="I16" s="8"/>
      <c r="J16" s="8"/>
      <c r="K16" s="8"/>
      <c r="L16" s="8"/>
      <c r="M16" s="7"/>
      <c r="N16" s="7"/>
    </row>
    <row r="17" spans="1:14">
      <c r="A17" s="8"/>
      <c r="B17" s="8"/>
      <c r="C17" s="8"/>
      <c r="D17" s="8"/>
      <c r="E17" s="8"/>
      <c r="F17" s="8"/>
      <c r="G17" s="8"/>
      <c r="H17" s="8"/>
      <c r="I17" s="8"/>
      <c r="J17" s="8"/>
      <c r="K17" s="8"/>
      <c r="L17" s="8"/>
      <c r="M17" s="7"/>
      <c r="N17" s="7"/>
    </row>
    <row r="18" spans="1:14">
      <c r="A18" s="8"/>
      <c r="B18" s="125" t="s">
        <v>72</v>
      </c>
      <c r="C18" s="125" t="s">
        <v>88</v>
      </c>
      <c r="D18" s="125" t="s">
        <v>176</v>
      </c>
      <c r="E18" s="125"/>
      <c r="F18" s="8"/>
      <c r="G18" s="8"/>
      <c r="H18" s="8"/>
      <c r="I18" s="8"/>
      <c r="J18" s="8"/>
      <c r="K18" s="8"/>
      <c r="L18" s="8"/>
      <c r="M18" s="7"/>
      <c r="N18" s="7"/>
    </row>
    <row r="19" spans="1:14">
      <c r="A19" s="8"/>
      <c r="B19" s="125"/>
      <c r="C19" s="125"/>
      <c r="D19" s="24" t="s">
        <v>158</v>
      </c>
      <c r="E19" s="24" t="s">
        <v>157</v>
      </c>
      <c r="F19" s="8"/>
      <c r="G19" s="8"/>
      <c r="H19" s="8"/>
      <c r="I19" s="8"/>
      <c r="J19" s="8"/>
      <c r="K19" s="8"/>
      <c r="L19" s="8"/>
      <c r="M19" s="7"/>
      <c r="N19" s="7"/>
    </row>
    <row r="20" spans="1:14">
      <c r="A20" s="8"/>
      <c r="B20" s="25">
        <v>2018</v>
      </c>
      <c r="C20" s="26">
        <v>16451</v>
      </c>
      <c r="D20" s="26">
        <v>1641</v>
      </c>
      <c r="E20" s="26">
        <v>1485</v>
      </c>
      <c r="F20" s="8"/>
      <c r="G20" s="8"/>
      <c r="H20" s="8"/>
      <c r="I20" s="8"/>
      <c r="J20" s="8"/>
      <c r="K20" s="8"/>
      <c r="L20" s="8"/>
      <c r="M20" s="7"/>
      <c r="N20" s="7"/>
    </row>
    <row r="21" spans="1:14">
      <c r="A21" s="8"/>
      <c r="B21" s="25">
        <v>2019</v>
      </c>
      <c r="C21" s="26">
        <v>16557</v>
      </c>
      <c r="D21" s="26">
        <v>1786</v>
      </c>
      <c r="E21" s="26">
        <v>1492</v>
      </c>
      <c r="F21" s="8"/>
      <c r="G21" s="8"/>
      <c r="H21" s="8"/>
      <c r="I21" s="8"/>
      <c r="J21" s="8"/>
      <c r="K21" s="8"/>
      <c r="L21" s="8"/>
      <c r="M21" s="7"/>
      <c r="N21" s="7"/>
    </row>
    <row r="22" spans="1:14">
      <c r="A22" s="8"/>
      <c r="B22" s="25">
        <v>2020</v>
      </c>
      <c r="C22" s="26">
        <v>16815</v>
      </c>
      <c r="D22" s="26">
        <v>1885</v>
      </c>
      <c r="E22" s="26">
        <v>1499</v>
      </c>
      <c r="F22" s="8"/>
      <c r="G22" s="8"/>
      <c r="H22" s="8"/>
      <c r="I22" s="8"/>
      <c r="J22" s="8"/>
      <c r="K22" s="8"/>
      <c r="L22" s="8"/>
      <c r="M22" s="7"/>
      <c r="N22" s="7"/>
    </row>
    <row r="23" spans="1:14">
      <c r="A23" s="8"/>
      <c r="B23" s="25">
        <v>2021</v>
      </c>
      <c r="C23" s="26">
        <v>16915</v>
      </c>
      <c r="D23" s="26">
        <v>2000</v>
      </c>
      <c r="E23" s="26">
        <v>1503</v>
      </c>
      <c r="F23" s="8"/>
      <c r="G23" s="8"/>
      <c r="H23" s="8"/>
      <c r="I23" s="8"/>
      <c r="J23" s="8"/>
      <c r="K23" s="8"/>
      <c r="L23" s="8"/>
      <c r="M23" s="7"/>
      <c r="N23" s="7"/>
    </row>
    <row r="24" spans="1:14">
      <c r="A24" s="8"/>
      <c r="B24" s="25">
        <v>2022</v>
      </c>
      <c r="C24" s="26">
        <v>17147</v>
      </c>
      <c r="D24" s="26">
        <v>1977</v>
      </c>
      <c r="E24" s="26">
        <v>1474</v>
      </c>
      <c r="F24" s="8"/>
      <c r="G24" s="8"/>
      <c r="H24" s="8"/>
      <c r="I24" s="8"/>
      <c r="J24" s="8"/>
      <c r="K24" s="8"/>
      <c r="L24" s="8"/>
      <c r="M24" s="7"/>
      <c r="N24" s="7"/>
    </row>
    <row r="25" spans="1:14">
      <c r="A25" s="8"/>
      <c r="B25" s="25">
        <v>2023</v>
      </c>
      <c r="C25" s="26">
        <v>17461</v>
      </c>
      <c r="D25" s="26">
        <v>1990</v>
      </c>
      <c r="E25" s="26">
        <v>1491</v>
      </c>
      <c r="F25" s="8"/>
      <c r="G25" s="8"/>
      <c r="H25" s="8"/>
      <c r="I25" s="8"/>
      <c r="J25" s="8"/>
      <c r="K25" s="8"/>
      <c r="L25" s="8"/>
      <c r="M25" s="7"/>
      <c r="N25" s="7"/>
    </row>
    <row r="26" spans="1:14">
      <c r="A26" s="8"/>
      <c r="B26" s="8"/>
      <c r="C26" s="8"/>
      <c r="D26" s="8"/>
      <c r="E26" s="8"/>
      <c r="F26" s="8"/>
      <c r="G26" s="8"/>
      <c r="H26" s="8"/>
      <c r="I26" s="8"/>
      <c r="J26" s="8"/>
      <c r="K26" s="8"/>
      <c r="L26" s="8"/>
      <c r="M26" s="7"/>
      <c r="N26" s="7"/>
    </row>
    <row r="27" spans="1:14">
      <c r="A27" s="8"/>
      <c r="B27" s="21" t="s">
        <v>177</v>
      </c>
      <c r="C27" s="8"/>
      <c r="D27" s="8"/>
      <c r="E27" s="8"/>
      <c r="F27" s="8"/>
      <c r="G27" s="8"/>
      <c r="H27" s="8"/>
      <c r="I27" s="8"/>
      <c r="J27" s="8"/>
      <c r="K27" s="8"/>
      <c r="L27" s="8"/>
      <c r="M27" s="7"/>
      <c r="N27" s="7"/>
    </row>
    <row r="28" spans="1:14">
      <c r="A28" s="8"/>
      <c r="B28" s="21" t="s">
        <v>161</v>
      </c>
      <c r="C28" s="8"/>
      <c r="D28" s="8"/>
      <c r="E28" s="8"/>
      <c r="F28" s="8"/>
      <c r="G28" s="8"/>
      <c r="H28" s="8"/>
      <c r="I28" s="8"/>
      <c r="J28" s="8"/>
      <c r="K28" s="8"/>
      <c r="L28" s="8"/>
      <c r="M28" s="7"/>
      <c r="N28" s="7"/>
    </row>
    <row r="30" spans="1:14">
      <c r="A30" s="5" t="s">
        <v>5</v>
      </c>
      <c r="B30" s="8" t="s">
        <v>178</v>
      </c>
      <c r="C30" s="4"/>
      <c r="D30" s="4"/>
      <c r="E30" s="4"/>
      <c r="F30" s="4"/>
      <c r="G30" s="4"/>
      <c r="H30" s="4"/>
      <c r="I30" s="4"/>
      <c r="J30" s="4"/>
      <c r="K30" s="4"/>
      <c r="L30" s="4"/>
    </row>
    <row r="31" spans="1:14">
      <c r="A31" s="6"/>
      <c r="B31" s="6"/>
      <c r="C31" s="6"/>
      <c r="D31" s="6"/>
      <c r="E31" s="6"/>
      <c r="F31" s="6"/>
      <c r="G31" s="6"/>
      <c r="H31" s="6"/>
      <c r="I31" s="6"/>
      <c r="J31" s="6"/>
      <c r="K31" s="6"/>
      <c r="L31" s="6"/>
    </row>
    <row r="32" spans="1:14">
      <c r="A32" s="6" t="s">
        <v>1</v>
      </c>
      <c r="B32" s="6"/>
      <c r="C32" s="6"/>
      <c r="D32" s="6"/>
      <c r="E32" s="6"/>
      <c r="F32" s="6"/>
      <c r="G32" s="6"/>
      <c r="H32" s="6"/>
      <c r="I32" s="6"/>
      <c r="J32" s="6"/>
      <c r="K32" s="6"/>
      <c r="L32" s="6"/>
    </row>
    <row r="33" spans="1:12" ht="31.2">
      <c r="A33" s="180" t="s">
        <v>72</v>
      </c>
      <c r="B33" s="137" t="s">
        <v>88</v>
      </c>
      <c r="C33" s="137" t="s">
        <v>89</v>
      </c>
      <c r="D33" s="137" t="s">
        <v>399</v>
      </c>
      <c r="E33" s="137" t="s">
        <v>415</v>
      </c>
      <c r="F33" s="6"/>
      <c r="G33" s="6"/>
      <c r="H33" s="6"/>
      <c r="I33" s="6"/>
      <c r="J33" s="6"/>
      <c r="K33" s="6"/>
      <c r="L33" s="6"/>
    </row>
    <row r="34" spans="1:12">
      <c r="A34" s="173">
        <f>$B$20</f>
        <v>2018</v>
      </c>
      <c r="B34" s="182">
        <f>C20</f>
        <v>16451</v>
      </c>
      <c r="C34" s="182">
        <f>E20</f>
        <v>1485</v>
      </c>
      <c r="D34" s="168">
        <f>C34/B34</f>
        <v>9.0268068810406665E-2</v>
      </c>
      <c r="E34" s="164"/>
      <c r="F34" s="6"/>
      <c r="G34" s="6"/>
      <c r="H34" s="6"/>
      <c r="I34" s="6"/>
      <c r="J34" s="6"/>
      <c r="K34" s="6"/>
      <c r="L34" s="6"/>
    </row>
    <row r="35" spans="1:12">
      <c r="A35" s="173">
        <f>A34+1</f>
        <v>2019</v>
      </c>
      <c r="B35" s="182">
        <f>C21</f>
        <v>16557</v>
      </c>
      <c r="C35" s="182">
        <f>E21</f>
        <v>1492</v>
      </c>
      <c r="D35" s="168">
        <f t="shared" ref="D35:D39" si="0">C35/B35</f>
        <v>9.0112943166032494E-2</v>
      </c>
      <c r="E35" s="168">
        <f>D35/D34-1</f>
        <v>-1.7184996468683211E-3</v>
      </c>
      <c r="F35" s="6"/>
      <c r="G35" s="6"/>
      <c r="H35" s="6"/>
      <c r="I35" s="6"/>
      <c r="J35" s="6"/>
      <c r="K35" s="6"/>
      <c r="L35" s="6"/>
    </row>
    <row r="36" spans="1:12">
      <c r="A36" s="173">
        <f t="shared" ref="A36:A39" si="1">A35+1</f>
        <v>2020</v>
      </c>
      <c r="B36" s="182">
        <f>C22</f>
        <v>16815</v>
      </c>
      <c r="C36" s="182">
        <f>E22</f>
        <v>1499</v>
      </c>
      <c r="D36" s="168">
        <f t="shared" si="0"/>
        <v>8.9146595301813861E-2</v>
      </c>
      <c r="E36" s="168">
        <f t="shared" ref="E36:E39" si="2">D36/D35-1</f>
        <v>-1.0723741010635335E-2</v>
      </c>
      <c r="F36" s="6"/>
      <c r="G36" s="6"/>
      <c r="H36" s="6"/>
      <c r="I36" s="6"/>
      <c r="J36" s="6"/>
      <c r="K36" s="6"/>
      <c r="L36" s="6"/>
    </row>
    <row r="37" spans="1:12">
      <c r="A37" s="173">
        <f t="shared" si="1"/>
        <v>2021</v>
      </c>
      <c r="B37" s="182">
        <f>C23</f>
        <v>16915</v>
      </c>
      <c r="C37" s="182">
        <f>E23</f>
        <v>1503</v>
      </c>
      <c r="D37" s="168">
        <f t="shared" si="0"/>
        <v>8.8856044930535033E-2</v>
      </c>
      <c r="E37" s="168">
        <f t="shared" si="2"/>
        <v>-3.2592424903625794E-3</v>
      </c>
      <c r="F37" s="6"/>
      <c r="G37" s="6"/>
      <c r="H37" s="6"/>
      <c r="I37" s="6"/>
      <c r="J37" s="6"/>
      <c r="K37" s="6"/>
      <c r="L37" s="6"/>
    </row>
    <row r="38" spans="1:12">
      <c r="A38" s="173">
        <f t="shared" si="1"/>
        <v>2022</v>
      </c>
      <c r="B38" s="182">
        <f>C24</f>
        <v>17147</v>
      </c>
      <c r="C38" s="182">
        <f>E24</f>
        <v>1474</v>
      </c>
      <c r="D38" s="168">
        <f t="shared" si="0"/>
        <v>8.5962559048230011E-2</v>
      </c>
      <c r="E38" s="168">
        <f t="shared" si="2"/>
        <v>-3.2563748302853912E-2</v>
      </c>
      <c r="F38" s="6"/>
      <c r="G38" s="6"/>
      <c r="H38" s="6"/>
      <c r="I38" s="6"/>
      <c r="J38" s="6"/>
      <c r="K38" s="6"/>
      <c r="L38" s="6"/>
    </row>
    <row r="39" spans="1:12">
      <c r="A39" s="180">
        <f t="shared" si="1"/>
        <v>2023</v>
      </c>
      <c r="B39" s="183">
        <f>C25</f>
        <v>17461</v>
      </c>
      <c r="C39" s="183">
        <f>E25</f>
        <v>1491</v>
      </c>
      <c r="D39" s="184">
        <f t="shared" si="0"/>
        <v>8.539029837924518E-2</v>
      </c>
      <c r="E39" s="184">
        <f t="shared" si="2"/>
        <v>-6.6570920563655545E-3</v>
      </c>
      <c r="F39" s="6"/>
      <c r="G39" s="6"/>
      <c r="H39" s="6"/>
      <c r="I39" s="6"/>
      <c r="J39" s="6"/>
      <c r="K39" s="6"/>
      <c r="L39" s="6"/>
    </row>
    <row r="40" spans="1:12">
      <c r="A40" s="187" t="s">
        <v>274</v>
      </c>
      <c r="B40" s="164"/>
      <c r="C40" s="164"/>
      <c r="D40" s="164"/>
      <c r="E40" s="185">
        <f>AVERAGE(E35:E39)</f>
        <v>-1.0984464701417141E-2</v>
      </c>
      <c r="F40" s="6"/>
      <c r="G40" s="6"/>
      <c r="H40" s="6"/>
      <c r="I40" s="6"/>
      <c r="J40" s="6"/>
      <c r="K40" s="6"/>
      <c r="L40" s="6"/>
    </row>
    <row r="41" spans="1:12">
      <c r="A41" s="187" t="s">
        <v>400</v>
      </c>
      <c r="B41" s="164"/>
      <c r="C41" s="164"/>
      <c r="D41" s="164"/>
      <c r="E41" s="168" cm="1">
        <f t="array" ref="E41">EXP(_xlfn.SINGLE(INDEX(LINEST(LN(D34:D39),),1)))-1</f>
        <v>-1.1998209949053207E-2</v>
      </c>
      <c r="F41" s="6"/>
      <c r="G41" s="6"/>
      <c r="H41" s="6"/>
      <c r="I41" s="6"/>
      <c r="J41" s="6"/>
      <c r="K41" s="6"/>
      <c r="L41" s="6"/>
    </row>
    <row r="42" spans="1:12">
      <c r="A42" s="187" t="s">
        <v>401</v>
      </c>
      <c r="B42" s="164"/>
      <c r="C42" s="164"/>
      <c r="D42" s="164"/>
      <c r="E42" s="186">
        <f>E41</f>
        <v>-1.1998209949053207E-2</v>
      </c>
      <c r="F42" s="6"/>
      <c r="G42" s="6"/>
      <c r="H42" s="6"/>
      <c r="I42" s="6"/>
      <c r="J42" s="6"/>
      <c r="K42" s="6"/>
      <c r="L42" s="6"/>
    </row>
    <row r="43" spans="1:12">
      <c r="A43" s="187" t="s">
        <v>416</v>
      </c>
      <c r="B43" s="164"/>
      <c r="C43" s="164"/>
      <c r="D43" s="164"/>
      <c r="E43" s="164"/>
      <c r="F43" s="6"/>
      <c r="G43" s="6"/>
      <c r="H43" s="6"/>
      <c r="I43" s="6"/>
      <c r="J43" s="6"/>
      <c r="K43" s="6"/>
      <c r="L43" s="6"/>
    </row>
    <row r="45" spans="1:12">
      <c r="A45" s="5" t="s">
        <v>0</v>
      </c>
      <c r="B45" s="118" t="s">
        <v>179</v>
      </c>
      <c r="C45" s="118"/>
      <c r="D45" s="118"/>
      <c r="E45" s="118"/>
      <c r="F45" s="118"/>
      <c r="G45" s="118"/>
      <c r="H45" s="118"/>
      <c r="I45" s="118"/>
      <c r="J45" s="118"/>
      <c r="K45" s="118"/>
      <c r="L45" s="118"/>
    </row>
    <row r="46" spans="1:12">
      <c r="A46" s="3"/>
      <c r="B46" s="118"/>
      <c r="C46" s="118"/>
      <c r="D46" s="118"/>
      <c r="E46" s="118"/>
      <c r="F46" s="118"/>
      <c r="G46" s="118"/>
      <c r="H46" s="118"/>
      <c r="I46" s="118"/>
      <c r="J46" s="118"/>
      <c r="K46" s="118"/>
      <c r="L46" s="118"/>
    </row>
    <row r="47" spans="1:12">
      <c r="A47" s="6"/>
      <c r="B47" s="6"/>
      <c r="C47" s="6"/>
      <c r="D47" s="6"/>
      <c r="E47" s="6"/>
      <c r="F47" s="6"/>
      <c r="G47" s="6"/>
      <c r="H47" s="6"/>
      <c r="I47" s="6"/>
      <c r="J47" s="6"/>
      <c r="K47" s="6"/>
      <c r="L47" s="6"/>
    </row>
    <row r="48" spans="1:12">
      <c r="A48" s="6" t="s">
        <v>1</v>
      </c>
      <c r="B48" s="6"/>
      <c r="C48" s="6"/>
      <c r="D48" s="6"/>
      <c r="E48" s="6"/>
      <c r="F48" s="6"/>
      <c r="G48" s="6"/>
      <c r="H48" s="6"/>
      <c r="I48" s="6"/>
      <c r="J48" s="6"/>
      <c r="K48" s="6"/>
      <c r="L48" s="6"/>
    </row>
    <row r="49" spans="1:14" ht="31.2">
      <c r="A49" s="180" t="s">
        <v>72</v>
      </c>
      <c r="B49" s="137" t="str">
        <f>"Freq trend @"&amp;TEXT(100*E42,"0.0")&amp;"%"</f>
        <v>Freq trend @-1.2%</v>
      </c>
      <c r="C49" s="137" t="s">
        <v>402</v>
      </c>
      <c r="D49" s="137" t="s">
        <v>403</v>
      </c>
      <c r="E49" s="6"/>
      <c r="F49" s="6"/>
      <c r="G49" s="6"/>
      <c r="H49" s="6"/>
      <c r="I49" s="6"/>
      <c r="J49" s="6"/>
      <c r="K49" s="6"/>
      <c r="L49" s="6"/>
    </row>
    <row r="50" spans="1:14">
      <c r="A50" s="173">
        <f>$B$20</f>
        <v>2018</v>
      </c>
      <c r="B50" s="188">
        <f>B51*(1+$E$42)</f>
        <v>0.94143135177591941</v>
      </c>
      <c r="C50" s="168">
        <f t="shared" ref="C50:C55" si="3">B50*D34</f>
        <v>8.4981190042382859E-2</v>
      </c>
      <c r="D50" s="182">
        <f t="shared" ref="D50:D55" si="4">B34*$C$59/B50</f>
        <v>1497.5275582054692</v>
      </c>
      <c r="E50" s="6"/>
      <c r="F50" s="6"/>
      <c r="G50" s="6"/>
      <c r="H50" s="6"/>
      <c r="I50" s="6"/>
      <c r="J50" s="6"/>
      <c r="K50" s="6"/>
      <c r="L50" s="6"/>
    </row>
    <row r="51" spans="1:14">
      <c r="A51" s="173">
        <f>A50+1</f>
        <v>2019</v>
      </c>
      <c r="B51" s="188">
        <f>B52*(1+$E$42)</f>
        <v>0.95286401427205314</v>
      </c>
      <c r="C51" s="168">
        <f t="shared" si="3"/>
        <v>8.5865380763055096E-2</v>
      </c>
      <c r="D51" s="182">
        <f t="shared" si="4"/>
        <v>1489.0932708872306</v>
      </c>
      <c r="E51" s="6"/>
      <c r="F51" s="6"/>
      <c r="G51" s="6"/>
      <c r="H51" s="6"/>
      <c r="I51" s="6"/>
      <c r="J51" s="6"/>
      <c r="K51" s="6"/>
      <c r="L51" s="6"/>
    </row>
    <row r="52" spans="1:14">
      <c r="A52" s="173">
        <f t="shared" ref="A52:A55" si="5">A51+1</f>
        <v>2020</v>
      </c>
      <c r="B52" s="188">
        <f>B53*(1+$E$42)</f>
        <v>0.9644355140519717</v>
      </c>
      <c r="C52" s="168">
        <f t="shared" si="3"/>
        <v>8.5976142465887931E-2</v>
      </c>
      <c r="D52" s="182">
        <f t="shared" si="4"/>
        <v>1494.1522577181745</v>
      </c>
      <c r="E52" s="6"/>
      <c r="F52" s="6"/>
      <c r="G52" s="6"/>
      <c r="H52" s="6"/>
      <c r="I52" s="6"/>
      <c r="J52" s="6"/>
      <c r="K52" s="6"/>
      <c r="L52" s="6"/>
    </row>
    <row r="53" spans="1:14">
      <c r="A53" s="173">
        <f t="shared" si="5"/>
        <v>2021</v>
      </c>
      <c r="B53" s="188">
        <f>B54*(1+$E$42)</f>
        <v>0.97614753714387514</v>
      </c>
      <c r="C53" s="168">
        <f t="shared" si="3"/>
        <v>8.6736609419287292E-2</v>
      </c>
      <c r="D53" s="182">
        <f t="shared" si="4"/>
        <v>1485.0043208466743</v>
      </c>
      <c r="E53" s="6"/>
      <c r="F53" s="6"/>
      <c r="G53" s="6"/>
      <c r="H53" s="6"/>
      <c r="I53" s="6"/>
      <c r="J53" s="6"/>
      <c r="K53" s="6"/>
      <c r="L53" s="6"/>
    </row>
    <row r="54" spans="1:14">
      <c r="A54" s="173">
        <f t="shared" si="5"/>
        <v>2022</v>
      </c>
      <c r="B54" s="188">
        <f>B55*(1+$E$42)</f>
        <v>0.98800179005094679</v>
      </c>
      <c r="C54" s="168">
        <f t="shared" si="3"/>
        <v>8.4931162217011469E-2</v>
      </c>
      <c r="D54" s="182">
        <f t="shared" si="4"/>
        <v>1487.3103305475129</v>
      </c>
      <c r="E54" s="6"/>
      <c r="F54" s="6"/>
      <c r="G54" s="6"/>
      <c r="H54" s="6"/>
      <c r="I54" s="6"/>
      <c r="J54" s="6"/>
      <c r="K54" s="6"/>
      <c r="L54" s="6"/>
    </row>
    <row r="55" spans="1:14">
      <c r="A55" s="180">
        <f t="shared" si="5"/>
        <v>2023</v>
      </c>
      <c r="B55" s="189">
        <v>1</v>
      </c>
      <c r="C55" s="184">
        <f t="shared" si="3"/>
        <v>8.539029837924518E-2</v>
      </c>
      <c r="D55" s="183">
        <f t="shared" si="4"/>
        <v>1496.3744713944068</v>
      </c>
      <c r="E55" s="6"/>
      <c r="F55" s="6"/>
      <c r="G55" s="6"/>
      <c r="H55" s="6"/>
      <c r="I55" s="6"/>
      <c r="J55" s="6"/>
      <c r="K55" s="6"/>
      <c r="L55" s="6"/>
    </row>
    <row r="56" spans="1:14">
      <c r="A56" s="164" t="s">
        <v>404</v>
      </c>
      <c r="B56" s="164"/>
      <c r="C56" s="164"/>
      <c r="D56" s="182"/>
    </row>
    <row r="57" spans="1:14">
      <c r="A57" s="164" t="s">
        <v>405</v>
      </c>
      <c r="B57" s="164"/>
      <c r="C57" s="186">
        <f>AVERAGE(C50:C54)</f>
        <v>8.5698096981524932E-2</v>
      </c>
      <c r="D57" s="182"/>
    </row>
    <row r="58" spans="1:14">
      <c r="A58" s="190" t="s">
        <v>417</v>
      </c>
      <c r="B58" s="164"/>
      <c r="C58" s="186">
        <f>AVERAGE(C50:C52)</f>
        <v>8.5607571090441967E-2</v>
      </c>
      <c r="D58" s="182"/>
      <c r="M58" s="6"/>
      <c r="N58" s="6"/>
    </row>
    <row r="59" spans="1:14">
      <c r="A59" s="164" t="s">
        <v>407</v>
      </c>
      <c r="B59" s="164"/>
      <c r="C59" s="186">
        <f>C57</f>
        <v>8.5698096981524932E-2</v>
      </c>
      <c r="D59" s="182"/>
      <c r="M59" s="6"/>
      <c r="N59" s="6"/>
    </row>
    <row r="60" spans="1:14">
      <c r="A60" s="164" t="s">
        <v>418</v>
      </c>
      <c r="B60" s="164"/>
      <c r="C60" s="191"/>
      <c r="D60" s="164"/>
      <c r="M60" s="6"/>
      <c r="N60" s="6"/>
    </row>
    <row r="62" spans="1:14">
      <c r="A62" s="8" t="s">
        <v>78</v>
      </c>
      <c r="B62" s="8"/>
      <c r="C62" s="8"/>
      <c r="D62" s="8"/>
      <c r="E62" s="8"/>
      <c r="F62" s="8"/>
      <c r="G62" s="8"/>
      <c r="H62" s="8"/>
      <c r="I62" s="8"/>
      <c r="J62" s="8"/>
      <c r="K62" s="8"/>
      <c r="L62" s="8"/>
    </row>
    <row r="63" spans="1:14">
      <c r="A63" s="8"/>
      <c r="B63" s="8"/>
      <c r="C63" s="8"/>
      <c r="D63" s="8"/>
      <c r="E63" s="8"/>
      <c r="F63" s="8"/>
      <c r="G63" s="8"/>
      <c r="H63" s="8"/>
      <c r="I63" s="8"/>
      <c r="J63" s="8"/>
      <c r="K63" s="8"/>
      <c r="L63" s="8"/>
    </row>
    <row r="64" spans="1:14" ht="31.2" customHeight="1">
      <c r="A64" s="8"/>
      <c r="B64" s="125" t="s">
        <v>72</v>
      </c>
      <c r="C64" s="125" t="s">
        <v>192</v>
      </c>
      <c r="D64" s="125"/>
      <c r="E64" s="8"/>
      <c r="F64" s="8"/>
      <c r="G64" s="8"/>
      <c r="H64" s="8"/>
      <c r="I64" s="8"/>
      <c r="J64" s="8"/>
      <c r="K64" s="8"/>
      <c r="L64" s="8"/>
    </row>
    <row r="65" spans="1:12" ht="31.2" customHeight="1">
      <c r="A65" s="8"/>
      <c r="B65" s="125"/>
      <c r="C65" s="24" t="s">
        <v>193</v>
      </c>
      <c r="D65" s="24" t="s">
        <v>194</v>
      </c>
      <c r="E65" s="8"/>
      <c r="F65" s="8"/>
      <c r="G65" s="8"/>
      <c r="H65" s="8"/>
      <c r="I65" s="8"/>
      <c r="J65" s="8"/>
      <c r="K65" s="8"/>
      <c r="L65" s="8"/>
    </row>
    <row r="66" spans="1:12">
      <c r="A66" s="8"/>
      <c r="B66" s="25">
        <v>2018</v>
      </c>
      <c r="C66" s="26">
        <v>4390</v>
      </c>
      <c r="D66" s="26">
        <v>4719</v>
      </c>
      <c r="E66" s="8"/>
      <c r="F66" s="8"/>
      <c r="G66" s="8"/>
      <c r="H66" s="8"/>
      <c r="I66" s="8"/>
      <c r="J66" s="8"/>
      <c r="K66" s="8"/>
      <c r="L66" s="8"/>
    </row>
    <row r="67" spans="1:12">
      <c r="A67" s="8"/>
      <c r="B67" s="25">
        <v>2019</v>
      </c>
      <c r="C67" s="26">
        <v>4602</v>
      </c>
      <c r="D67" s="26">
        <v>5342</v>
      </c>
      <c r="E67" s="8"/>
      <c r="F67" s="8"/>
      <c r="G67" s="8"/>
      <c r="H67" s="8"/>
      <c r="I67" s="8"/>
      <c r="J67" s="8"/>
      <c r="K67" s="8"/>
      <c r="L67" s="8"/>
    </row>
    <row r="68" spans="1:12">
      <c r="A68" s="8"/>
      <c r="B68" s="25">
        <v>2020</v>
      </c>
      <c r="C68" s="26">
        <v>4789</v>
      </c>
      <c r="D68" s="26">
        <v>5618</v>
      </c>
      <c r="E68" s="8"/>
      <c r="F68" s="8"/>
      <c r="G68" s="8"/>
      <c r="H68" s="8"/>
      <c r="I68" s="8"/>
      <c r="J68" s="8"/>
      <c r="K68" s="8"/>
      <c r="L68" s="8"/>
    </row>
    <row r="69" spans="1:12">
      <c r="A69" s="8"/>
      <c r="B69" s="25">
        <v>2021</v>
      </c>
      <c r="C69" s="26">
        <v>5085</v>
      </c>
      <c r="D69" s="26">
        <v>5857</v>
      </c>
      <c r="E69" s="8"/>
      <c r="F69" s="8"/>
      <c r="G69" s="8"/>
      <c r="H69" s="8"/>
      <c r="I69" s="8"/>
      <c r="J69" s="8"/>
      <c r="K69" s="8"/>
      <c r="L69" s="8"/>
    </row>
    <row r="70" spans="1:12">
      <c r="A70" s="8"/>
      <c r="B70" s="25">
        <v>2022</v>
      </c>
      <c r="C70" s="26">
        <v>5196</v>
      </c>
      <c r="D70" s="26">
        <v>5923</v>
      </c>
      <c r="E70" s="8"/>
      <c r="F70" s="8"/>
      <c r="G70" s="8"/>
      <c r="H70" s="8"/>
      <c r="I70" s="8"/>
      <c r="J70" s="8"/>
      <c r="K70" s="8"/>
      <c r="L70" s="8"/>
    </row>
    <row r="71" spans="1:12">
      <c r="A71" s="8"/>
      <c r="B71" s="25">
        <v>2023</v>
      </c>
      <c r="C71" s="26">
        <v>5456</v>
      </c>
      <c r="D71" s="26">
        <v>6168</v>
      </c>
      <c r="E71" s="8"/>
      <c r="F71" s="8"/>
      <c r="G71" s="8"/>
      <c r="H71" s="8"/>
      <c r="I71" s="8"/>
      <c r="J71" s="8"/>
      <c r="K71" s="8"/>
      <c r="L71" s="8"/>
    </row>
    <row r="72" spans="1:12">
      <c r="A72" s="8"/>
      <c r="B72" s="8"/>
      <c r="C72" s="8"/>
      <c r="D72" s="8"/>
      <c r="E72" s="8"/>
      <c r="F72" s="8"/>
      <c r="G72" s="8"/>
      <c r="H72" s="8"/>
      <c r="I72" s="8"/>
      <c r="J72" s="8"/>
      <c r="K72" s="8"/>
      <c r="L72" s="8"/>
    </row>
    <row r="73" spans="1:12">
      <c r="A73" s="32"/>
      <c r="B73" s="32" t="s">
        <v>180</v>
      </c>
      <c r="C73" s="3"/>
      <c r="D73" s="3"/>
      <c r="E73" s="3"/>
      <c r="F73" s="3"/>
      <c r="G73" s="4"/>
      <c r="H73" s="4"/>
      <c r="I73" s="4"/>
      <c r="J73" s="4"/>
      <c r="K73" s="4"/>
      <c r="L73" s="4"/>
    </row>
    <row r="75" spans="1:12">
      <c r="A75" s="5" t="s">
        <v>2</v>
      </c>
      <c r="B75" s="8" t="s">
        <v>181</v>
      </c>
      <c r="C75" s="4"/>
      <c r="D75" s="4"/>
      <c r="E75" s="4"/>
      <c r="F75" s="4"/>
      <c r="G75" s="4"/>
      <c r="H75" s="4"/>
      <c r="I75" s="4"/>
      <c r="J75" s="4"/>
      <c r="K75" s="4"/>
      <c r="L75" s="4"/>
    </row>
    <row r="76" spans="1:12">
      <c r="A76" s="6"/>
      <c r="B76" s="6"/>
      <c r="C76" s="6"/>
      <c r="D76" s="6"/>
      <c r="E76" s="6"/>
      <c r="F76" s="6"/>
      <c r="G76" s="6"/>
      <c r="H76" s="6"/>
      <c r="I76" s="6"/>
      <c r="J76" s="6"/>
      <c r="K76" s="6"/>
      <c r="L76" s="6"/>
    </row>
    <row r="77" spans="1:12">
      <c r="A77" s="6" t="s">
        <v>1</v>
      </c>
      <c r="B77" s="6"/>
      <c r="C77" s="6"/>
      <c r="D77" s="6"/>
      <c r="E77" s="6"/>
      <c r="F77" s="6"/>
      <c r="G77" s="6"/>
      <c r="H77" s="6"/>
      <c r="I77" s="6"/>
      <c r="J77" s="6"/>
      <c r="K77" s="6"/>
      <c r="L77" s="6"/>
    </row>
    <row r="78" spans="1:12">
      <c r="A78" s="6"/>
      <c r="B78" s="6"/>
      <c r="C78" s="6"/>
      <c r="D78" s="6"/>
      <c r="E78" s="6"/>
      <c r="F78" s="6"/>
      <c r="G78" s="6"/>
      <c r="H78" s="6"/>
      <c r="I78" s="6"/>
      <c r="J78" s="6"/>
      <c r="K78" s="6"/>
      <c r="L78" s="6"/>
    </row>
    <row r="79" spans="1:12">
      <c r="A79" s="6" t="s">
        <v>419</v>
      </c>
      <c r="B79" s="6"/>
      <c r="C79" s="6"/>
      <c r="D79" s="6"/>
      <c r="E79" s="6"/>
      <c r="F79" s="6"/>
      <c r="G79" s="6"/>
      <c r="H79" s="6"/>
      <c r="I79" s="6"/>
      <c r="J79" s="6"/>
      <c r="K79" s="6"/>
      <c r="L79" s="6"/>
    </row>
    <row r="80" spans="1:12">
      <c r="A80" s="6" t="s">
        <v>420</v>
      </c>
      <c r="B80" s="6"/>
      <c r="C80" s="6"/>
      <c r="D80" s="6"/>
      <c r="E80" s="6"/>
      <c r="F80" s="6"/>
      <c r="G80" s="6"/>
      <c r="H80" s="6"/>
      <c r="I80" s="6"/>
      <c r="J80" s="6"/>
      <c r="K80" s="6"/>
      <c r="L80" s="6"/>
    </row>
    <row r="83" spans="1:12">
      <c r="A83" s="5" t="s">
        <v>3</v>
      </c>
      <c r="B83" s="8" t="s">
        <v>182</v>
      </c>
      <c r="C83" s="4"/>
      <c r="D83" s="4"/>
      <c r="E83" s="4"/>
      <c r="F83" s="4"/>
      <c r="G83" s="4"/>
      <c r="H83" s="4"/>
      <c r="I83" s="4"/>
      <c r="J83" s="4"/>
      <c r="K83" s="4"/>
      <c r="L83" s="4"/>
    </row>
    <row r="84" spans="1:12">
      <c r="A84" s="6"/>
      <c r="B84" s="6"/>
      <c r="C84" s="6"/>
      <c r="D84" s="6"/>
      <c r="E84" s="6"/>
      <c r="F84" s="6"/>
      <c r="G84" s="6"/>
      <c r="H84" s="6"/>
      <c r="I84" s="6"/>
      <c r="J84" s="6"/>
      <c r="K84" s="6"/>
      <c r="L84" s="6"/>
    </row>
    <row r="85" spans="1:12">
      <c r="A85" s="6" t="s">
        <v>1</v>
      </c>
      <c r="B85" s="6"/>
      <c r="C85" s="6"/>
      <c r="D85" s="6"/>
      <c r="E85" s="6"/>
      <c r="F85" s="6"/>
      <c r="G85" s="6"/>
      <c r="H85" s="6"/>
      <c r="I85" s="6"/>
      <c r="J85" s="6"/>
      <c r="K85" s="6"/>
      <c r="L85" s="6"/>
    </row>
    <row r="86" spans="1:12">
      <c r="A86" s="6"/>
      <c r="B86" s="6"/>
      <c r="C86" s="6"/>
      <c r="D86" s="6"/>
      <c r="E86" s="6"/>
      <c r="F86" s="6"/>
      <c r="G86" s="6"/>
      <c r="H86" s="6"/>
      <c r="I86" s="6"/>
      <c r="J86" s="6"/>
      <c r="K86" s="6"/>
      <c r="L86" s="6"/>
    </row>
    <row r="87" spans="1:12">
      <c r="A87" s="164" t="s">
        <v>413</v>
      </c>
      <c r="B87" s="164"/>
      <c r="C87" s="192">
        <v>0.05</v>
      </c>
      <c r="E87" s="191"/>
      <c r="F87" s="6"/>
      <c r="G87" s="6"/>
      <c r="H87" s="6"/>
      <c r="I87" s="6"/>
      <c r="J87" s="6"/>
      <c r="K87" s="6"/>
      <c r="L87" s="6"/>
    </row>
    <row r="88" spans="1:12">
      <c r="A88" s="193"/>
      <c r="B88" s="191"/>
      <c r="C88" s="164"/>
      <c r="D88" s="164"/>
      <c r="E88" s="164"/>
    </row>
    <row r="89" spans="1:12" ht="46.8">
      <c r="A89" s="180" t="s">
        <v>72</v>
      </c>
      <c r="B89" s="137" t="s">
        <v>412</v>
      </c>
      <c r="C89" s="137" t="s">
        <v>408</v>
      </c>
      <c r="D89" s="137" t="s">
        <v>409</v>
      </c>
      <c r="E89" s="137" t="s">
        <v>410</v>
      </c>
    </row>
    <row r="90" spans="1:12">
      <c r="A90" s="173">
        <f>$B$20</f>
        <v>2018</v>
      </c>
      <c r="B90" s="188">
        <f>B91*(1+$C$87)</f>
        <v>1.2762815625000004</v>
      </c>
      <c r="C90" s="194">
        <f>B90*D66</f>
        <v>6022.7726934375014</v>
      </c>
      <c r="D90" s="194">
        <f t="shared" ref="D90:D95" si="6">$C$99/B90</f>
        <v>4966.9348460775082</v>
      </c>
      <c r="E90" s="182">
        <f>D90*D50</f>
        <v>7438121.8118121084</v>
      </c>
    </row>
    <row r="91" spans="1:12">
      <c r="A91" s="173">
        <f>A90+1</f>
        <v>2019</v>
      </c>
      <c r="B91" s="188">
        <f>B92*(1+$C$87)</f>
        <v>1.2155062500000002</v>
      </c>
      <c r="C91" s="194">
        <f>B91*D67</f>
        <v>6493.2343875000015</v>
      </c>
      <c r="D91" s="194">
        <f t="shared" si="6"/>
        <v>5215.2815883813846</v>
      </c>
      <c r="E91" s="182">
        <f>D91*D51</f>
        <v>7766040.7190407868</v>
      </c>
    </row>
    <row r="92" spans="1:12">
      <c r="A92" s="173">
        <f t="shared" ref="A92:A95" si="7">A91+1</f>
        <v>2020</v>
      </c>
      <c r="B92" s="188">
        <f>B93*(1+$C$87)</f>
        <v>1.1576250000000001</v>
      </c>
      <c r="C92" s="194">
        <f>B92*D68</f>
        <v>6503.5372500000003</v>
      </c>
      <c r="D92" s="194">
        <f t="shared" si="6"/>
        <v>5476.0456678004539</v>
      </c>
      <c r="E92" s="182">
        <f>D92*D52</f>
        <v>8182045.997911877</v>
      </c>
    </row>
    <row r="93" spans="1:12">
      <c r="A93" s="173">
        <f t="shared" si="7"/>
        <v>2021</v>
      </c>
      <c r="B93" s="188">
        <f>B94*(1+$C$87)</f>
        <v>1.1025</v>
      </c>
      <c r="C93" s="194">
        <f>B93*D69</f>
        <v>6457.3425000000007</v>
      </c>
      <c r="D93" s="194">
        <f t="shared" si="6"/>
        <v>5749.847951190477</v>
      </c>
      <c r="E93" s="182">
        <f>D93*D53</f>
        <v>8538549.0517292563</v>
      </c>
    </row>
    <row r="94" spans="1:12">
      <c r="A94" s="173">
        <f t="shared" si="7"/>
        <v>2022</v>
      </c>
      <c r="B94" s="188">
        <f>B95*(1+$C$87)</f>
        <v>1.05</v>
      </c>
      <c r="C94" s="194">
        <f>B94*D70</f>
        <v>6219.1500000000005</v>
      </c>
      <c r="D94" s="194">
        <f t="shared" si="6"/>
        <v>6037.3403487500009</v>
      </c>
      <c r="E94" s="182">
        <f>D94*D54</f>
        <v>8979398.6697272006</v>
      </c>
    </row>
    <row r="95" spans="1:12">
      <c r="A95" s="180">
        <f t="shared" si="7"/>
        <v>2023</v>
      </c>
      <c r="B95" s="189">
        <v>1</v>
      </c>
      <c r="C95" s="195">
        <f>B95*D71</f>
        <v>6168</v>
      </c>
      <c r="D95" s="195">
        <f t="shared" si="6"/>
        <v>6339.2073661875011</v>
      </c>
      <c r="E95" s="183">
        <f>D95*D55</f>
        <v>9485828.0716383513</v>
      </c>
    </row>
    <row r="96" spans="1:12">
      <c r="A96" s="164" t="s">
        <v>411</v>
      </c>
      <c r="B96" s="164"/>
      <c r="C96" s="164"/>
      <c r="D96" s="164"/>
      <c r="E96" s="182"/>
    </row>
    <row r="97" spans="1:5">
      <c r="A97" s="164" t="s">
        <v>405</v>
      </c>
      <c r="B97" s="164"/>
      <c r="C97" s="194">
        <f>AVERAGE(C90:C94)</f>
        <v>6339.2073661875011</v>
      </c>
      <c r="D97" s="164"/>
      <c r="E97" s="182"/>
    </row>
    <row r="98" spans="1:5">
      <c r="A98" s="190" t="s">
        <v>406</v>
      </c>
      <c r="B98" s="164"/>
      <c r="C98" s="194">
        <f>AVERAGE(C91,C93,C94)</f>
        <v>6389.9089625000015</v>
      </c>
      <c r="D98" s="164"/>
      <c r="E98" s="182"/>
    </row>
    <row r="99" spans="1:5">
      <c r="A99" s="164" t="s">
        <v>414</v>
      </c>
      <c r="B99" s="164"/>
      <c r="C99" s="194">
        <f>C97</f>
        <v>6339.2073661875011</v>
      </c>
      <c r="D99" s="164"/>
      <c r="E99" s="182"/>
    </row>
    <row r="100" spans="1:5">
      <c r="A100" s="164" t="s">
        <v>421</v>
      </c>
      <c r="B100" s="164"/>
      <c r="C100" s="191"/>
      <c r="D100" s="164"/>
      <c r="E100" s="182"/>
    </row>
  </sheetData>
  <mergeCells count="6">
    <mergeCell ref="B18:B19"/>
    <mergeCell ref="C18:C19"/>
    <mergeCell ref="D18:E18"/>
    <mergeCell ref="B45:L46"/>
    <mergeCell ref="B64:B65"/>
    <mergeCell ref="C64:D64"/>
  </mergeCells>
  <pageMargins left="0.7" right="0.7" top="0.75" bottom="0.75" header="0.3" footer="0.3"/>
  <pageSetup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8182F-E977-4B63-8B04-E922AD5C34A0}">
  <dimension ref="A1:R120"/>
  <sheetViews>
    <sheetView zoomScaleNormal="100" workbookViewId="0"/>
  </sheetViews>
  <sheetFormatPr defaultRowHeight="15.6"/>
  <cols>
    <col min="1" max="1" width="12.21875" style="1" customWidth="1"/>
    <col min="2" max="8" width="12.77734375" style="1" customWidth="1"/>
    <col min="9" max="16384" width="8.88671875" style="1"/>
  </cols>
  <sheetData>
    <row r="1" spans="1:12" ht="17.399999999999999">
      <c r="A1" s="2" t="s">
        <v>183</v>
      </c>
      <c r="B1" s="4"/>
      <c r="C1" s="8" t="s">
        <v>10</v>
      </c>
      <c r="D1" s="4"/>
      <c r="E1" s="4"/>
      <c r="F1" s="4"/>
      <c r="G1" s="4"/>
      <c r="H1" s="4"/>
      <c r="I1" s="4"/>
      <c r="J1" s="4"/>
      <c r="K1" s="4"/>
      <c r="L1" s="3"/>
    </row>
    <row r="2" spans="1:12">
      <c r="A2" s="4"/>
      <c r="B2" s="4"/>
      <c r="C2" s="4"/>
      <c r="D2" s="4"/>
      <c r="E2" s="4"/>
      <c r="F2" s="4"/>
      <c r="G2" s="4"/>
      <c r="H2" s="4"/>
      <c r="I2" s="4"/>
      <c r="J2" s="4"/>
      <c r="K2" s="4"/>
      <c r="L2" s="3"/>
    </row>
    <row r="3" spans="1:12">
      <c r="A3" s="8" t="s">
        <v>184</v>
      </c>
      <c r="B3" s="4"/>
      <c r="C3" s="4"/>
      <c r="D3" s="4"/>
      <c r="E3" s="4"/>
      <c r="F3" s="4"/>
      <c r="G3" s="4"/>
      <c r="H3" s="4"/>
      <c r="I3" s="4"/>
      <c r="J3" s="4"/>
      <c r="K3" s="4"/>
      <c r="L3" s="3"/>
    </row>
    <row r="4" spans="1:12">
      <c r="A4" s="9"/>
      <c r="B4" s="4"/>
      <c r="C4" s="4"/>
      <c r="D4" s="4"/>
      <c r="E4" s="4"/>
      <c r="F4" s="4"/>
      <c r="G4" s="4"/>
      <c r="H4" s="8"/>
      <c r="I4" s="8"/>
      <c r="J4" s="8"/>
      <c r="K4" s="8"/>
      <c r="L4" s="8"/>
    </row>
    <row r="5" spans="1:12">
      <c r="A5" s="9"/>
      <c r="B5" s="113" t="s">
        <v>72</v>
      </c>
      <c r="C5" s="114" t="s">
        <v>185</v>
      </c>
      <c r="D5" s="114"/>
      <c r="E5" s="114"/>
      <c r="F5" s="114"/>
      <c r="G5" s="114"/>
      <c r="H5" s="114"/>
      <c r="I5" s="8"/>
      <c r="J5" s="8"/>
      <c r="K5" s="8"/>
      <c r="L5" s="8"/>
    </row>
    <row r="6" spans="1:12">
      <c r="A6" s="9"/>
      <c r="B6" s="113"/>
      <c r="C6" s="30">
        <v>12</v>
      </c>
      <c r="D6" s="30">
        <v>24</v>
      </c>
      <c r="E6" s="30">
        <v>36</v>
      </c>
      <c r="F6" s="30">
        <v>48</v>
      </c>
      <c r="G6" s="30">
        <v>60</v>
      </c>
      <c r="H6" s="30">
        <v>72</v>
      </c>
      <c r="I6" s="8"/>
      <c r="J6" s="8"/>
      <c r="K6" s="8"/>
      <c r="L6" s="8"/>
    </row>
    <row r="7" spans="1:12">
      <c r="A7" s="9"/>
      <c r="B7" s="25">
        <v>2015</v>
      </c>
      <c r="C7" s="26">
        <v>2073186</v>
      </c>
      <c r="D7" s="26">
        <v>2977355</v>
      </c>
      <c r="E7" s="26">
        <v>3689430</v>
      </c>
      <c r="F7" s="26">
        <v>4344924</v>
      </c>
      <c r="G7" s="26">
        <v>4635919</v>
      </c>
      <c r="H7" s="26">
        <v>4691541</v>
      </c>
      <c r="I7" s="8"/>
      <c r="J7" s="8"/>
      <c r="K7" s="8"/>
      <c r="L7" s="8"/>
    </row>
    <row r="8" spans="1:12">
      <c r="A8" s="9"/>
      <c r="B8" s="25">
        <v>2016</v>
      </c>
      <c r="C8" s="26">
        <v>2214894</v>
      </c>
      <c r="D8" s="26">
        <v>3167365</v>
      </c>
      <c r="E8" s="26">
        <v>4021756</v>
      </c>
      <c r="F8" s="26">
        <v>4613081</v>
      </c>
      <c r="G8" s="26">
        <v>4945867</v>
      </c>
      <c r="H8" s="26">
        <v>5014244</v>
      </c>
      <c r="I8" s="8"/>
      <c r="J8" s="8"/>
      <c r="K8" s="8"/>
      <c r="L8" s="8"/>
    </row>
    <row r="9" spans="1:12">
      <c r="A9" s="4"/>
      <c r="B9" s="25">
        <v>2017</v>
      </c>
      <c r="C9" s="26">
        <v>2339966</v>
      </c>
      <c r="D9" s="26">
        <v>3357699</v>
      </c>
      <c r="E9" s="26">
        <v>4299159</v>
      </c>
      <c r="F9" s="26">
        <v>4992272</v>
      </c>
      <c r="G9" s="26">
        <v>5303741</v>
      </c>
      <c r="H9" s="26">
        <v>5364852</v>
      </c>
      <c r="I9" s="8"/>
      <c r="J9" s="8"/>
      <c r="K9" s="8"/>
      <c r="L9" s="8"/>
    </row>
    <row r="10" spans="1:12">
      <c r="A10" s="4"/>
      <c r="B10" s="25">
        <v>2018</v>
      </c>
      <c r="C10" s="26">
        <v>2442143</v>
      </c>
      <c r="D10" s="26">
        <v>3577869</v>
      </c>
      <c r="E10" s="26">
        <v>4576972</v>
      </c>
      <c r="F10" s="26">
        <v>5228180</v>
      </c>
      <c r="G10" s="26">
        <v>5653369</v>
      </c>
      <c r="H10" s="26">
        <v>5760949</v>
      </c>
      <c r="I10" s="8"/>
      <c r="J10" s="8"/>
      <c r="K10" s="8"/>
      <c r="L10" s="8"/>
    </row>
    <row r="11" spans="1:12">
      <c r="A11" s="9"/>
      <c r="B11" s="25">
        <v>2019</v>
      </c>
      <c r="C11" s="26">
        <v>2592402</v>
      </c>
      <c r="D11" s="26">
        <v>3757301</v>
      </c>
      <c r="E11" s="26">
        <v>4853532</v>
      </c>
      <c r="F11" s="26">
        <v>5625219</v>
      </c>
      <c r="G11" s="26">
        <v>6054505</v>
      </c>
      <c r="H11" s="25"/>
      <c r="I11" s="8"/>
      <c r="J11" s="8"/>
      <c r="K11" s="8"/>
      <c r="L11" s="8"/>
    </row>
    <row r="12" spans="1:12">
      <c r="A12" s="4"/>
      <c r="B12" s="25">
        <v>2020</v>
      </c>
      <c r="C12" s="26">
        <v>2817613</v>
      </c>
      <c r="D12" s="26">
        <v>4182588</v>
      </c>
      <c r="E12" s="26">
        <v>5212351</v>
      </c>
      <c r="F12" s="26">
        <v>6024272</v>
      </c>
      <c r="G12" s="25"/>
      <c r="H12" s="25"/>
      <c r="I12" s="8"/>
      <c r="J12" s="8"/>
      <c r="K12" s="8"/>
      <c r="L12" s="8"/>
    </row>
    <row r="13" spans="1:12">
      <c r="A13" s="4"/>
      <c r="B13" s="25">
        <v>2021</v>
      </c>
      <c r="C13" s="26">
        <v>3075951</v>
      </c>
      <c r="D13" s="26">
        <v>4425866</v>
      </c>
      <c r="E13" s="26">
        <v>5613235</v>
      </c>
      <c r="F13" s="25"/>
      <c r="G13" s="25"/>
      <c r="H13" s="25"/>
      <c r="I13" s="8"/>
      <c r="J13" s="8"/>
      <c r="K13" s="8"/>
      <c r="L13" s="8"/>
    </row>
    <row r="14" spans="1:12">
      <c r="A14" s="4"/>
      <c r="B14" s="25">
        <v>2022</v>
      </c>
      <c r="C14" s="26">
        <v>3232412</v>
      </c>
      <c r="D14" s="26">
        <v>4682692</v>
      </c>
      <c r="E14" s="25"/>
      <c r="F14" s="25"/>
      <c r="G14" s="25"/>
      <c r="H14" s="25"/>
      <c r="I14" s="8"/>
      <c r="J14" s="8"/>
      <c r="K14" s="8"/>
      <c r="L14" s="8"/>
    </row>
    <row r="15" spans="1:12">
      <c r="A15" s="4"/>
      <c r="B15" s="25">
        <v>2023</v>
      </c>
      <c r="C15" s="26">
        <v>3554432</v>
      </c>
      <c r="D15" s="25"/>
      <c r="E15" s="25"/>
      <c r="F15" s="25"/>
      <c r="G15" s="25"/>
      <c r="H15" s="25"/>
      <c r="I15" s="8"/>
      <c r="J15" s="8"/>
      <c r="K15" s="8"/>
      <c r="L15" s="8"/>
    </row>
    <row r="16" spans="1:12">
      <c r="A16" s="4"/>
      <c r="B16" s="8"/>
      <c r="C16" s="8"/>
      <c r="D16" s="8"/>
      <c r="E16" s="8"/>
      <c r="F16" s="8"/>
      <c r="G16" s="8"/>
      <c r="H16" s="8"/>
      <c r="I16" s="8"/>
      <c r="J16" s="8"/>
      <c r="K16" s="8"/>
      <c r="L16" s="8"/>
    </row>
    <row r="17" spans="1:12">
      <c r="A17" s="4"/>
      <c r="B17" s="113" t="s">
        <v>72</v>
      </c>
      <c r="C17" s="114" t="s">
        <v>186</v>
      </c>
      <c r="D17" s="114"/>
      <c r="E17" s="114"/>
      <c r="F17" s="114"/>
      <c r="G17" s="114"/>
      <c r="H17" s="114"/>
      <c r="I17" s="8"/>
      <c r="J17" s="8"/>
      <c r="K17" s="8"/>
      <c r="L17" s="8"/>
    </row>
    <row r="18" spans="1:12">
      <c r="A18" s="4"/>
      <c r="B18" s="113"/>
      <c r="C18" s="30">
        <v>12</v>
      </c>
      <c r="D18" s="30">
        <v>24</v>
      </c>
      <c r="E18" s="30">
        <v>36</v>
      </c>
      <c r="F18" s="30">
        <v>48</v>
      </c>
      <c r="G18" s="30">
        <v>60</v>
      </c>
      <c r="H18" s="30">
        <v>72</v>
      </c>
      <c r="I18" s="8"/>
      <c r="J18" s="8"/>
      <c r="K18" s="8"/>
      <c r="L18" s="8"/>
    </row>
    <row r="19" spans="1:12">
      <c r="A19" s="4"/>
      <c r="B19" s="25">
        <v>2015</v>
      </c>
      <c r="C19" s="26">
        <v>1286342</v>
      </c>
      <c r="D19" s="26">
        <v>2412544</v>
      </c>
      <c r="E19" s="26">
        <v>3380499</v>
      </c>
      <c r="F19" s="26">
        <v>4184900</v>
      </c>
      <c r="G19" s="26">
        <v>4587477</v>
      </c>
      <c r="H19" s="26">
        <v>4691541</v>
      </c>
      <c r="I19" s="8"/>
      <c r="J19" s="8"/>
      <c r="K19" s="8"/>
      <c r="L19" s="8"/>
    </row>
    <row r="20" spans="1:12">
      <c r="A20" s="4"/>
      <c r="B20" s="25">
        <v>2016</v>
      </c>
      <c r="C20" s="26">
        <v>1419281</v>
      </c>
      <c r="D20" s="26">
        <v>2553776</v>
      </c>
      <c r="E20" s="26">
        <v>3692376</v>
      </c>
      <c r="F20" s="26">
        <v>4472461</v>
      </c>
      <c r="G20" s="26">
        <v>4899904</v>
      </c>
      <c r="H20" s="26">
        <v>5014244</v>
      </c>
      <c r="I20" s="8"/>
      <c r="J20" s="8"/>
      <c r="K20" s="8"/>
      <c r="L20" s="8"/>
    </row>
    <row r="21" spans="1:12">
      <c r="A21" s="4"/>
      <c r="B21" s="25">
        <v>2017</v>
      </c>
      <c r="C21" s="26">
        <v>1474216</v>
      </c>
      <c r="D21" s="26">
        <v>2703709</v>
      </c>
      <c r="E21" s="26">
        <v>3940993</v>
      </c>
      <c r="F21" s="26">
        <v>4833876</v>
      </c>
      <c r="G21" s="26">
        <v>5248486</v>
      </c>
      <c r="H21" s="26">
        <v>5364852</v>
      </c>
      <c r="I21" s="8"/>
      <c r="J21" s="8"/>
      <c r="K21" s="8"/>
      <c r="L21" s="8"/>
    </row>
    <row r="22" spans="1:12">
      <c r="A22" s="4"/>
      <c r="B22" s="25">
        <v>2018</v>
      </c>
      <c r="C22" s="26">
        <v>1470542</v>
      </c>
      <c r="D22" s="26">
        <v>2889545</v>
      </c>
      <c r="E22" s="26">
        <v>4189625</v>
      </c>
      <c r="F22" s="26">
        <v>5064468</v>
      </c>
      <c r="G22" s="26">
        <v>5604641</v>
      </c>
      <c r="H22" s="26">
        <v>5760949</v>
      </c>
      <c r="I22" s="8"/>
      <c r="J22" s="8"/>
      <c r="K22" s="8"/>
      <c r="L22" s="8"/>
    </row>
    <row r="23" spans="1:12">
      <c r="A23" s="4"/>
      <c r="B23" s="25">
        <v>2019</v>
      </c>
      <c r="C23" s="26">
        <v>1607264</v>
      </c>
      <c r="D23" s="26">
        <v>2999878</v>
      </c>
      <c r="E23" s="26">
        <v>4445019</v>
      </c>
      <c r="F23" s="26">
        <v>5419708</v>
      </c>
      <c r="G23" s="26">
        <v>5967598</v>
      </c>
      <c r="H23" s="25"/>
      <c r="I23" s="8"/>
      <c r="J23" s="8"/>
      <c r="K23" s="8"/>
      <c r="L23" s="8"/>
    </row>
    <row r="24" spans="1:12">
      <c r="A24" s="4"/>
      <c r="B24" s="25">
        <v>2020</v>
      </c>
      <c r="C24" s="26">
        <v>1747620</v>
      </c>
      <c r="D24" s="26">
        <v>3387292</v>
      </c>
      <c r="E24" s="26">
        <v>4766703</v>
      </c>
      <c r="F24" s="26">
        <v>5724228</v>
      </c>
      <c r="G24" s="25"/>
      <c r="H24" s="25"/>
      <c r="I24" s="8"/>
      <c r="J24" s="8"/>
      <c r="K24" s="8"/>
      <c r="L24" s="8"/>
    </row>
    <row r="25" spans="1:12">
      <c r="A25" s="4"/>
      <c r="B25" s="25">
        <v>2021</v>
      </c>
      <c r="C25" s="26">
        <v>1964983</v>
      </c>
      <c r="D25" s="26">
        <v>3552637</v>
      </c>
      <c r="E25" s="26">
        <v>5155384</v>
      </c>
      <c r="F25" s="25"/>
      <c r="G25" s="25"/>
      <c r="H25" s="25"/>
      <c r="I25" s="8"/>
      <c r="J25" s="8"/>
      <c r="K25" s="8"/>
      <c r="L25" s="8"/>
    </row>
    <row r="26" spans="1:12">
      <c r="A26" s="4"/>
      <c r="B26" s="25">
        <v>2022</v>
      </c>
      <c r="C26" s="26">
        <v>1980306</v>
      </c>
      <c r="D26" s="26">
        <v>3785833</v>
      </c>
      <c r="E26" s="25"/>
      <c r="F26" s="25"/>
      <c r="G26" s="25"/>
      <c r="H26" s="25"/>
      <c r="I26" s="8"/>
      <c r="J26" s="8"/>
      <c r="K26" s="8"/>
      <c r="L26" s="8"/>
    </row>
    <row r="27" spans="1:12">
      <c r="A27" s="4"/>
      <c r="B27" s="25">
        <v>2023</v>
      </c>
      <c r="C27" s="26">
        <v>2247631</v>
      </c>
      <c r="D27" s="25"/>
      <c r="E27" s="25"/>
      <c r="F27" s="25"/>
      <c r="G27" s="25"/>
      <c r="H27" s="25"/>
      <c r="I27" s="8"/>
      <c r="J27" s="8"/>
      <c r="K27" s="8"/>
      <c r="L27" s="8"/>
    </row>
    <row r="28" spans="1:12">
      <c r="A28" s="4"/>
      <c r="B28" s="4"/>
      <c r="C28" s="4"/>
      <c r="D28" s="4"/>
      <c r="E28" s="4"/>
      <c r="F28" s="4"/>
      <c r="G28" s="4"/>
      <c r="H28" s="8"/>
      <c r="I28" s="8"/>
      <c r="J28" s="8"/>
      <c r="K28" s="8"/>
      <c r="L28" s="8"/>
    </row>
    <row r="29" spans="1:12">
      <c r="A29" s="4"/>
      <c r="B29" s="27" t="s">
        <v>187</v>
      </c>
      <c r="C29" s="4"/>
      <c r="D29" s="4"/>
      <c r="E29" s="4"/>
      <c r="F29" s="4"/>
      <c r="G29" s="4"/>
      <c r="H29" s="8"/>
      <c r="I29" s="8"/>
      <c r="J29" s="8"/>
      <c r="K29" s="8"/>
      <c r="L29" s="8"/>
    </row>
    <row r="30" spans="1:12">
      <c r="A30" s="4"/>
      <c r="B30" s="4"/>
      <c r="C30" s="4"/>
      <c r="D30" s="4"/>
      <c r="E30" s="4"/>
      <c r="F30" s="4"/>
      <c r="G30" s="4"/>
      <c r="H30" s="8"/>
      <c r="I30" s="8"/>
      <c r="J30" s="8"/>
      <c r="K30" s="8"/>
      <c r="L30" s="8"/>
    </row>
    <row r="31" spans="1:12">
      <c r="A31" s="118" t="s">
        <v>206</v>
      </c>
      <c r="B31" s="118"/>
      <c r="C31" s="118"/>
      <c r="D31" s="118"/>
      <c r="E31" s="118"/>
      <c r="F31" s="118"/>
      <c r="G31" s="118"/>
      <c r="H31" s="118"/>
      <c r="I31" s="118"/>
      <c r="J31" s="118"/>
      <c r="K31" s="118"/>
      <c r="L31" s="118"/>
    </row>
    <row r="32" spans="1:12">
      <c r="A32" s="118"/>
      <c r="B32" s="118"/>
      <c r="C32" s="118"/>
      <c r="D32" s="118"/>
      <c r="E32" s="118"/>
      <c r="F32" s="118"/>
      <c r="G32" s="118"/>
      <c r="H32" s="118"/>
      <c r="I32" s="118"/>
      <c r="J32" s="118"/>
      <c r="K32" s="118"/>
      <c r="L32" s="118"/>
    </row>
    <row r="33" spans="1:18">
      <c r="A33" s="8"/>
      <c r="B33" s="8"/>
      <c r="C33" s="8"/>
      <c r="D33" s="8"/>
      <c r="E33" s="4"/>
      <c r="F33" s="4"/>
      <c r="G33" s="4"/>
      <c r="H33" s="8"/>
      <c r="I33" s="8"/>
      <c r="J33" s="8"/>
      <c r="K33" s="8"/>
      <c r="L33" s="8"/>
    </row>
    <row r="34" spans="1:18" ht="62.4">
      <c r="A34" s="8"/>
      <c r="B34" s="24" t="s">
        <v>188</v>
      </c>
      <c r="C34" s="24" t="s">
        <v>189</v>
      </c>
      <c r="D34" s="24" t="s">
        <v>190</v>
      </c>
      <c r="E34" s="4"/>
      <c r="F34" s="4"/>
      <c r="G34" s="4"/>
      <c r="H34" s="8"/>
      <c r="I34" s="8"/>
      <c r="J34" s="8"/>
      <c r="K34" s="8"/>
      <c r="L34" s="8"/>
    </row>
    <row r="35" spans="1:18">
      <c r="A35" s="4"/>
      <c r="B35" s="25">
        <v>2021</v>
      </c>
      <c r="C35" s="26">
        <v>1762048</v>
      </c>
      <c r="D35" s="26">
        <v>114622</v>
      </c>
      <c r="E35" s="4"/>
      <c r="F35" s="4"/>
      <c r="G35" s="4"/>
      <c r="H35" s="8"/>
      <c r="I35" s="8"/>
      <c r="J35" s="8"/>
      <c r="K35" s="8"/>
      <c r="L35" s="8"/>
    </row>
    <row r="36" spans="1:18">
      <c r="A36" s="4"/>
      <c r="B36" s="25">
        <v>2022</v>
      </c>
      <c r="C36" s="26">
        <v>1564355</v>
      </c>
      <c r="D36" s="26">
        <v>291478</v>
      </c>
      <c r="E36" s="4"/>
      <c r="F36" s="4"/>
      <c r="G36" s="4"/>
      <c r="H36" s="8"/>
      <c r="I36" s="8"/>
      <c r="J36" s="8"/>
      <c r="K36" s="8"/>
      <c r="L36" s="8"/>
    </row>
    <row r="37" spans="1:18">
      <c r="A37" s="4"/>
      <c r="B37" s="25">
        <v>2023</v>
      </c>
      <c r="C37" s="26">
        <v>2332776</v>
      </c>
      <c r="D37" s="26">
        <v>-156760</v>
      </c>
      <c r="E37" s="4"/>
      <c r="F37" s="4"/>
      <c r="G37" s="4"/>
      <c r="H37" s="8"/>
      <c r="I37" s="8"/>
      <c r="J37" s="8"/>
      <c r="K37" s="8"/>
      <c r="L37" s="8"/>
    </row>
    <row r="38" spans="1:18">
      <c r="A38" s="6"/>
      <c r="B38" s="6"/>
      <c r="C38" s="6"/>
      <c r="D38" s="6"/>
      <c r="E38" s="6"/>
      <c r="F38" s="6"/>
      <c r="G38" s="6"/>
      <c r="H38" s="6"/>
      <c r="I38" s="6"/>
      <c r="J38" s="6"/>
      <c r="K38" s="6"/>
      <c r="L38" s="6"/>
    </row>
    <row r="39" spans="1:18">
      <c r="A39" s="5" t="s">
        <v>4</v>
      </c>
      <c r="B39" s="8" t="s">
        <v>191</v>
      </c>
      <c r="C39" s="4"/>
      <c r="D39" s="4"/>
      <c r="E39" s="4"/>
      <c r="F39" s="4"/>
      <c r="G39" s="4"/>
      <c r="H39" s="4"/>
      <c r="I39" s="4"/>
      <c r="J39" s="4"/>
      <c r="K39" s="4"/>
      <c r="L39" s="4"/>
      <c r="M39" s="7"/>
      <c r="N39" s="7"/>
      <c r="O39" s="7"/>
      <c r="P39" s="7"/>
      <c r="Q39" s="7"/>
      <c r="R39" s="7"/>
    </row>
    <row r="40" spans="1:18">
      <c r="A40" s="6"/>
      <c r="B40" s="6"/>
      <c r="C40" s="6"/>
      <c r="D40" s="6"/>
      <c r="E40" s="6"/>
      <c r="F40" s="6"/>
      <c r="G40" s="6"/>
      <c r="H40" s="6"/>
      <c r="I40" s="6"/>
      <c r="J40" s="6"/>
      <c r="K40" s="6"/>
      <c r="L40" s="6"/>
      <c r="M40" s="6"/>
    </row>
    <row r="41" spans="1:18">
      <c r="A41" s="6" t="s">
        <v>1</v>
      </c>
      <c r="B41" s="6"/>
      <c r="C41" s="6"/>
      <c r="D41" s="6"/>
      <c r="E41" s="6"/>
      <c r="F41" s="6"/>
      <c r="G41" s="6"/>
      <c r="H41" s="6"/>
      <c r="I41" s="6"/>
      <c r="J41" s="6"/>
      <c r="K41" s="6"/>
      <c r="L41" s="6"/>
      <c r="M41" s="6"/>
      <c r="N41" s="7"/>
    </row>
    <row r="42" spans="1:18">
      <c r="A42" s="6"/>
      <c r="B42" s="6"/>
      <c r="C42" s="6"/>
      <c r="D42" s="6"/>
      <c r="E42" s="6"/>
      <c r="F42" s="6"/>
      <c r="G42" s="6"/>
      <c r="H42" s="6"/>
      <c r="I42" s="6"/>
      <c r="J42" s="6"/>
      <c r="K42" s="6"/>
      <c r="L42" s="6"/>
      <c r="M42" s="6"/>
      <c r="N42" s="7"/>
    </row>
    <row r="43" spans="1:18">
      <c r="A43" s="199" t="s">
        <v>72</v>
      </c>
      <c r="B43" s="200" t="s">
        <v>115</v>
      </c>
      <c r="C43" s="200"/>
      <c r="D43" s="200"/>
      <c r="E43" s="200"/>
      <c r="F43" s="200"/>
      <c r="G43" s="200"/>
      <c r="H43" s="6"/>
      <c r="I43" s="6"/>
      <c r="J43" s="6"/>
      <c r="K43" s="6"/>
      <c r="L43" s="6"/>
      <c r="M43" s="6"/>
      <c r="N43" s="7"/>
    </row>
    <row r="44" spans="1:18">
      <c r="A44" s="201"/>
      <c r="B44" s="142">
        <v>12</v>
      </c>
      <c r="C44" s="142">
        <f>B44+12</f>
        <v>24</v>
      </c>
      <c r="D44" s="142">
        <f t="shared" ref="D44:G44" si="0">C44+12</f>
        <v>36</v>
      </c>
      <c r="E44" s="142">
        <f t="shared" si="0"/>
        <v>48</v>
      </c>
      <c r="F44" s="142">
        <f t="shared" si="0"/>
        <v>60</v>
      </c>
      <c r="G44" s="142">
        <f t="shared" si="0"/>
        <v>72</v>
      </c>
      <c r="H44" s="6"/>
      <c r="I44" s="6"/>
      <c r="J44" s="6"/>
      <c r="K44" s="6"/>
      <c r="L44" s="6"/>
      <c r="M44" s="6"/>
      <c r="N44" s="7"/>
    </row>
    <row r="45" spans="1:18">
      <c r="A45" s="196">
        <v>2015</v>
      </c>
      <c r="B45" s="197">
        <f>C7-C19</f>
        <v>786844</v>
      </c>
      <c r="C45" s="197">
        <f>D7-D19</f>
        <v>564811</v>
      </c>
      <c r="D45" s="197">
        <f>E7-E19</f>
        <v>308931</v>
      </c>
      <c r="E45" s="197">
        <f>F7-F19</f>
        <v>160024</v>
      </c>
      <c r="F45" s="197">
        <f>G7-G19</f>
        <v>48442</v>
      </c>
      <c r="G45" s="197">
        <f>H7-H19</f>
        <v>0</v>
      </c>
      <c r="H45" s="6"/>
      <c r="I45" s="6"/>
      <c r="J45" s="6"/>
      <c r="K45" s="6"/>
      <c r="L45" s="6"/>
      <c r="M45" s="6"/>
      <c r="N45" s="7"/>
    </row>
    <row r="46" spans="1:18">
      <c r="A46" s="196">
        <v>2016</v>
      </c>
      <c r="B46" s="197">
        <f>C8-C20</f>
        <v>795613</v>
      </c>
      <c r="C46" s="197">
        <f>D8-D20</f>
        <v>613589</v>
      </c>
      <c r="D46" s="197">
        <f>E8-E20</f>
        <v>329380</v>
      </c>
      <c r="E46" s="197">
        <f>F8-F20</f>
        <v>140620</v>
      </c>
      <c r="F46" s="197">
        <f>G8-G20</f>
        <v>45963</v>
      </c>
      <c r="G46" s="197">
        <f>H8-H20</f>
        <v>0</v>
      </c>
      <c r="H46" s="6"/>
      <c r="I46" s="6"/>
      <c r="J46" s="6"/>
      <c r="K46" s="6"/>
      <c r="L46" s="6"/>
      <c r="M46" s="6"/>
      <c r="N46" s="7"/>
    </row>
    <row r="47" spans="1:18">
      <c r="A47" s="196">
        <v>2017</v>
      </c>
      <c r="B47" s="197">
        <f>C9-C21</f>
        <v>865750</v>
      </c>
      <c r="C47" s="197">
        <f>D9-D21</f>
        <v>653990</v>
      </c>
      <c r="D47" s="197">
        <f>E9-E21</f>
        <v>358166</v>
      </c>
      <c r="E47" s="197">
        <f>F9-F21</f>
        <v>158396</v>
      </c>
      <c r="F47" s="197">
        <f>G9-G21</f>
        <v>55255</v>
      </c>
      <c r="G47" s="197">
        <f>H9-H21</f>
        <v>0</v>
      </c>
      <c r="H47" s="6"/>
      <c r="I47" s="6"/>
      <c r="J47" s="6"/>
      <c r="K47" s="6"/>
      <c r="L47" s="6"/>
      <c r="M47" s="6"/>
      <c r="N47" s="7"/>
    </row>
    <row r="48" spans="1:18">
      <c r="A48" s="196">
        <v>2018</v>
      </c>
      <c r="B48" s="197">
        <f>C10-C22</f>
        <v>971601</v>
      </c>
      <c r="C48" s="197">
        <f>D10-D22</f>
        <v>688324</v>
      </c>
      <c r="D48" s="197">
        <f>E10-E22</f>
        <v>387347</v>
      </c>
      <c r="E48" s="197">
        <f>F10-F22</f>
        <v>163712</v>
      </c>
      <c r="F48" s="197">
        <f>G10-G22</f>
        <v>48728</v>
      </c>
      <c r="G48" s="197">
        <f>H10-H22</f>
        <v>0</v>
      </c>
      <c r="H48" s="6"/>
      <c r="I48" s="6"/>
      <c r="J48" s="6"/>
      <c r="K48" s="6"/>
      <c r="L48" s="6"/>
      <c r="M48" s="6"/>
      <c r="N48" s="7"/>
    </row>
    <row r="49" spans="1:14">
      <c r="A49" s="196">
        <v>2019</v>
      </c>
      <c r="B49" s="197">
        <f>C11-C23</f>
        <v>985138</v>
      </c>
      <c r="C49" s="197">
        <f>D11-D23</f>
        <v>757423</v>
      </c>
      <c r="D49" s="197">
        <f>E11-E23</f>
        <v>408513</v>
      </c>
      <c r="E49" s="197">
        <f>F11-F23</f>
        <v>205511</v>
      </c>
      <c r="F49" s="197">
        <f>G11-G23</f>
        <v>86907</v>
      </c>
      <c r="G49" s="197"/>
      <c r="H49" s="6"/>
      <c r="I49" s="6"/>
      <c r="J49" s="6"/>
      <c r="K49" s="6"/>
      <c r="L49" s="6"/>
      <c r="M49" s="6"/>
      <c r="N49" s="7"/>
    </row>
    <row r="50" spans="1:14">
      <c r="A50" s="196">
        <v>2020</v>
      </c>
      <c r="B50" s="197">
        <f>C12-C24</f>
        <v>1069993</v>
      </c>
      <c r="C50" s="197">
        <f>D12-D24</f>
        <v>795296</v>
      </c>
      <c r="D50" s="197">
        <f>E12-E24</f>
        <v>445648</v>
      </c>
      <c r="E50" s="197">
        <f>F12-F24</f>
        <v>300044</v>
      </c>
      <c r="F50" s="197"/>
      <c r="G50" s="197"/>
      <c r="H50" s="6"/>
      <c r="I50" s="6"/>
      <c r="J50" s="6"/>
      <c r="K50" s="6"/>
      <c r="L50" s="6"/>
      <c r="M50" s="6"/>
      <c r="N50" s="7"/>
    </row>
    <row r="51" spans="1:14">
      <c r="A51" s="196">
        <v>2021</v>
      </c>
      <c r="B51" s="197">
        <f>C13-C25</f>
        <v>1110968</v>
      </c>
      <c r="C51" s="197">
        <f>D13-D25</f>
        <v>873229</v>
      </c>
      <c r="D51" s="197">
        <f>E13-E25</f>
        <v>457851</v>
      </c>
      <c r="E51" s="197"/>
      <c r="F51" s="197"/>
      <c r="G51" s="197"/>
      <c r="H51" s="6"/>
      <c r="I51" s="6"/>
      <c r="J51" s="6"/>
      <c r="K51" s="6"/>
      <c r="L51" s="6"/>
      <c r="M51" s="6"/>
      <c r="N51" s="7"/>
    </row>
    <row r="52" spans="1:14">
      <c r="A52" s="196">
        <v>2022</v>
      </c>
      <c r="B52" s="197">
        <f>C14-C26</f>
        <v>1252106</v>
      </c>
      <c r="C52" s="197">
        <f>D14-D26</f>
        <v>896859</v>
      </c>
      <c r="D52" s="197"/>
      <c r="E52" s="197"/>
      <c r="F52" s="197"/>
      <c r="G52" s="197"/>
      <c r="H52" s="6"/>
      <c r="I52" s="6"/>
      <c r="J52" s="6"/>
      <c r="K52" s="6"/>
      <c r="L52" s="6"/>
      <c r="M52" s="6"/>
      <c r="N52" s="7"/>
    </row>
    <row r="53" spans="1:14">
      <c r="A53" s="196">
        <v>2023</v>
      </c>
      <c r="B53" s="197">
        <f>C15-C27</f>
        <v>1306801</v>
      </c>
      <c r="C53" s="197"/>
      <c r="D53" s="197"/>
      <c r="E53" s="197"/>
      <c r="F53" s="197"/>
      <c r="G53" s="197"/>
      <c r="H53" s="6"/>
      <c r="I53" s="6"/>
      <c r="J53" s="6"/>
      <c r="K53" s="6"/>
      <c r="L53" s="6"/>
      <c r="M53" s="6"/>
      <c r="N53" s="7"/>
    </row>
    <row r="54" spans="1:14">
      <c r="A54" s="198"/>
      <c r="B54" s="198"/>
      <c r="C54" s="198"/>
      <c r="D54" s="198"/>
      <c r="E54" s="198"/>
      <c r="F54" s="198"/>
      <c r="G54" s="198"/>
      <c r="H54" s="6"/>
      <c r="I54" s="6"/>
      <c r="J54" s="6"/>
      <c r="K54" s="6"/>
      <c r="L54" s="6"/>
      <c r="M54" s="6"/>
      <c r="N54" s="7"/>
    </row>
    <row r="55" spans="1:14" ht="46.8">
      <c r="A55" s="132" t="s">
        <v>188</v>
      </c>
      <c r="B55" s="132" t="s">
        <v>423</v>
      </c>
      <c r="C55" s="132" t="s">
        <v>424</v>
      </c>
      <c r="D55" s="198"/>
      <c r="E55" s="198"/>
      <c r="F55" s="198"/>
      <c r="G55" s="198"/>
      <c r="H55" s="6"/>
      <c r="I55" s="6"/>
      <c r="J55" s="6"/>
      <c r="K55" s="6"/>
      <c r="L55" s="6"/>
      <c r="M55" s="6"/>
      <c r="N55" s="7"/>
    </row>
    <row r="56" spans="1:14">
      <c r="A56" s="196">
        <f>A52</f>
        <v>2022</v>
      </c>
      <c r="B56" s="197">
        <f>B52+C51+D50+E49+F48+G47</f>
        <v>2825222</v>
      </c>
      <c r="C56" s="197"/>
      <c r="D56" s="198"/>
      <c r="E56" s="198"/>
      <c r="F56" s="198"/>
      <c r="G56" s="198"/>
      <c r="H56" s="6"/>
      <c r="I56" s="6"/>
      <c r="J56" s="6"/>
      <c r="K56" s="6"/>
      <c r="L56" s="6"/>
      <c r="M56" s="6"/>
      <c r="N56" s="7"/>
    </row>
    <row r="57" spans="1:14">
      <c r="A57" s="196">
        <f>A53</f>
        <v>2023</v>
      </c>
      <c r="B57" s="197">
        <f>B53+C52+D51+E50+F49+G48</f>
        <v>3048462</v>
      </c>
      <c r="C57" s="197">
        <f>B57-B56</f>
        <v>223240</v>
      </c>
      <c r="D57" s="198"/>
      <c r="E57" s="198"/>
      <c r="F57" s="198"/>
      <c r="G57" s="198"/>
      <c r="H57" s="6"/>
      <c r="I57" s="6"/>
      <c r="J57" s="6"/>
      <c r="K57" s="6"/>
      <c r="L57" s="6"/>
      <c r="M57" s="6"/>
      <c r="N57" s="7"/>
    </row>
    <row r="58" spans="1:14">
      <c r="M58" s="7"/>
      <c r="N58" s="7"/>
    </row>
    <row r="59" spans="1:14">
      <c r="A59" s="8" t="s">
        <v>200</v>
      </c>
      <c r="B59" s="3"/>
      <c r="C59" s="3"/>
      <c r="D59" s="3"/>
      <c r="E59" s="3"/>
      <c r="F59" s="3"/>
      <c r="G59" s="4"/>
      <c r="H59" s="4"/>
      <c r="I59" s="4"/>
      <c r="J59" s="4"/>
      <c r="K59" s="4"/>
      <c r="L59" s="4"/>
    </row>
    <row r="61" spans="1:14">
      <c r="A61" s="5" t="s">
        <v>5</v>
      </c>
      <c r="B61" s="8" t="s">
        <v>201</v>
      </c>
      <c r="C61" s="4"/>
      <c r="D61" s="4"/>
      <c r="E61" s="4"/>
      <c r="F61" s="4"/>
      <c r="G61" s="4"/>
      <c r="H61" s="4"/>
      <c r="I61" s="4"/>
      <c r="J61" s="4"/>
      <c r="K61" s="4"/>
      <c r="L61" s="4"/>
    </row>
    <row r="62" spans="1:14">
      <c r="A62" s="6"/>
      <c r="B62" s="6"/>
      <c r="C62" s="6"/>
      <c r="D62" s="6"/>
      <c r="E62" s="6"/>
      <c r="F62" s="6"/>
      <c r="G62" s="6"/>
      <c r="H62" s="6"/>
      <c r="I62" s="6"/>
      <c r="J62" s="6"/>
      <c r="K62" s="6"/>
      <c r="L62" s="6"/>
    </row>
    <row r="63" spans="1:14">
      <c r="A63" s="6" t="s">
        <v>1</v>
      </c>
      <c r="B63" s="6"/>
      <c r="C63" s="6"/>
      <c r="D63" s="6"/>
      <c r="E63" s="6"/>
      <c r="F63" s="6"/>
      <c r="G63" s="6"/>
      <c r="H63" s="6"/>
      <c r="I63" s="6"/>
      <c r="J63" s="6"/>
      <c r="K63" s="6"/>
      <c r="L63" s="6"/>
    </row>
    <row r="64" spans="1:14">
      <c r="A64" s="6"/>
      <c r="B64" s="6"/>
      <c r="C64" s="6"/>
      <c r="D64" s="6"/>
      <c r="E64" s="6"/>
      <c r="F64" s="6"/>
      <c r="G64" s="6"/>
      <c r="H64" s="6"/>
      <c r="I64" s="6"/>
      <c r="J64" s="6"/>
      <c r="K64" s="6"/>
      <c r="L64" s="6"/>
    </row>
    <row r="65" spans="1:13" ht="31.2">
      <c r="A65" s="132" t="s">
        <v>422</v>
      </c>
      <c r="B65" s="132" t="s">
        <v>425</v>
      </c>
      <c r="C65" s="132" t="s">
        <v>426</v>
      </c>
      <c r="F65"/>
      <c r="G65" s="6"/>
      <c r="H65" s="6"/>
      <c r="I65" s="6"/>
      <c r="J65" s="6"/>
      <c r="K65" s="6"/>
      <c r="L65" s="6"/>
    </row>
    <row r="66" spans="1:13">
      <c r="A66" s="196">
        <f>B14</f>
        <v>2022</v>
      </c>
      <c r="B66" s="197">
        <f>C26+D25+E24+F23+G22+H21</f>
        <v>26688847</v>
      </c>
      <c r="C66" s="197"/>
      <c r="F66"/>
      <c r="M66" s="6"/>
    </row>
    <row r="67" spans="1:13">
      <c r="A67" s="196">
        <f>B15</f>
        <v>2023</v>
      </c>
      <c r="B67" s="197">
        <f>C27+D26+E25+F24+G23+H22</f>
        <v>28641623</v>
      </c>
      <c r="C67" s="197">
        <f>B67-B66</f>
        <v>1952776</v>
      </c>
      <c r="F67"/>
      <c r="M67" s="6"/>
    </row>
    <row r="68" spans="1:13">
      <c r="M68" s="6"/>
    </row>
    <row r="69" spans="1:13">
      <c r="A69" s="1" t="s">
        <v>427</v>
      </c>
    </row>
    <row r="71" spans="1:13">
      <c r="A71" s="8" t="s">
        <v>207</v>
      </c>
      <c r="B71" s="8"/>
      <c r="C71" s="8"/>
      <c r="D71" s="8"/>
      <c r="E71" s="8"/>
      <c r="F71" s="8"/>
      <c r="G71" s="8"/>
      <c r="H71" s="4"/>
      <c r="I71" s="4"/>
      <c r="J71" s="4"/>
      <c r="K71" s="4"/>
      <c r="L71" s="4"/>
    </row>
    <row r="72" spans="1:13">
      <c r="A72" s="8"/>
      <c r="B72" s="8"/>
      <c r="C72" s="8"/>
      <c r="D72" s="8"/>
      <c r="E72" s="8"/>
      <c r="F72" s="8"/>
      <c r="G72" s="8"/>
      <c r="H72" s="4"/>
      <c r="I72" s="4"/>
      <c r="J72" s="4"/>
      <c r="K72" s="4"/>
      <c r="L72" s="4"/>
    </row>
    <row r="73" spans="1:13">
      <c r="A73" s="8"/>
      <c r="B73" s="129" t="s">
        <v>202</v>
      </c>
      <c r="C73" s="129"/>
      <c r="D73" s="129"/>
      <c r="E73" s="129"/>
      <c r="F73" s="129"/>
      <c r="G73" s="129"/>
      <c r="H73" s="129"/>
      <c r="I73" s="129"/>
      <c r="J73" s="129"/>
      <c r="K73" s="129"/>
      <c r="L73" s="129"/>
    </row>
    <row r="74" spans="1:13">
      <c r="A74" s="8"/>
      <c r="B74" s="129"/>
      <c r="C74" s="129"/>
      <c r="D74" s="129"/>
      <c r="E74" s="129"/>
      <c r="F74" s="129"/>
      <c r="G74" s="129"/>
      <c r="H74" s="129"/>
      <c r="I74" s="129"/>
      <c r="J74" s="129"/>
      <c r="K74" s="129"/>
      <c r="L74" s="129"/>
    </row>
    <row r="75" spans="1:13">
      <c r="A75" s="8"/>
      <c r="B75" s="129"/>
      <c r="C75" s="129"/>
      <c r="D75" s="129"/>
      <c r="E75" s="129"/>
      <c r="F75" s="129"/>
      <c r="G75" s="129"/>
      <c r="H75" s="129"/>
      <c r="I75" s="129"/>
      <c r="J75" s="129"/>
      <c r="K75" s="129"/>
      <c r="L75" s="129"/>
    </row>
    <row r="76" spans="1:13">
      <c r="A76" s="8"/>
      <c r="B76" s="50"/>
      <c r="C76" s="50"/>
      <c r="D76" s="50"/>
      <c r="E76" s="50"/>
      <c r="F76" s="50"/>
      <c r="G76" s="50"/>
      <c r="H76" s="50"/>
      <c r="I76" s="50"/>
      <c r="J76" s="50"/>
      <c r="K76" s="50"/>
      <c r="L76" s="50"/>
    </row>
    <row r="77" spans="1:13">
      <c r="A77" s="8"/>
      <c r="B77" s="129" t="s">
        <v>203</v>
      </c>
      <c r="C77" s="129"/>
      <c r="D77" s="129"/>
      <c r="E77" s="129"/>
      <c r="F77" s="129"/>
      <c r="G77" s="129"/>
      <c r="H77" s="129"/>
      <c r="I77" s="129"/>
      <c r="J77" s="129"/>
      <c r="K77" s="129"/>
      <c r="L77" s="129"/>
    </row>
    <row r="78" spans="1:13">
      <c r="A78" s="8"/>
      <c r="B78" s="129"/>
      <c r="C78" s="129"/>
      <c r="D78" s="129"/>
      <c r="E78" s="129"/>
      <c r="F78" s="129"/>
      <c r="G78" s="129"/>
      <c r="H78" s="129"/>
      <c r="I78" s="129"/>
      <c r="J78" s="129"/>
      <c r="K78" s="129"/>
      <c r="L78" s="129"/>
    </row>
    <row r="79" spans="1:13">
      <c r="A79" s="8"/>
      <c r="B79" s="129"/>
      <c r="C79" s="129"/>
      <c r="D79" s="129"/>
      <c r="E79" s="129"/>
      <c r="F79" s="129"/>
      <c r="G79" s="129"/>
      <c r="H79" s="129"/>
      <c r="I79" s="129"/>
      <c r="J79" s="129"/>
      <c r="K79" s="129"/>
      <c r="L79" s="129"/>
    </row>
    <row r="81" spans="1:12">
      <c r="A81" s="5" t="s">
        <v>0</v>
      </c>
      <c r="B81" s="118" t="s">
        <v>204</v>
      </c>
      <c r="C81" s="118"/>
      <c r="D81" s="118"/>
      <c r="E81" s="118"/>
      <c r="F81" s="118"/>
      <c r="G81" s="118"/>
      <c r="H81" s="118"/>
      <c r="I81" s="118"/>
      <c r="J81" s="118"/>
      <c r="K81" s="118"/>
      <c r="L81" s="118"/>
    </row>
    <row r="82" spans="1:12">
      <c r="A82" s="5"/>
      <c r="B82" s="118"/>
      <c r="C82" s="118"/>
      <c r="D82" s="118"/>
      <c r="E82" s="118"/>
      <c r="F82" s="118"/>
      <c r="G82" s="118"/>
      <c r="H82" s="118"/>
      <c r="I82" s="118"/>
      <c r="J82" s="118"/>
      <c r="K82" s="118"/>
      <c r="L82" s="118"/>
    </row>
    <row r="83" spans="1:12">
      <c r="A83" s="6"/>
      <c r="B83" s="6"/>
      <c r="C83" s="6"/>
      <c r="D83" s="6"/>
      <c r="E83" s="6"/>
      <c r="F83" s="6"/>
      <c r="G83" s="6"/>
      <c r="H83" s="6"/>
      <c r="I83" s="6"/>
      <c r="J83" s="6"/>
      <c r="K83" s="6"/>
      <c r="L83" s="6"/>
    </row>
    <row r="84" spans="1:12">
      <c r="A84" s="6" t="s">
        <v>1</v>
      </c>
      <c r="B84" s="6"/>
      <c r="C84" s="6"/>
      <c r="D84" s="6"/>
      <c r="E84" s="6"/>
      <c r="F84" s="6"/>
      <c r="G84" s="6"/>
      <c r="H84" s="6"/>
      <c r="I84" s="6"/>
      <c r="J84" s="6"/>
      <c r="K84" s="6"/>
      <c r="L84" s="6"/>
    </row>
    <row r="85" spans="1:12">
      <c r="A85" s="6"/>
      <c r="B85" s="6"/>
      <c r="C85" s="6"/>
      <c r="D85" s="6"/>
      <c r="E85" s="6"/>
      <c r="F85" s="6"/>
      <c r="G85" s="6"/>
      <c r="H85" s="6"/>
      <c r="I85" s="6"/>
      <c r="J85" s="6"/>
      <c r="K85" s="6"/>
      <c r="L85" s="6"/>
    </row>
    <row r="86" spans="1:12">
      <c r="A86" s="1" t="s">
        <v>428</v>
      </c>
      <c r="F86" s="6"/>
      <c r="G86" s="6"/>
      <c r="H86" s="6"/>
      <c r="I86" s="6"/>
      <c r="J86" s="6"/>
      <c r="K86" s="6"/>
      <c r="L86" s="6"/>
    </row>
    <row r="87" spans="1:12">
      <c r="A87" s="80" t="s">
        <v>429</v>
      </c>
      <c r="F87" s="6"/>
      <c r="G87" s="6"/>
      <c r="H87" s="6"/>
      <c r="I87" s="6"/>
      <c r="J87" s="6"/>
      <c r="K87" s="6"/>
      <c r="L87" s="6"/>
    </row>
    <row r="88" spans="1:12">
      <c r="A88" s="80" t="s">
        <v>430</v>
      </c>
      <c r="F88" s="6"/>
      <c r="G88" s="6"/>
      <c r="H88" s="6"/>
      <c r="I88" s="6"/>
      <c r="J88" s="6"/>
      <c r="K88" s="6"/>
      <c r="L88" s="6"/>
    </row>
    <row r="89" spans="1:12">
      <c r="A89" s="80" t="s">
        <v>431</v>
      </c>
      <c r="F89" s="6"/>
      <c r="G89" s="6"/>
      <c r="H89" s="6"/>
      <c r="I89" s="6"/>
      <c r="J89" s="6"/>
      <c r="K89" s="6"/>
      <c r="L89" s="6"/>
    </row>
    <row r="90" spans="1:12">
      <c r="F90" s="6"/>
      <c r="G90" s="6"/>
      <c r="H90" s="6"/>
      <c r="I90" s="6"/>
      <c r="J90" s="6"/>
      <c r="K90" s="6"/>
      <c r="L90" s="6"/>
    </row>
    <row r="91" spans="1:12">
      <c r="B91" s="202" t="s">
        <v>72</v>
      </c>
      <c r="C91" s="203" t="s">
        <v>157</v>
      </c>
      <c r="D91" s="203"/>
      <c r="E91" s="203"/>
      <c r="F91" s="204"/>
      <c r="G91" s="6"/>
      <c r="H91" s="6"/>
      <c r="I91" s="6"/>
      <c r="J91" s="6"/>
      <c r="K91" s="6"/>
      <c r="L91" s="6"/>
    </row>
    <row r="92" spans="1:12">
      <c r="B92" s="207"/>
      <c r="C92" s="53">
        <v>12</v>
      </c>
      <c r="D92" s="53">
        <f>C92+12</f>
        <v>24</v>
      </c>
      <c r="E92" s="53">
        <f t="shared" ref="E92" si="1">D92+12</f>
        <v>36</v>
      </c>
      <c r="F92" s="204"/>
      <c r="G92" s="6"/>
      <c r="H92" s="6"/>
      <c r="I92" s="6"/>
      <c r="J92" s="6"/>
      <c r="K92" s="6"/>
      <c r="L92" s="6"/>
    </row>
    <row r="93" spans="1:12">
      <c r="B93" s="205">
        <v>2021</v>
      </c>
      <c r="C93" s="206">
        <v>1</v>
      </c>
      <c r="D93" s="206">
        <v>1</v>
      </c>
      <c r="E93" s="206">
        <v>1</v>
      </c>
      <c r="F93" s="204"/>
      <c r="G93" s="6"/>
      <c r="H93" s="6"/>
      <c r="I93" s="6"/>
      <c r="J93" s="6"/>
      <c r="K93" s="6"/>
      <c r="L93" s="6"/>
    </row>
    <row r="94" spans="1:12">
      <c r="B94" s="55"/>
      <c r="C94" s="57"/>
      <c r="D94" s="57"/>
      <c r="E94" s="57"/>
      <c r="F94" s="6"/>
      <c r="G94" s="6"/>
      <c r="H94" s="6"/>
      <c r="I94" s="6"/>
      <c r="J94" s="6"/>
      <c r="K94" s="6"/>
      <c r="L94" s="6"/>
    </row>
    <row r="95" spans="1:12">
      <c r="A95" s="1" t="s">
        <v>432</v>
      </c>
      <c r="F95" s="6"/>
      <c r="G95" s="6"/>
      <c r="H95" s="6"/>
      <c r="I95" s="6"/>
      <c r="J95" s="6"/>
      <c r="K95" s="6"/>
      <c r="L95" s="6"/>
    </row>
    <row r="96" spans="1:12">
      <c r="A96" s="80" t="s">
        <v>429</v>
      </c>
      <c r="F96" s="6"/>
      <c r="G96" s="6"/>
      <c r="H96" s="6"/>
      <c r="I96" s="6"/>
      <c r="J96" s="6"/>
      <c r="K96" s="6"/>
      <c r="L96" s="6"/>
    </row>
    <row r="97" spans="1:12">
      <c r="A97" s="80" t="s">
        <v>433</v>
      </c>
      <c r="F97" s="6"/>
      <c r="G97" s="6"/>
      <c r="H97" s="6"/>
      <c r="I97" s="6"/>
      <c r="J97" s="6"/>
      <c r="K97" s="6"/>
      <c r="L97" s="6"/>
    </row>
    <row r="98" spans="1:12">
      <c r="F98" s="6"/>
      <c r="G98" s="6"/>
      <c r="H98" s="6"/>
      <c r="I98" s="6"/>
      <c r="J98" s="6"/>
      <c r="K98" s="6"/>
      <c r="L98" s="6"/>
    </row>
    <row r="99" spans="1:12" ht="15.6" customHeight="1">
      <c r="B99" s="202" t="s">
        <v>72</v>
      </c>
      <c r="C99" s="203" t="s">
        <v>157</v>
      </c>
      <c r="D99" s="203"/>
      <c r="E99" s="203"/>
      <c r="F99" s="6"/>
      <c r="G99" s="6"/>
      <c r="H99" s="6"/>
      <c r="I99" s="6"/>
      <c r="J99" s="6"/>
      <c r="K99" s="6"/>
      <c r="L99" s="6"/>
    </row>
    <row r="100" spans="1:12">
      <c r="B100" s="207"/>
      <c r="C100" s="53">
        <v>12</v>
      </c>
      <c r="D100" s="53">
        <f>C100+12</f>
        <v>24</v>
      </c>
      <c r="E100" s="53">
        <f t="shared" ref="E100" si="2">D100+12</f>
        <v>36</v>
      </c>
      <c r="F100" s="6"/>
      <c r="G100" s="6"/>
      <c r="H100" s="6"/>
      <c r="I100" s="6"/>
      <c r="J100" s="6"/>
      <c r="K100" s="6"/>
      <c r="L100" s="6"/>
    </row>
    <row r="101" spans="1:12">
      <c r="B101" s="205">
        <v>2021</v>
      </c>
      <c r="C101" s="206">
        <v>0</v>
      </c>
      <c r="D101" s="206">
        <v>1</v>
      </c>
      <c r="E101" s="206">
        <v>1</v>
      </c>
      <c r="F101" s="6"/>
      <c r="G101" s="6"/>
      <c r="H101" s="6"/>
      <c r="I101" s="6"/>
      <c r="J101" s="6"/>
      <c r="K101" s="6"/>
      <c r="L101" s="6"/>
    </row>
    <row r="103" spans="1:12">
      <c r="A103" s="5" t="s">
        <v>2</v>
      </c>
      <c r="B103" s="118" t="s">
        <v>205</v>
      </c>
      <c r="C103" s="118"/>
      <c r="D103" s="118"/>
      <c r="E103" s="118"/>
      <c r="F103" s="118"/>
      <c r="G103" s="118"/>
      <c r="H103" s="118"/>
      <c r="I103" s="118"/>
      <c r="J103" s="118"/>
      <c r="K103" s="118"/>
      <c r="L103" s="118"/>
    </row>
    <row r="104" spans="1:12">
      <c r="A104" s="5"/>
      <c r="B104" s="118"/>
      <c r="C104" s="118"/>
      <c r="D104" s="118"/>
      <c r="E104" s="118"/>
      <c r="F104" s="118"/>
      <c r="G104" s="118"/>
      <c r="H104" s="118"/>
      <c r="I104" s="118"/>
      <c r="J104" s="118"/>
      <c r="K104" s="118"/>
      <c r="L104" s="118"/>
    </row>
    <row r="105" spans="1:12">
      <c r="A105" s="6"/>
      <c r="B105" s="6"/>
      <c r="C105" s="6"/>
      <c r="D105" s="6"/>
      <c r="E105" s="6"/>
      <c r="F105" s="6"/>
      <c r="G105" s="6"/>
      <c r="H105" s="6"/>
      <c r="I105" s="6"/>
      <c r="J105" s="6"/>
      <c r="K105" s="6"/>
      <c r="L105" s="6"/>
    </row>
    <row r="106" spans="1:12">
      <c r="A106" s="6" t="s">
        <v>1</v>
      </c>
      <c r="B106" s="6"/>
      <c r="C106" s="6"/>
      <c r="D106" s="6"/>
      <c r="E106" s="6"/>
      <c r="F106" s="6"/>
      <c r="G106" s="6"/>
      <c r="H106" s="6"/>
      <c r="I106" s="6"/>
      <c r="J106" s="6"/>
      <c r="K106" s="6"/>
      <c r="L106" s="6"/>
    </row>
    <row r="107" spans="1:12">
      <c r="A107" s="6"/>
      <c r="B107" s="6"/>
      <c r="C107" s="6"/>
      <c r="D107" s="6"/>
      <c r="E107" s="6"/>
      <c r="F107" s="6"/>
      <c r="G107" s="6"/>
      <c r="H107" s="6"/>
      <c r="I107" s="6"/>
      <c r="J107" s="6"/>
      <c r="K107" s="6"/>
      <c r="L107" s="6"/>
    </row>
    <row r="108" spans="1:12">
      <c r="A108" s="1" t="s">
        <v>428</v>
      </c>
      <c r="B108"/>
      <c r="C108"/>
      <c r="D108"/>
      <c r="E108"/>
    </row>
    <row r="109" spans="1:12">
      <c r="A109" s="80" t="s">
        <v>434</v>
      </c>
      <c r="B109"/>
      <c r="C109"/>
      <c r="D109"/>
      <c r="E109"/>
    </row>
    <row r="110" spans="1:12">
      <c r="A110"/>
      <c r="B110"/>
      <c r="C110"/>
      <c r="D110"/>
      <c r="E110"/>
    </row>
    <row r="111" spans="1:12" ht="15.6" customHeight="1">
      <c r="A111"/>
      <c r="B111" s="202" t="s">
        <v>72</v>
      </c>
      <c r="C111" s="203" t="s">
        <v>158</v>
      </c>
      <c r="D111" s="203"/>
      <c r="E111" s="203"/>
    </row>
    <row r="112" spans="1:12">
      <c r="A112"/>
      <c r="B112" s="207"/>
      <c r="C112" s="53">
        <v>12</v>
      </c>
      <c r="D112" s="53">
        <f>C112+12</f>
        <v>24</v>
      </c>
      <c r="E112" s="53">
        <f t="shared" ref="E112" si="3">D112+12</f>
        <v>36</v>
      </c>
    </row>
    <row r="113" spans="1:5">
      <c r="A113"/>
      <c r="B113" s="205">
        <v>2021</v>
      </c>
      <c r="C113" s="206">
        <v>0</v>
      </c>
      <c r="D113" s="206">
        <v>1</v>
      </c>
      <c r="E113" s="206">
        <v>0</v>
      </c>
    </row>
    <row r="114" spans="1:5">
      <c r="A114"/>
      <c r="B114"/>
      <c r="C114"/>
      <c r="D114"/>
      <c r="E114"/>
    </row>
    <row r="115" spans="1:5">
      <c r="A115" s="1" t="s">
        <v>432</v>
      </c>
      <c r="B115"/>
      <c r="C115"/>
      <c r="D115"/>
      <c r="E115"/>
    </row>
    <row r="116" spans="1:5">
      <c r="A116" s="80" t="s">
        <v>435</v>
      </c>
      <c r="B116"/>
      <c r="C116"/>
      <c r="D116"/>
      <c r="E116"/>
    </row>
    <row r="117" spans="1:5">
      <c r="A117"/>
      <c r="B117"/>
      <c r="C117"/>
      <c r="D117"/>
      <c r="E117"/>
    </row>
    <row r="118" spans="1:5" ht="15.6" customHeight="1">
      <c r="A118"/>
      <c r="B118" s="202" t="s">
        <v>72</v>
      </c>
      <c r="C118" s="203" t="s">
        <v>158</v>
      </c>
      <c r="D118" s="203"/>
      <c r="E118" s="203"/>
    </row>
    <row r="119" spans="1:5">
      <c r="A119"/>
      <c r="B119" s="207"/>
      <c r="C119" s="53">
        <v>12</v>
      </c>
      <c r="D119" s="53">
        <f>C119+12</f>
        <v>24</v>
      </c>
      <c r="E119" s="53">
        <f t="shared" ref="E119" si="4">D119+12</f>
        <v>36</v>
      </c>
    </row>
    <row r="120" spans="1:5">
      <c r="A120"/>
      <c r="B120" s="205">
        <v>2021</v>
      </c>
      <c r="C120" s="206">
        <v>0</v>
      </c>
      <c r="D120" s="206">
        <v>0</v>
      </c>
      <c r="E120" s="206">
        <v>1</v>
      </c>
    </row>
  </sheetData>
  <mergeCells count="19">
    <mergeCell ref="B111:B112"/>
    <mergeCell ref="C111:E111"/>
    <mergeCell ref="B118:B119"/>
    <mergeCell ref="C118:E118"/>
    <mergeCell ref="B81:L82"/>
    <mergeCell ref="B103:L104"/>
    <mergeCell ref="B77:L79"/>
    <mergeCell ref="B5:B6"/>
    <mergeCell ref="C5:H5"/>
    <mergeCell ref="B17:B18"/>
    <mergeCell ref="C17:H17"/>
    <mergeCell ref="B73:L75"/>
    <mergeCell ref="A31:L32"/>
    <mergeCell ref="A43:A44"/>
    <mergeCell ref="B43:G43"/>
    <mergeCell ref="B91:B92"/>
    <mergeCell ref="C91:E91"/>
    <mergeCell ref="B99:B100"/>
    <mergeCell ref="C99:E9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70000-5B20-41D7-BFB0-77B1CF52ABCB}">
  <dimension ref="A1:R73"/>
  <sheetViews>
    <sheetView zoomScaleNormal="100" workbookViewId="0"/>
  </sheetViews>
  <sheetFormatPr defaultRowHeight="15.6"/>
  <cols>
    <col min="1" max="1" width="8.88671875" style="1" customWidth="1"/>
    <col min="2" max="2" width="15.21875" style="1" customWidth="1"/>
    <col min="3" max="10" width="11.77734375" style="1" customWidth="1"/>
    <col min="11" max="16384" width="8.88671875" style="1"/>
  </cols>
  <sheetData>
    <row r="1" spans="1:12" ht="17.399999999999999">
      <c r="A1" s="2" t="s">
        <v>35</v>
      </c>
      <c r="B1" s="4"/>
      <c r="C1" s="8" t="s">
        <v>10</v>
      </c>
      <c r="D1" s="4"/>
      <c r="E1" s="4"/>
      <c r="F1" s="4"/>
      <c r="G1" s="4"/>
      <c r="H1" s="4"/>
      <c r="I1" s="4"/>
      <c r="J1" s="4"/>
      <c r="K1" s="4"/>
      <c r="L1" s="3"/>
    </row>
    <row r="2" spans="1:12">
      <c r="A2" s="4"/>
      <c r="B2" s="4"/>
      <c r="C2" s="4"/>
      <c r="D2" s="4"/>
      <c r="E2" s="4"/>
      <c r="F2" s="4"/>
      <c r="G2" s="4"/>
      <c r="H2" s="4"/>
      <c r="I2" s="4"/>
      <c r="J2" s="4"/>
      <c r="K2" s="4"/>
      <c r="L2" s="3"/>
    </row>
    <row r="3" spans="1:12">
      <c r="A3" s="8" t="s">
        <v>36</v>
      </c>
      <c r="B3" s="8"/>
      <c r="C3" s="8"/>
      <c r="D3" s="8"/>
      <c r="E3" s="8"/>
      <c r="F3" s="8"/>
      <c r="G3" s="8"/>
      <c r="H3" s="8"/>
      <c r="I3" s="8"/>
      <c r="J3" s="8"/>
      <c r="K3" s="8"/>
      <c r="L3" s="3"/>
    </row>
    <row r="4" spans="1:12">
      <c r="A4" s="20"/>
      <c r="B4" s="8"/>
      <c r="C4" s="8"/>
      <c r="D4" s="8"/>
      <c r="E4" s="8"/>
      <c r="F4" s="8"/>
      <c r="G4" s="8"/>
      <c r="H4" s="8"/>
      <c r="I4" s="8"/>
      <c r="J4" s="8"/>
      <c r="K4" s="8"/>
      <c r="L4" s="8"/>
    </row>
    <row r="5" spans="1:12" ht="16.2" customHeight="1">
      <c r="A5" s="20"/>
      <c r="B5" s="113" t="s">
        <v>37</v>
      </c>
      <c r="C5" s="114" t="s">
        <v>38</v>
      </c>
      <c r="D5" s="114"/>
      <c r="E5" s="114"/>
      <c r="F5" s="114"/>
      <c r="G5" s="114"/>
      <c r="H5" s="114"/>
      <c r="I5" s="114"/>
      <c r="J5" s="114"/>
      <c r="K5" s="8"/>
      <c r="L5" s="8"/>
    </row>
    <row r="6" spans="1:12">
      <c r="A6" s="20"/>
      <c r="B6" s="113"/>
      <c r="C6" s="30">
        <v>6</v>
      </c>
      <c r="D6" s="30">
        <v>12</v>
      </c>
      <c r="E6" s="30">
        <v>18</v>
      </c>
      <c r="F6" s="30">
        <v>24</v>
      </c>
      <c r="G6" s="30">
        <v>30</v>
      </c>
      <c r="H6" s="30">
        <v>36</v>
      </c>
      <c r="I6" s="30">
        <v>42</v>
      </c>
      <c r="J6" s="30">
        <v>48</v>
      </c>
      <c r="K6" s="8"/>
      <c r="L6" s="8"/>
    </row>
    <row r="7" spans="1:12">
      <c r="A7" s="20"/>
      <c r="B7" s="25" t="s">
        <v>39</v>
      </c>
      <c r="C7" s="26">
        <v>1778236</v>
      </c>
      <c r="D7" s="26">
        <v>1817664</v>
      </c>
      <c r="E7" s="26">
        <v>1906195</v>
      </c>
      <c r="F7" s="26">
        <v>1918947</v>
      </c>
      <c r="G7" s="26">
        <v>1938911</v>
      </c>
      <c r="H7" s="26">
        <v>1949451</v>
      </c>
      <c r="I7" s="26">
        <v>1951269</v>
      </c>
      <c r="J7" s="26">
        <v>1951269</v>
      </c>
      <c r="K7" s="8"/>
      <c r="L7" s="8"/>
    </row>
    <row r="8" spans="1:12">
      <c r="A8" s="20"/>
      <c r="B8" s="25" t="s">
        <v>40</v>
      </c>
      <c r="C8" s="26">
        <v>1801831</v>
      </c>
      <c r="D8" s="26">
        <v>1896710</v>
      </c>
      <c r="E8" s="26">
        <v>1942431</v>
      </c>
      <c r="F8" s="26">
        <v>1969627</v>
      </c>
      <c r="G8" s="26">
        <v>1990982</v>
      </c>
      <c r="H8" s="26">
        <v>2002627</v>
      </c>
      <c r="I8" s="26">
        <v>2004998</v>
      </c>
      <c r="J8" s="25"/>
      <c r="K8" s="8"/>
      <c r="L8" s="8"/>
    </row>
    <row r="9" spans="1:12">
      <c r="A9" s="8"/>
      <c r="B9" s="25" t="s">
        <v>41</v>
      </c>
      <c r="C9" s="26">
        <v>1930879</v>
      </c>
      <c r="D9" s="26">
        <v>1983793</v>
      </c>
      <c r="E9" s="26">
        <v>2069155</v>
      </c>
      <c r="F9" s="26">
        <v>2084933</v>
      </c>
      <c r="G9" s="26">
        <v>2109125</v>
      </c>
      <c r="H9" s="26">
        <v>2121231</v>
      </c>
      <c r="I9" s="25"/>
      <c r="J9" s="25"/>
      <c r="K9" s="8"/>
      <c r="L9" s="8"/>
    </row>
    <row r="10" spans="1:12">
      <c r="A10" s="8"/>
      <c r="B10" s="25" t="s">
        <v>42</v>
      </c>
      <c r="C10" s="26">
        <v>1944003</v>
      </c>
      <c r="D10" s="26">
        <v>2034385</v>
      </c>
      <c r="E10" s="26">
        <v>2091282</v>
      </c>
      <c r="F10" s="26">
        <v>2125691</v>
      </c>
      <c r="G10" s="26">
        <v>2146588</v>
      </c>
      <c r="H10" s="25"/>
      <c r="I10" s="25"/>
      <c r="J10" s="25"/>
      <c r="K10" s="8"/>
      <c r="L10" s="8"/>
    </row>
    <row r="11" spans="1:12">
      <c r="A11" s="20"/>
      <c r="B11" s="25" t="s">
        <v>43</v>
      </c>
      <c r="C11" s="26">
        <v>2075131</v>
      </c>
      <c r="D11" s="26">
        <v>2126932</v>
      </c>
      <c r="E11" s="26">
        <v>2205071</v>
      </c>
      <c r="F11" s="26">
        <v>2220455</v>
      </c>
      <c r="G11" s="25"/>
      <c r="H11" s="25"/>
      <c r="I11" s="25"/>
      <c r="J11" s="25"/>
      <c r="K11" s="8"/>
      <c r="L11" s="8"/>
    </row>
    <row r="12" spans="1:12">
      <c r="A12" s="8"/>
      <c r="B12" s="25" t="s">
        <v>44</v>
      </c>
      <c r="C12" s="26">
        <v>2137034</v>
      </c>
      <c r="D12" s="26">
        <v>2253530</v>
      </c>
      <c r="E12" s="26">
        <v>2273987</v>
      </c>
      <c r="F12" s="25"/>
      <c r="G12" s="25"/>
      <c r="H12" s="25"/>
      <c r="I12" s="25"/>
      <c r="J12" s="25"/>
      <c r="K12" s="8"/>
      <c r="L12" s="8"/>
    </row>
    <row r="13" spans="1:12">
      <c r="A13" s="8"/>
      <c r="B13" s="25" t="s">
        <v>45</v>
      </c>
      <c r="C13" s="26">
        <v>2243409</v>
      </c>
      <c r="D13" s="26">
        <v>2283355</v>
      </c>
      <c r="E13" s="25"/>
      <c r="F13" s="25"/>
      <c r="G13" s="25"/>
      <c r="H13" s="25"/>
      <c r="I13" s="25"/>
      <c r="J13" s="25"/>
      <c r="K13" s="8"/>
      <c r="L13" s="8"/>
    </row>
    <row r="14" spans="1:12">
      <c r="A14" s="8"/>
      <c r="B14" s="25" t="s">
        <v>46</v>
      </c>
      <c r="C14" s="26">
        <v>2451221</v>
      </c>
      <c r="D14" s="25"/>
      <c r="E14" s="25"/>
      <c r="F14" s="25"/>
      <c r="G14" s="25"/>
      <c r="H14" s="25"/>
      <c r="I14" s="25"/>
      <c r="J14" s="25"/>
      <c r="K14" s="8"/>
      <c r="L14" s="8"/>
    </row>
    <row r="15" spans="1:12">
      <c r="A15" s="8"/>
      <c r="B15" s="8"/>
      <c r="C15" s="8"/>
      <c r="D15" s="8"/>
      <c r="E15" s="8"/>
      <c r="F15" s="8"/>
      <c r="G15" s="8"/>
      <c r="H15" s="8"/>
      <c r="I15" s="8"/>
      <c r="J15" s="8"/>
      <c r="K15" s="8"/>
      <c r="L15" s="8"/>
    </row>
    <row r="16" spans="1:12">
      <c r="A16" s="8"/>
      <c r="B16" s="8" t="s">
        <v>47</v>
      </c>
      <c r="C16" s="8"/>
      <c r="D16" s="8"/>
      <c r="E16" s="8"/>
      <c r="F16" s="8"/>
      <c r="G16" s="8"/>
      <c r="H16" s="8"/>
      <c r="I16" s="8"/>
      <c r="J16" s="8"/>
      <c r="K16" s="8"/>
      <c r="L16" s="8"/>
    </row>
    <row r="17" spans="1:18">
      <c r="A17" s="6"/>
      <c r="B17" s="6"/>
      <c r="C17" s="6"/>
      <c r="D17" s="6"/>
      <c r="E17" s="6"/>
      <c r="F17" s="6"/>
      <c r="G17" s="6"/>
      <c r="H17" s="6"/>
      <c r="I17" s="6"/>
      <c r="J17" s="6"/>
      <c r="K17" s="6"/>
      <c r="L17" s="6"/>
    </row>
    <row r="18" spans="1:18">
      <c r="A18" s="5" t="s">
        <v>4</v>
      </c>
      <c r="B18" s="8" t="s">
        <v>48</v>
      </c>
      <c r="C18" s="4"/>
      <c r="D18" s="4"/>
      <c r="E18" s="4"/>
      <c r="F18" s="4"/>
      <c r="G18" s="4"/>
      <c r="H18" s="4"/>
      <c r="I18" s="4"/>
      <c r="J18" s="4"/>
      <c r="K18" s="4"/>
      <c r="L18" s="4"/>
      <c r="M18" s="7"/>
      <c r="N18" s="7"/>
      <c r="O18" s="7"/>
      <c r="P18" s="7"/>
      <c r="Q18" s="7"/>
      <c r="R18" s="7"/>
    </row>
    <row r="19" spans="1:18">
      <c r="A19" s="6"/>
      <c r="B19" s="6"/>
      <c r="C19" s="6"/>
      <c r="D19" s="6"/>
      <c r="E19" s="6"/>
      <c r="F19" s="6"/>
      <c r="G19" s="6"/>
      <c r="H19" s="6"/>
      <c r="I19" s="6"/>
      <c r="J19" s="6"/>
      <c r="K19" s="6"/>
      <c r="L19" s="6"/>
      <c r="M19" s="6"/>
    </row>
    <row r="20" spans="1:18">
      <c r="A20" s="6" t="s">
        <v>1</v>
      </c>
      <c r="B20" s="6"/>
      <c r="C20" s="6"/>
      <c r="D20" s="6"/>
      <c r="E20" s="6"/>
      <c r="F20" s="6"/>
      <c r="G20" s="6"/>
      <c r="H20" s="6"/>
      <c r="I20" s="6"/>
      <c r="J20" s="6"/>
      <c r="K20" s="6"/>
      <c r="L20" s="6"/>
      <c r="M20" s="6"/>
      <c r="N20" s="7"/>
    </row>
    <row r="21" spans="1:18" ht="15.6" customHeight="1">
      <c r="A21" s="6"/>
      <c r="B21" s="115" t="s">
        <v>37</v>
      </c>
      <c r="C21" s="117" t="s">
        <v>230</v>
      </c>
      <c r="D21" s="117"/>
      <c r="E21" s="117"/>
      <c r="F21" s="117"/>
      <c r="G21" s="117"/>
      <c r="H21" s="117"/>
      <c r="I21" s="117"/>
      <c r="J21" s="117"/>
      <c r="K21" s="6"/>
      <c r="L21" s="6"/>
      <c r="M21" s="6"/>
      <c r="N21" s="7"/>
    </row>
    <row r="22" spans="1:18">
      <c r="A22" s="6"/>
      <c r="B22" s="116"/>
      <c r="C22" s="68" t="str">
        <f>C6&amp;"-"&amp;D6</f>
        <v>6-12</v>
      </c>
      <c r="D22" s="68" t="str">
        <f t="shared" ref="D22:I22" si="0">D6&amp;"-"&amp;E6</f>
        <v>12-18</v>
      </c>
      <c r="E22" s="68" t="str">
        <f t="shared" si="0"/>
        <v>18-24</v>
      </c>
      <c r="F22" s="68" t="str">
        <f t="shared" si="0"/>
        <v>24-30</v>
      </c>
      <c r="G22" s="68" t="str">
        <f t="shared" si="0"/>
        <v>30-36</v>
      </c>
      <c r="H22" s="68" t="str">
        <f t="shared" si="0"/>
        <v>36-42</v>
      </c>
      <c r="I22" s="68" t="str">
        <f t="shared" si="0"/>
        <v>42-48</v>
      </c>
      <c r="J22" s="68" t="str">
        <f>J6&amp;"-Ult"</f>
        <v>48-Ult</v>
      </c>
      <c r="K22" s="6"/>
      <c r="L22" s="6"/>
      <c r="M22" s="6"/>
      <c r="N22" s="7"/>
    </row>
    <row r="23" spans="1:18">
      <c r="A23" s="6"/>
      <c r="B23" s="67" t="str">
        <f>B7</f>
        <v>2020-1</v>
      </c>
      <c r="C23" s="70">
        <f>D7/C7</f>
        <v>1.0221725350290962</v>
      </c>
      <c r="D23" s="70">
        <f t="shared" ref="D23:I23" si="1">E7/D7</f>
        <v>1.048705921446428</v>
      </c>
      <c r="E23" s="70">
        <f t="shared" si="1"/>
        <v>1.0066897667867138</v>
      </c>
      <c r="F23" s="70">
        <f t="shared" si="1"/>
        <v>1.0104036224033286</v>
      </c>
      <c r="G23" s="70">
        <f t="shared" si="1"/>
        <v>1.0054360411591867</v>
      </c>
      <c r="H23" s="70">
        <f t="shared" si="1"/>
        <v>1.0009325702467002</v>
      </c>
      <c r="I23" s="70">
        <f t="shared" si="1"/>
        <v>1</v>
      </c>
      <c r="J23" s="70"/>
      <c r="K23" s="6"/>
      <c r="L23" s="6"/>
      <c r="M23" s="6"/>
      <c r="N23" s="7"/>
    </row>
    <row r="24" spans="1:18">
      <c r="A24" s="6"/>
      <c r="B24" s="67" t="str">
        <f t="shared" ref="B24:B29" si="2">B8</f>
        <v>2020-2</v>
      </c>
      <c r="C24" s="70">
        <f t="shared" ref="C24:H24" si="3">D8/C8</f>
        <v>1.0526569916934496</v>
      </c>
      <c r="D24" s="70">
        <f t="shared" si="3"/>
        <v>1.0241054246563788</v>
      </c>
      <c r="E24" s="70">
        <f t="shared" si="3"/>
        <v>1.0140010121337644</v>
      </c>
      <c r="F24" s="70">
        <f t="shared" si="3"/>
        <v>1.0108421543774533</v>
      </c>
      <c r="G24" s="70">
        <f t="shared" si="3"/>
        <v>1.0058488725664019</v>
      </c>
      <c r="H24" s="70">
        <f t="shared" si="3"/>
        <v>1.001183944888389</v>
      </c>
      <c r="I24" s="70"/>
      <c r="J24" s="70"/>
      <c r="K24" s="6"/>
      <c r="L24" s="6"/>
      <c r="M24" s="6"/>
      <c r="N24" s="7"/>
    </row>
    <row r="25" spans="1:18">
      <c r="A25" s="6"/>
      <c r="B25" s="67" t="str">
        <f t="shared" si="2"/>
        <v>2021-1</v>
      </c>
      <c r="C25" s="70">
        <f t="shared" ref="C25:G25" si="4">D9/C9</f>
        <v>1.0274040993765017</v>
      </c>
      <c r="D25" s="70">
        <f t="shared" si="4"/>
        <v>1.0430296911018437</v>
      </c>
      <c r="E25" s="70">
        <f t="shared" si="4"/>
        <v>1.0076253349797382</v>
      </c>
      <c r="F25" s="70">
        <f t="shared" si="4"/>
        <v>1.01160325056009</v>
      </c>
      <c r="G25" s="70">
        <f t="shared" si="4"/>
        <v>1.0057398210158242</v>
      </c>
      <c r="H25" s="70"/>
      <c r="I25" s="70"/>
      <c r="J25" s="70"/>
      <c r="K25" s="6"/>
      <c r="L25" s="6"/>
      <c r="M25" s="6"/>
      <c r="N25" s="7"/>
    </row>
    <row r="26" spans="1:18">
      <c r="A26" s="6"/>
      <c r="B26" s="67" t="str">
        <f t="shared" si="2"/>
        <v>2021-2</v>
      </c>
      <c r="C26" s="70">
        <f t="shared" ref="C26:F26" si="5">D10/C10</f>
        <v>1.0464927266058746</v>
      </c>
      <c r="D26" s="70">
        <f t="shared" si="5"/>
        <v>1.0279676659039465</v>
      </c>
      <c r="E26" s="70">
        <f t="shared" si="5"/>
        <v>1.0164535438071001</v>
      </c>
      <c r="F26" s="70">
        <f t="shared" si="5"/>
        <v>1.0098306856452797</v>
      </c>
      <c r="G26" s="70"/>
      <c r="H26" s="70"/>
      <c r="I26" s="70"/>
      <c r="J26" s="70"/>
      <c r="K26" s="6"/>
      <c r="L26" s="6"/>
      <c r="M26" s="6"/>
      <c r="N26" s="7"/>
    </row>
    <row r="27" spans="1:18">
      <c r="A27" s="6"/>
      <c r="B27" s="67" t="str">
        <f t="shared" si="2"/>
        <v>2022-1</v>
      </c>
      <c r="C27" s="70">
        <f t="shared" ref="C27:E27" si="6">D11/C11</f>
        <v>1.0249627613871124</v>
      </c>
      <c r="D27" s="70">
        <f t="shared" si="6"/>
        <v>1.0367378928898525</v>
      </c>
      <c r="E27" s="70">
        <f t="shared" si="6"/>
        <v>1.0069766461034588</v>
      </c>
      <c r="F27" s="70"/>
      <c r="G27" s="70"/>
      <c r="H27" s="70"/>
      <c r="I27" s="70"/>
      <c r="J27" s="70"/>
      <c r="K27" s="6"/>
      <c r="L27" s="6"/>
      <c r="M27" s="6"/>
      <c r="N27" s="7"/>
    </row>
    <row r="28" spans="1:18">
      <c r="A28" s="6"/>
      <c r="B28" s="67" t="str">
        <f t="shared" si="2"/>
        <v>2022-2</v>
      </c>
      <c r="C28" s="70">
        <f t="shared" ref="C28:D28" si="7">D12/C12</f>
        <v>1.0545129370894426</v>
      </c>
      <c r="D28" s="70">
        <f t="shared" si="7"/>
        <v>1.0090777580063279</v>
      </c>
      <c r="E28" s="70"/>
      <c r="F28" s="70"/>
      <c r="G28" s="70"/>
      <c r="H28" s="70"/>
      <c r="I28" s="70"/>
      <c r="J28" s="70"/>
      <c r="K28" s="6"/>
      <c r="L28" s="6"/>
      <c r="M28" s="6"/>
      <c r="N28" s="7"/>
    </row>
    <row r="29" spans="1:18">
      <c r="A29" s="6"/>
      <c r="B29" s="67" t="str">
        <f t="shared" si="2"/>
        <v>2023-1</v>
      </c>
      <c r="C29" s="70">
        <f t="shared" ref="C29" si="8">D13/C13</f>
        <v>1.017805937303452</v>
      </c>
      <c r="D29" s="70"/>
      <c r="E29" s="70"/>
      <c r="F29" s="70"/>
      <c r="G29" s="70"/>
      <c r="H29" s="70"/>
      <c r="I29" s="70"/>
      <c r="J29" s="70"/>
      <c r="K29" s="6"/>
      <c r="L29" s="6"/>
      <c r="M29" s="6"/>
      <c r="N29" s="7"/>
    </row>
    <row r="30" spans="1:18">
      <c r="A30" s="6"/>
      <c r="B30" s="55"/>
      <c r="C30" s="65"/>
      <c r="D30" s="65"/>
      <c r="E30" s="65"/>
      <c r="F30" s="66"/>
      <c r="G30" s="65"/>
      <c r="K30" s="6"/>
      <c r="L30" s="6"/>
      <c r="M30" s="6"/>
      <c r="N30" s="7"/>
    </row>
    <row r="31" spans="1:18">
      <c r="A31" s="6"/>
      <c r="B31" s="1" t="s">
        <v>231</v>
      </c>
      <c r="C31" s="65">
        <f>AVERAGE(C23,C25,C27,C29)</f>
        <v>1.0230863332740405</v>
      </c>
      <c r="D31" s="65">
        <f>AVERAGE(D23,D25,D27)</f>
        <v>1.042824501812708</v>
      </c>
      <c r="E31" s="65">
        <f>AVERAGE(E23,E25,E27)</f>
        <v>1.0070972492899701</v>
      </c>
      <c r="F31" s="65">
        <f>AVERAGE(F23,F25)</f>
        <v>1.0110034364817093</v>
      </c>
      <c r="G31" s="65"/>
      <c r="K31" s="6"/>
      <c r="L31" s="6"/>
      <c r="M31" s="6"/>
      <c r="N31" s="7"/>
    </row>
    <row r="32" spans="1:18">
      <c r="A32" s="6"/>
      <c r="B32" s="1" t="s">
        <v>232</v>
      </c>
      <c r="C32" s="65">
        <f>AVERAGE(C24,C26,C28)</f>
        <v>1.051220885129589</v>
      </c>
      <c r="D32" s="65">
        <f>AVERAGE(D24,D26,D28)</f>
        <v>1.0203836161888844</v>
      </c>
      <c r="E32" s="65">
        <f>AVERAGE(E24,E26)</f>
        <v>1.0152272779704323</v>
      </c>
      <c r="F32" s="65">
        <f>AVERAGE(F24,F26)</f>
        <v>1.0103364200113665</v>
      </c>
      <c r="G32" s="65"/>
      <c r="K32" s="6"/>
      <c r="L32" s="6"/>
      <c r="M32" s="6"/>
      <c r="N32" s="7"/>
    </row>
    <row r="33" spans="1:14">
      <c r="A33" s="6"/>
      <c r="B33" s="1" t="s">
        <v>233</v>
      </c>
      <c r="C33" s="65">
        <f>AVERAGE(C23:C29)</f>
        <v>1.0351439983549899</v>
      </c>
      <c r="D33" s="65">
        <f>AVERAGE(D23:D28)</f>
        <v>1.0316040590007962</v>
      </c>
      <c r="E33" s="65">
        <f>AVERAGE(E23:E28)</f>
        <v>1.0103492607621551</v>
      </c>
      <c r="F33" s="65">
        <f>AVERAGE(F23:F28)</f>
        <v>1.0106699282465379</v>
      </c>
      <c r="G33" s="65">
        <f>AVERAGE(G23:G28)</f>
        <v>1.0056749115804708</v>
      </c>
      <c r="H33" s="65">
        <f>AVERAGE(H23:H28)</f>
        <v>1.0010582575675446</v>
      </c>
      <c r="I33" s="65">
        <f>ROUND(AVERAGE(I23:I28),3)</f>
        <v>1</v>
      </c>
      <c r="K33" s="6"/>
      <c r="L33" s="6"/>
      <c r="M33" s="6"/>
      <c r="N33" s="7"/>
    </row>
    <row r="34" spans="1:14">
      <c r="A34" s="6"/>
      <c r="C34" s="65"/>
      <c r="D34" s="65"/>
      <c r="E34" s="65"/>
      <c r="F34" s="65"/>
      <c r="G34" s="65"/>
      <c r="K34" s="6"/>
      <c r="L34" s="6"/>
      <c r="M34" s="6"/>
      <c r="N34" s="7"/>
    </row>
    <row r="35" spans="1:14">
      <c r="A35" s="6"/>
      <c r="B35" s="1" t="s">
        <v>234</v>
      </c>
      <c r="C35" s="65"/>
      <c r="D35" s="65"/>
      <c r="E35" s="65"/>
      <c r="F35" s="65"/>
      <c r="G35" s="65"/>
      <c r="K35" s="6"/>
      <c r="L35" s="6"/>
      <c r="M35" s="6"/>
      <c r="N35" s="7"/>
    </row>
    <row r="36" spans="1:14">
      <c r="A36" s="6"/>
      <c r="B36" s="1" t="s">
        <v>235</v>
      </c>
      <c r="C36" s="65">
        <f>C31</f>
        <v>1.0230863332740405</v>
      </c>
      <c r="D36" s="65">
        <f>D31</f>
        <v>1.042824501812708</v>
      </c>
      <c r="E36" s="65">
        <f>E31</f>
        <v>1.0070972492899701</v>
      </c>
      <c r="F36" s="65">
        <f t="shared" ref="F36:I36" si="9">F33</f>
        <v>1.0106699282465379</v>
      </c>
      <c r="G36" s="65">
        <f t="shared" si="9"/>
        <v>1.0056749115804708</v>
      </c>
      <c r="H36" s="65">
        <f t="shared" si="9"/>
        <v>1.0010582575675446</v>
      </c>
      <c r="I36" s="65">
        <f t="shared" si="9"/>
        <v>1</v>
      </c>
      <c r="J36" s="65">
        <f>I36</f>
        <v>1</v>
      </c>
      <c r="K36" s="6"/>
      <c r="L36" s="6"/>
      <c r="M36" s="6"/>
      <c r="N36" s="7"/>
    </row>
    <row r="37" spans="1:14">
      <c r="A37" s="6"/>
      <c r="B37" s="1" t="s">
        <v>236</v>
      </c>
      <c r="C37" s="65">
        <f t="shared" ref="C37:H37" si="10">C36*D37</f>
        <v>1.0932543947433164</v>
      </c>
      <c r="D37" s="72">
        <f t="shared" si="10"/>
        <v>1.0685846924029636</v>
      </c>
      <c r="E37" s="65">
        <f t="shared" si="10"/>
        <v>1.0247023257944914</v>
      </c>
      <c r="F37" s="65">
        <f t="shared" si="10"/>
        <v>1.0174810094228073</v>
      </c>
      <c r="G37" s="65">
        <f t="shared" si="10"/>
        <v>1.0067391746661407</v>
      </c>
      <c r="H37" s="65">
        <f t="shared" si="10"/>
        <v>1.0010582575675446</v>
      </c>
      <c r="I37" s="65">
        <f>I36*J37</f>
        <v>1</v>
      </c>
      <c r="J37" s="65">
        <f>J36</f>
        <v>1</v>
      </c>
      <c r="K37" s="6"/>
      <c r="L37" s="6"/>
      <c r="M37" s="6"/>
      <c r="N37" s="7"/>
    </row>
    <row r="38" spans="1:14">
      <c r="A38" s="6"/>
      <c r="C38" s="65"/>
      <c r="D38" s="65"/>
      <c r="E38" s="65"/>
      <c r="F38" s="65"/>
      <c r="G38" s="65"/>
      <c r="K38" s="6"/>
      <c r="L38" s="6"/>
      <c r="M38" s="6"/>
      <c r="N38" s="7"/>
    </row>
    <row r="39" spans="1:14">
      <c r="A39" s="6"/>
      <c r="B39" s="1" t="s">
        <v>237</v>
      </c>
      <c r="C39" s="65"/>
      <c r="D39" s="65"/>
      <c r="E39" s="65"/>
      <c r="F39" s="65"/>
      <c r="G39" s="65"/>
      <c r="K39" s="6"/>
      <c r="L39" s="6"/>
      <c r="M39" s="6"/>
      <c r="N39" s="7"/>
    </row>
    <row r="40" spans="1:14">
      <c r="A40" s="6"/>
      <c r="B40" s="1" t="s">
        <v>235</v>
      </c>
      <c r="C40" s="65">
        <f>C32</f>
        <v>1.051220885129589</v>
      </c>
      <c r="D40" s="65">
        <f>D32</f>
        <v>1.0203836161888844</v>
      </c>
      <c r="E40" s="65">
        <f>E32</f>
        <v>1.0152272779704323</v>
      </c>
      <c r="F40" s="65">
        <f t="shared" ref="F40:I40" si="11">F33</f>
        <v>1.0106699282465379</v>
      </c>
      <c r="G40" s="65">
        <f t="shared" si="11"/>
        <v>1.0056749115804708</v>
      </c>
      <c r="H40" s="65">
        <f t="shared" si="11"/>
        <v>1.0010582575675446</v>
      </c>
      <c r="I40" s="65">
        <f t="shared" si="11"/>
        <v>1</v>
      </c>
      <c r="J40" s="65">
        <v>1</v>
      </c>
      <c r="K40" s="6"/>
      <c r="L40" s="6"/>
      <c r="M40" s="6"/>
      <c r="N40" s="7"/>
    </row>
    <row r="41" spans="1:14">
      <c r="A41" s="6"/>
      <c r="B41" s="1" t="s">
        <v>236</v>
      </c>
      <c r="C41" s="72">
        <f t="shared" ref="C41:H41" si="12">C40*D41</f>
        <v>1.1080185922023797</v>
      </c>
      <c r="D41" s="65">
        <f t="shared" si="12"/>
        <v>1.0540302308261209</v>
      </c>
      <c r="E41" s="65">
        <f t="shared" si="12"/>
        <v>1.0329744755829244</v>
      </c>
      <c r="F41" s="65">
        <f t="shared" si="12"/>
        <v>1.0174810094228073</v>
      </c>
      <c r="G41" s="65">
        <f t="shared" si="12"/>
        <v>1.0067391746661407</v>
      </c>
      <c r="H41" s="65">
        <f t="shared" si="12"/>
        <v>1.0010582575675446</v>
      </c>
      <c r="I41" s="65">
        <f>I40*J41</f>
        <v>1</v>
      </c>
      <c r="J41" s="65">
        <f>J40</f>
        <v>1</v>
      </c>
      <c r="K41" s="6"/>
      <c r="L41" s="6"/>
      <c r="M41" s="6"/>
      <c r="N41" s="7"/>
    </row>
    <row r="42" spans="1:14">
      <c r="C42" s="65"/>
      <c r="D42" s="65"/>
      <c r="E42" s="65"/>
      <c r="F42" s="65"/>
      <c r="G42" s="65"/>
      <c r="M42" s="7"/>
      <c r="N42" s="7"/>
    </row>
    <row r="43" spans="1:14">
      <c r="B43" s="1" t="s">
        <v>238</v>
      </c>
      <c r="C43" s="65"/>
      <c r="D43" s="65"/>
      <c r="E43" s="65"/>
      <c r="F43" s="65"/>
      <c r="G43" s="65"/>
      <c r="M43" s="7"/>
      <c r="N43" s="7"/>
    </row>
    <row r="44" spans="1:14" ht="31.2">
      <c r="B44" s="71" t="s">
        <v>37</v>
      </c>
      <c r="C44" s="71" t="s">
        <v>38</v>
      </c>
      <c r="D44" s="71" t="s">
        <v>239</v>
      </c>
      <c r="E44" s="71" t="s">
        <v>91</v>
      </c>
      <c r="F44" s="65"/>
      <c r="G44" s="65"/>
      <c r="M44" s="7"/>
      <c r="N44" s="7"/>
    </row>
    <row r="45" spans="1:14">
      <c r="B45" s="67" t="s">
        <v>45</v>
      </c>
      <c r="C45" s="57">
        <f>D13</f>
        <v>2283355</v>
      </c>
      <c r="D45" s="65">
        <f>D37</f>
        <v>1.0685846924029636</v>
      </c>
      <c r="E45" s="57">
        <f>C45*D45</f>
        <v>2439958.2003217689</v>
      </c>
      <c r="F45" s="65"/>
      <c r="G45" s="65"/>
      <c r="H45" s="57"/>
      <c r="M45" s="7"/>
      <c r="N45" s="7"/>
    </row>
    <row r="46" spans="1:14">
      <c r="B46" s="68" t="s">
        <v>46</v>
      </c>
      <c r="C46" s="62">
        <f>C14</f>
        <v>2451221</v>
      </c>
      <c r="D46" s="69">
        <f>C41</f>
        <v>1.1080185922023797</v>
      </c>
      <c r="E46" s="62">
        <f t="shared" ref="E46" si="13">C46*D46</f>
        <v>2715998.4415969094</v>
      </c>
      <c r="F46" s="65"/>
      <c r="G46" s="65"/>
      <c r="H46" s="57"/>
      <c r="M46" s="7"/>
      <c r="N46" s="7"/>
    </row>
    <row r="47" spans="1:14">
      <c r="B47" s="55" t="s">
        <v>220</v>
      </c>
      <c r="C47" s="65"/>
      <c r="D47" s="65"/>
      <c r="E47" s="57">
        <f>SUM(E45:E46)</f>
        <v>5155956.6419186778</v>
      </c>
      <c r="F47" s="65"/>
      <c r="G47" s="65"/>
      <c r="H47" s="57"/>
      <c r="M47" s="7"/>
      <c r="N47" s="7"/>
    </row>
    <row r="49" spans="1:13">
      <c r="A49" s="5" t="s">
        <v>5</v>
      </c>
      <c r="B49" s="8" t="s">
        <v>49</v>
      </c>
      <c r="C49" s="4"/>
      <c r="D49" s="4"/>
      <c r="E49" s="4"/>
      <c r="F49" s="4"/>
      <c r="G49" s="4"/>
      <c r="H49" s="4"/>
      <c r="I49" s="4"/>
      <c r="J49" s="4"/>
      <c r="K49" s="4"/>
      <c r="L49" s="4"/>
    </row>
    <row r="50" spans="1:13">
      <c r="A50" s="6"/>
      <c r="B50" s="6"/>
      <c r="C50" s="6"/>
      <c r="D50" s="6"/>
      <c r="E50" s="6"/>
      <c r="F50" s="6"/>
      <c r="G50" s="6"/>
      <c r="H50" s="6"/>
      <c r="I50" s="6"/>
      <c r="J50" s="6"/>
      <c r="K50" s="6"/>
      <c r="L50" s="6"/>
    </row>
    <row r="51" spans="1:13">
      <c r="A51" s="6" t="s">
        <v>1</v>
      </c>
      <c r="B51" s="6"/>
      <c r="C51" s="6"/>
      <c r="D51" s="6"/>
      <c r="E51" s="6"/>
      <c r="F51" s="6"/>
      <c r="G51" s="6"/>
      <c r="H51" s="6"/>
      <c r="I51" s="6"/>
      <c r="J51" s="6"/>
      <c r="K51" s="6"/>
      <c r="L51" s="6"/>
    </row>
    <row r="52" spans="1:13">
      <c r="B52" s="67" t="s">
        <v>240</v>
      </c>
      <c r="C52" s="67" t="s">
        <v>241</v>
      </c>
      <c r="D52" s="65" t="s">
        <v>242</v>
      </c>
      <c r="E52" s="67" t="s">
        <v>73</v>
      </c>
      <c r="M52" s="6"/>
    </row>
    <row r="53" spans="1:13">
      <c r="B53" s="71" t="s">
        <v>243</v>
      </c>
      <c r="C53" s="71" t="s">
        <v>244</v>
      </c>
      <c r="D53" s="69" t="s">
        <v>245</v>
      </c>
      <c r="E53" s="71" t="s">
        <v>244</v>
      </c>
      <c r="M53" s="6"/>
    </row>
    <row r="54" spans="1:13">
      <c r="B54" s="67" t="str">
        <f>B45</f>
        <v>2023-1</v>
      </c>
      <c r="C54" s="57">
        <f>C45</f>
        <v>2283355</v>
      </c>
      <c r="D54" s="65">
        <f>D36-1</f>
        <v>4.2824501812708027E-2</v>
      </c>
      <c r="E54" s="57">
        <f>D54*C54</f>
        <v>97783.540336555932</v>
      </c>
      <c r="M54" s="6"/>
    </row>
    <row r="55" spans="1:13">
      <c r="B55" s="68" t="str">
        <f>B46</f>
        <v>2023-2</v>
      </c>
      <c r="C55" s="62">
        <f>C46</f>
        <v>2451221</v>
      </c>
      <c r="D55" s="69">
        <f>C40-1</f>
        <v>5.1220885129589E-2</v>
      </c>
      <c r="E55" s="62">
        <f t="shared" ref="E55" si="14">D55*C55</f>
        <v>125553.70926823627</v>
      </c>
    </row>
    <row r="56" spans="1:13">
      <c r="B56" s="55" t="s">
        <v>220</v>
      </c>
      <c r="C56" s="65"/>
      <c r="D56" s="65"/>
      <c r="E56" s="57">
        <f>SUM(E54:E55)</f>
        <v>223337.24960479222</v>
      </c>
    </row>
    <row r="58" spans="1:13">
      <c r="A58" s="8" t="s">
        <v>50</v>
      </c>
      <c r="B58" s="3"/>
      <c r="C58" s="3"/>
      <c r="D58" s="3"/>
      <c r="E58" s="3"/>
      <c r="F58" s="3"/>
      <c r="G58" s="4"/>
      <c r="H58" s="4"/>
      <c r="I58" s="4"/>
      <c r="J58" s="4"/>
      <c r="K58" s="4"/>
      <c r="L58" s="4"/>
    </row>
    <row r="60" spans="1:13" ht="16.2" customHeight="1">
      <c r="A60" s="5" t="s">
        <v>0</v>
      </c>
      <c r="B60" s="8" t="s">
        <v>51</v>
      </c>
      <c r="C60" s="4"/>
      <c r="D60" s="4"/>
      <c r="E60" s="4"/>
      <c r="F60" s="4"/>
      <c r="G60" s="4"/>
      <c r="H60" s="4"/>
      <c r="I60" s="4"/>
      <c r="J60" s="4"/>
      <c r="K60" s="4"/>
      <c r="L60" s="4"/>
    </row>
    <row r="61" spans="1:13">
      <c r="A61" s="6"/>
      <c r="B61" s="6"/>
      <c r="C61" s="6"/>
      <c r="D61" s="6"/>
      <c r="E61" s="6"/>
      <c r="F61" s="6"/>
      <c r="G61" s="6"/>
      <c r="H61" s="6"/>
      <c r="I61" s="6"/>
      <c r="J61" s="6"/>
      <c r="K61" s="6"/>
      <c r="L61" s="6"/>
    </row>
    <row r="62" spans="1:13">
      <c r="A62" s="6" t="s">
        <v>1</v>
      </c>
      <c r="B62" s="6"/>
      <c r="C62" s="6"/>
      <c r="D62" s="6"/>
      <c r="E62" s="6"/>
      <c r="F62" s="6"/>
      <c r="G62" s="6"/>
      <c r="H62" s="6"/>
      <c r="I62" s="6"/>
      <c r="J62" s="6"/>
      <c r="K62" s="6"/>
      <c r="L62" s="6"/>
    </row>
    <row r="63" spans="1:13">
      <c r="A63" s="6"/>
      <c r="B63" s="6" t="s">
        <v>246</v>
      </c>
      <c r="C63" s="6"/>
      <c r="D63" s="6"/>
      <c r="E63" s="6"/>
      <c r="F63" s="6"/>
      <c r="G63" s="6"/>
      <c r="H63" s="6"/>
      <c r="I63" s="6"/>
      <c r="J63" s="6"/>
      <c r="K63" s="6"/>
      <c r="L63" s="6"/>
    </row>
    <row r="65" spans="1:13">
      <c r="A65" s="5" t="s">
        <v>2</v>
      </c>
      <c r="B65" s="8" t="s">
        <v>52</v>
      </c>
      <c r="C65" s="4"/>
      <c r="D65" s="4"/>
      <c r="E65" s="4"/>
      <c r="F65" s="4"/>
      <c r="G65" s="4"/>
      <c r="H65" s="4"/>
      <c r="I65" s="4"/>
      <c r="J65" s="4"/>
      <c r="K65" s="4"/>
      <c r="L65" s="4"/>
    </row>
    <row r="66" spans="1:13">
      <c r="A66" s="6"/>
      <c r="B66" s="6"/>
      <c r="C66" s="6"/>
      <c r="D66" s="6"/>
      <c r="E66" s="6"/>
      <c r="F66" s="6"/>
      <c r="G66" s="6"/>
      <c r="H66" s="6"/>
      <c r="I66" s="6"/>
      <c r="J66" s="6"/>
      <c r="K66" s="6"/>
      <c r="L66" s="6"/>
    </row>
    <row r="67" spans="1:13">
      <c r="A67" s="6" t="s">
        <v>1</v>
      </c>
      <c r="B67" s="6"/>
      <c r="C67" s="6"/>
      <c r="D67" s="6"/>
      <c r="E67" s="6"/>
      <c r="F67" s="6"/>
      <c r="G67" s="6"/>
      <c r="H67" s="6"/>
      <c r="I67" s="6"/>
      <c r="J67" s="6"/>
      <c r="K67" s="6"/>
      <c r="L67" s="6"/>
    </row>
    <row r="68" spans="1:13">
      <c r="A68" s="6"/>
      <c r="B68" s="6" t="s">
        <v>247</v>
      </c>
      <c r="C68" s="6"/>
      <c r="D68" s="6"/>
      <c r="E68" s="6"/>
      <c r="F68" s="6"/>
      <c r="G68" s="6"/>
      <c r="H68" s="6"/>
      <c r="I68" s="6"/>
      <c r="J68" s="6"/>
      <c r="K68" s="6"/>
      <c r="L68" s="6"/>
    </row>
    <row r="69" spans="1:13">
      <c r="A69" s="6"/>
      <c r="B69" s="6" t="s">
        <v>248</v>
      </c>
      <c r="C69" s="6"/>
      <c r="D69" s="6"/>
      <c r="E69" s="6"/>
      <c r="F69" s="6"/>
      <c r="G69" s="6"/>
      <c r="H69" s="6"/>
      <c r="I69" s="6"/>
      <c r="J69" s="6"/>
      <c r="K69" s="6"/>
      <c r="L69" s="6"/>
    </row>
    <row r="72" spans="1:13">
      <c r="M72" s="6"/>
    </row>
    <row r="73" spans="1:13">
      <c r="M73" s="6"/>
    </row>
  </sheetData>
  <mergeCells count="4">
    <mergeCell ref="B5:B6"/>
    <mergeCell ref="C5:J5"/>
    <mergeCell ref="B21:B22"/>
    <mergeCell ref="C21:J2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7FEEA-EFDC-42B2-885D-3704B04D8E38}">
  <dimension ref="A1:R50"/>
  <sheetViews>
    <sheetView zoomScaleNormal="100" workbookViewId="0"/>
  </sheetViews>
  <sheetFormatPr defaultRowHeight="15.6"/>
  <cols>
    <col min="1" max="1" width="8.88671875" style="1" customWidth="1"/>
    <col min="2" max="4" width="10.77734375" style="1" customWidth="1"/>
    <col min="5" max="5" width="13.77734375" style="1" customWidth="1"/>
    <col min="6" max="6" width="10.77734375" style="1" customWidth="1"/>
    <col min="7" max="7" width="13.77734375" style="1" customWidth="1"/>
    <col min="8" max="10" width="10.77734375" style="1" customWidth="1"/>
    <col min="11" max="11" width="13.77734375" style="1" customWidth="1"/>
    <col min="12" max="12" width="10.77734375" style="1" customWidth="1"/>
    <col min="13" max="16384" width="8.88671875" style="1"/>
  </cols>
  <sheetData>
    <row r="1" spans="1:18" ht="17.399999999999999">
      <c r="A1" s="2" t="s">
        <v>53</v>
      </c>
      <c r="B1" s="4"/>
      <c r="C1" s="8" t="s">
        <v>8</v>
      </c>
      <c r="D1" s="4"/>
      <c r="E1" s="4"/>
      <c r="F1" s="4"/>
      <c r="G1" s="4"/>
      <c r="H1" s="4"/>
      <c r="I1" s="4"/>
      <c r="J1" s="4"/>
      <c r="K1" s="4"/>
      <c r="L1" s="3"/>
    </row>
    <row r="2" spans="1:18">
      <c r="A2" s="4"/>
      <c r="B2" s="4"/>
      <c r="C2" s="4"/>
      <c r="D2" s="4"/>
      <c r="E2" s="4"/>
      <c r="F2" s="4"/>
      <c r="G2" s="4"/>
      <c r="H2" s="4"/>
      <c r="I2" s="4"/>
      <c r="J2" s="4"/>
      <c r="K2" s="4"/>
      <c r="L2" s="3"/>
    </row>
    <row r="3" spans="1:18">
      <c r="A3" s="8" t="s">
        <v>54</v>
      </c>
      <c r="B3" s="4"/>
      <c r="C3" s="4"/>
      <c r="D3" s="4"/>
      <c r="E3" s="4"/>
      <c r="F3" s="4"/>
      <c r="G3" s="4"/>
      <c r="H3" s="4"/>
      <c r="I3" s="4"/>
      <c r="J3" s="4"/>
      <c r="K3" s="4"/>
      <c r="L3" s="3"/>
    </row>
    <row r="4" spans="1:18">
      <c r="A4" s="6"/>
      <c r="B4" s="6"/>
      <c r="C4" s="6"/>
      <c r="D4" s="6"/>
      <c r="E4" s="6"/>
      <c r="F4" s="6"/>
      <c r="G4" s="6"/>
      <c r="H4" s="6"/>
      <c r="I4" s="6"/>
      <c r="J4" s="6"/>
      <c r="K4" s="6"/>
      <c r="L4" s="6"/>
    </row>
    <row r="5" spans="1:18">
      <c r="A5" s="5" t="s">
        <v>4</v>
      </c>
      <c r="B5" s="118" t="s">
        <v>55</v>
      </c>
      <c r="C5" s="118"/>
      <c r="D5" s="118"/>
      <c r="E5" s="118"/>
      <c r="F5" s="118"/>
      <c r="G5" s="118"/>
      <c r="H5" s="118"/>
      <c r="I5" s="118"/>
      <c r="J5" s="118"/>
      <c r="K5" s="118"/>
      <c r="L5" s="118"/>
      <c r="M5" s="7"/>
      <c r="N5" s="7"/>
      <c r="O5" s="7"/>
      <c r="P5" s="7"/>
      <c r="Q5" s="7"/>
      <c r="R5" s="7"/>
    </row>
    <row r="6" spans="1:18">
      <c r="A6" s="3"/>
      <c r="B6" s="118"/>
      <c r="C6" s="118"/>
      <c r="D6" s="118"/>
      <c r="E6" s="118"/>
      <c r="F6" s="118"/>
      <c r="G6" s="118"/>
      <c r="H6" s="118"/>
      <c r="I6" s="118"/>
      <c r="J6" s="118"/>
      <c r="K6" s="118"/>
      <c r="L6" s="118"/>
    </row>
    <row r="7" spans="1:18">
      <c r="A7" s="6"/>
      <c r="B7" s="6"/>
      <c r="C7" s="6"/>
      <c r="D7" s="6"/>
      <c r="E7" s="6"/>
      <c r="F7" s="6"/>
      <c r="G7" s="6"/>
      <c r="H7" s="6"/>
      <c r="I7" s="6"/>
      <c r="J7" s="6"/>
      <c r="K7" s="6"/>
      <c r="L7" s="6"/>
      <c r="M7" s="6"/>
    </row>
    <row r="8" spans="1:18">
      <c r="A8" s="6" t="s">
        <v>1</v>
      </c>
      <c r="B8" s="6"/>
      <c r="C8" s="6"/>
      <c r="D8" s="6"/>
      <c r="E8" s="6"/>
      <c r="F8" s="6"/>
      <c r="G8" s="6"/>
      <c r="H8" s="6"/>
      <c r="I8" s="6"/>
      <c r="J8" s="6"/>
      <c r="K8" s="6"/>
      <c r="L8" s="6"/>
      <c r="M8" s="6"/>
      <c r="N8" s="7"/>
    </row>
    <row r="9" spans="1:18">
      <c r="A9" s="6"/>
      <c r="B9" s="6"/>
      <c r="C9" s="6"/>
      <c r="D9" s="6"/>
      <c r="E9" s="6"/>
      <c r="F9" s="6"/>
      <c r="G9" s="6"/>
      <c r="H9" s="6"/>
      <c r="I9" s="6"/>
      <c r="J9" s="6"/>
      <c r="K9" s="6"/>
      <c r="L9" s="6"/>
      <c r="M9" s="6"/>
      <c r="N9" s="7"/>
    </row>
    <row r="10" spans="1:18">
      <c r="A10" s="6" t="s">
        <v>249</v>
      </c>
      <c r="C10" s="6"/>
      <c r="D10" s="6"/>
      <c r="E10" s="6"/>
      <c r="F10" s="6"/>
      <c r="G10" s="6"/>
      <c r="H10" s="6"/>
      <c r="I10" s="6"/>
      <c r="J10" s="6"/>
      <c r="K10" s="6"/>
      <c r="L10" s="6"/>
      <c r="M10" s="6"/>
      <c r="N10" s="7"/>
    </row>
    <row r="11" spans="1:18">
      <c r="M11" s="7"/>
      <c r="N11" s="7"/>
    </row>
    <row r="12" spans="1:18">
      <c r="A12" s="119" t="s">
        <v>56</v>
      </c>
      <c r="B12" s="119"/>
      <c r="C12" s="119"/>
      <c r="D12" s="119"/>
      <c r="E12" s="119"/>
      <c r="F12" s="119"/>
      <c r="G12" s="119"/>
      <c r="H12" s="119"/>
      <c r="I12" s="119"/>
      <c r="J12" s="119"/>
      <c r="K12" s="119"/>
      <c r="L12" s="119"/>
    </row>
    <row r="13" spans="1:18">
      <c r="A13" s="119"/>
      <c r="B13" s="119"/>
      <c r="C13" s="119"/>
      <c r="D13" s="119"/>
      <c r="E13" s="119"/>
      <c r="F13" s="119"/>
      <c r="G13" s="119"/>
      <c r="H13" s="119"/>
      <c r="I13" s="119"/>
      <c r="J13" s="119"/>
      <c r="K13" s="119"/>
      <c r="L13" s="119"/>
    </row>
    <row r="14" spans="1:18">
      <c r="A14" s="119"/>
      <c r="B14" s="119"/>
      <c r="C14" s="119"/>
      <c r="D14" s="119"/>
      <c r="E14" s="119"/>
      <c r="F14" s="119"/>
      <c r="G14" s="119"/>
      <c r="H14" s="119"/>
      <c r="I14" s="119"/>
      <c r="J14" s="119"/>
      <c r="K14" s="119"/>
      <c r="L14" s="119"/>
    </row>
    <row r="15" spans="1:18">
      <c r="A15" s="119"/>
      <c r="B15" s="119"/>
      <c r="C15" s="119"/>
      <c r="D15" s="119"/>
      <c r="E15" s="119"/>
      <c r="F15" s="119"/>
      <c r="G15" s="119"/>
      <c r="H15" s="119"/>
      <c r="I15" s="119"/>
      <c r="J15" s="119"/>
      <c r="K15" s="119"/>
      <c r="L15" s="119"/>
    </row>
    <row r="17" spans="1:12">
      <c r="A17" s="5" t="s">
        <v>5</v>
      </c>
      <c r="B17" s="8" t="s">
        <v>57</v>
      </c>
      <c r="C17" s="4"/>
      <c r="D17" s="4"/>
      <c r="E17" s="4"/>
      <c r="F17" s="4"/>
      <c r="G17" s="4"/>
      <c r="H17" s="4"/>
      <c r="I17" s="4"/>
      <c r="J17" s="4"/>
      <c r="K17" s="4"/>
      <c r="L17" s="4"/>
    </row>
    <row r="18" spans="1:12">
      <c r="A18" s="6"/>
      <c r="B18" s="6"/>
      <c r="C18" s="6"/>
      <c r="D18" s="6"/>
      <c r="E18" s="6"/>
      <c r="F18" s="6"/>
      <c r="G18" s="6"/>
      <c r="H18" s="6"/>
      <c r="I18" s="6"/>
      <c r="J18" s="6"/>
      <c r="K18" s="6"/>
      <c r="L18" s="6"/>
    </row>
    <row r="19" spans="1:12">
      <c r="A19" s="6" t="s">
        <v>1</v>
      </c>
      <c r="B19" s="6"/>
      <c r="C19" s="6"/>
      <c r="D19" s="6"/>
      <c r="E19" s="6"/>
      <c r="F19" s="6"/>
      <c r="G19" s="6"/>
      <c r="H19" s="6"/>
      <c r="I19" s="6"/>
      <c r="J19" s="6"/>
      <c r="K19" s="6"/>
      <c r="L19" s="6"/>
    </row>
    <row r="20" spans="1:12">
      <c r="A20" s="6"/>
      <c r="B20" s="6"/>
      <c r="C20" s="6"/>
      <c r="D20" s="6"/>
      <c r="E20" s="6"/>
      <c r="F20" s="6"/>
      <c r="G20" s="6"/>
      <c r="H20" s="6"/>
      <c r="I20" s="6"/>
      <c r="J20" s="6"/>
      <c r="K20" s="6"/>
      <c r="L20" s="6"/>
    </row>
    <row r="21" spans="1:12">
      <c r="A21" s="6" t="s">
        <v>250</v>
      </c>
      <c r="C21" s="74">
        <v>1.4999999999999999E-2</v>
      </c>
      <c r="D21" s="73"/>
      <c r="F21" s="6"/>
      <c r="G21" s="6"/>
      <c r="H21" s="6"/>
      <c r="I21" s="6"/>
      <c r="J21" s="6"/>
      <c r="K21" s="6"/>
      <c r="L21" s="6"/>
    </row>
    <row r="22" spans="1:12">
      <c r="A22" s="6" t="s">
        <v>251</v>
      </c>
      <c r="D22" s="73"/>
      <c r="E22" s="6"/>
      <c r="F22" s="6"/>
      <c r="G22" s="6"/>
      <c r="H22" s="6"/>
      <c r="I22" s="6"/>
      <c r="J22" s="6"/>
      <c r="K22" s="75">
        <v>43922</v>
      </c>
    </row>
    <row r="23" spans="1:12">
      <c r="A23" s="6" t="s">
        <v>252</v>
      </c>
      <c r="B23" s="73"/>
      <c r="D23" s="73"/>
      <c r="E23" s="76">
        <f>K22</f>
        <v>43922</v>
      </c>
      <c r="F23" s="67" t="s">
        <v>253</v>
      </c>
      <c r="G23" s="76">
        <v>45292</v>
      </c>
      <c r="H23" s="77" t="s">
        <v>254</v>
      </c>
      <c r="I23" s="67">
        <f>(12*YEAR(G23)+MONTH(G23))-(12*YEAR(E23)+MONTH(E23))</f>
        <v>45</v>
      </c>
      <c r="J23" s="67" t="s">
        <v>255</v>
      </c>
      <c r="K23" s="67">
        <f>I23/12</f>
        <v>3.75</v>
      </c>
      <c r="L23" s="6" t="s">
        <v>256</v>
      </c>
    </row>
    <row r="24" spans="1:12">
      <c r="A24" s="6"/>
      <c r="B24" s="73"/>
      <c r="D24" s="73"/>
      <c r="E24" s="6"/>
      <c r="F24" s="6"/>
      <c r="G24" s="6"/>
      <c r="H24" s="6"/>
      <c r="I24" s="6"/>
      <c r="J24" s="6"/>
      <c r="K24" s="6"/>
      <c r="L24" s="6"/>
    </row>
    <row r="25" spans="1:12">
      <c r="A25" s="6" t="s">
        <v>257</v>
      </c>
      <c r="B25" s="73"/>
      <c r="D25" s="73"/>
      <c r="E25" s="74">
        <v>0.03</v>
      </c>
      <c r="F25" s="6"/>
      <c r="G25" s="6"/>
      <c r="H25" s="6"/>
      <c r="I25" s="6"/>
      <c r="J25" s="6"/>
      <c r="K25" s="6"/>
      <c r="L25" s="6"/>
    </row>
    <row r="26" spans="1:12">
      <c r="A26" s="6" t="s">
        <v>258</v>
      </c>
      <c r="B26" s="73"/>
      <c r="D26" s="73"/>
      <c r="E26" s="76">
        <v>45566</v>
      </c>
      <c r="F26" s="67" t="s">
        <v>259</v>
      </c>
      <c r="G26" s="67">
        <v>1</v>
      </c>
      <c r="H26" s="67" t="s">
        <v>260</v>
      </c>
      <c r="I26" s="6"/>
      <c r="J26" s="6"/>
      <c r="K26" s="6"/>
      <c r="L26" s="6"/>
    </row>
    <row r="27" spans="1:12">
      <c r="A27" s="6" t="s">
        <v>261</v>
      </c>
      <c r="B27" s="73"/>
      <c r="D27" s="73"/>
      <c r="E27" s="76">
        <f>DATE((YEAR(E26)+1),(MONTH(E26)-6),1)</f>
        <v>45748</v>
      </c>
      <c r="F27" s="6"/>
      <c r="G27" s="6"/>
      <c r="H27" s="6"/>
      <c r="I27" s="6"/>
      <c r="J27" s="6"/>
      <c r="K27" s="6"/>
      <c r="L27" s="6"/>
    </row>
    <row r="28" spans="1:12">
      <c r="A28" s="6" t="s">
        <v>262</v>
      </c>
      <c r="B28" s="73"/>
      <c r="D28" s="73"/>
      <c r="E28" s="76">
        <v>45292</v>
      </c>
      <c r="F28" s="67" t="s">
        <v>253</v>
      </c>
      <c r="G28" s="76">
        <f>E27</f>
        <v>45748</v>
      </c>
      <c r="H28" s="77" t="s">
        <v>254</v>
      </c>
      <c r="I28" s="67">
        <f>(12*YEAR(G28)+MONTH(G28))-(12*YEAR(E28)+MONTH(E28))</f>
        <v>15</v>
      </c>
      <c r="J28" s="67" t="s">
        <v>255</v>
      </c>
      <c r="K28" s="67">
        <f>I28/12</f>
        <v>1.25</v>
      </c>
      <c r="L28" s="6" t="s">
        <v>256</v>
      </c>
    </row>
    <row r="29" spans="1:12">
      <c r="A29" s="6"/>
      <c r="B29" s="73"/>
      <c r="D29" s="73"/>
      <c r="E29" s="6"/>
      <c r="F29" s="6"/>
      <c r="G29" s="6"/>
      <c r="H29" s="6"/>
      <c r="I29" s="6"/>
      <c r="J29" s="6"/>
      <c r="K29" s="6"/>
      <c r="L29" s="6"/>
    </row>
    <row r="30" spans="1:12">
      <c r="A30" s="6" t="str">
        <f>"2020 premium trend factor = (1 + "&amp;TEXT(C21*100,"0.0")&amp;"%)^"&amp;K23&amp;" × (1 + "&amp;TEXT(100*E25,"0.0")&amp;"%)^"&amp;K28&amp;" = "</f>
        <v xml:space="preserve">2020 premium trend factor = (1 + 1.5%)^3.75 × (1 + 3.0%)^1.25 = </v>
      </c>
      <c r="B30" s="73"/>
      <c r="D30" s="73"/>
      <c r="E30" s="6"/>
      <c r="F30" s="6"/>
      <c r="G30" s="78">
        <f>((1+C21)^K23)*((1+E25)^K28)</f>
        <v>1.0972211976393642</v>
      </c>
      <c r="H30" s="6"/>
      <c r="I30" s="6"/>
      <c r="J30" s="79"/>
      <c r="K30" s="6"/>
      <c r="L30" s="6"/>
    </row>
    <row r="32" spans="1:12">
      <c r="A32" s="5" t="s">
        <v>0</v>
      </c>
      <c r="B32" s="8" t="s">
        <v>58</v>
      </c>
      <c r="C32" s="4"/>
      <c r="D32" s="4"/>
      <c r="E32" s="4"/>
      <c r="F32" s="4"/>
      <c r="G32" s="4"/>
      <c r="H32" s="4"/>
      <c r="I32" s="4"/>
      <c r="J32" s="4"/>
      <c r="K32" s="4"/>
      <c r="L32" s="4"/>
    </row>
    <row r="33" spans="1:12">
      <c r="A33" s="5"/>
      <c r="B33" s="8"/>
      <c r="C33" s="8"/>
      <c r="D33" s="8"/>
      <c r="E33" s="4"/>
      <c r="F33" s="4"/>
      <c r="G33" s="4"/>
      <c r="H33" s="4"/>
      <c r="I33" s="4"/>
      <c r="J33" s="4"/>
      <c r="K33" s="4"/>
      <c r="L33" s="4"/>
    </row>
    <row r="34" spans="1:12">
      <c r="A34" s="5"/>
      <c r="B34" s="27" t="s">
        <v>59</v>
      </c>
      <c r="C34" s="8"/>
      <c r="D34" s="8"/>
      <c r="E34" s="4"/>
      <c r="F34" s="4"/>
      <c r="G34" s="4"/>
      <c r="H34" s="4"/>
      <c r="I34" s="4"/>
      <c r="J34" s="4"/>
      <c r="K34" s="4"/>
      <c r="L34" s="4"/>
    </row>
    <row r="35" spans="1:12">
      <c r="A35" s="5"/>
      <c r="B35" s="8"/>
      <c r="C35" s="8"/>
      <c r="D35" s="8"/>
      <c r="E35" s="4"/>
      <c r="F35" s="4"/>
      <c r="G35" s="4"/>
      <c r="H35" s="4"/>
      <c r="I35" s="4"/>
      <c r="J35" s="4"/>
      <c r="K35" s="4"/>
      <c r="L35" s="4"/>
    </row>
    <row r="36" spans="1:12">
      <c r="A36" s="5"/>
      <c r="B36" s="27" t="s">
        <v>60</v>
      </c>
      <c r="C36" s="8"/>
      <c r="D36" s="8"/>
      <c r="E36" s="4"/>
      <c r="F36" s="4"/>
      <c r="G36" s="4"/>
      <c r="H36" s="4"/>
      <c r="I36" s="4"/>
      <c r="J36" s="4"/>
      <c r="K36" s="4"/>
      <c r="L36" s="4"/>
    </row>
    <row r="37" spans="1:12">
      <c r="A37" s="6"/>
      <c r="B37" s="6"/>
      <c r="C37" s="6"/>
      <c r="D37" s="6"/>
      <c r="E37" s="6"/>
      <c r="F37" s="6"/>
      <c r="G37" s="6"/>
      <c r="H37" s="6"/>
      <c r="I37" s="6"/>
      <c r="J37" s="6"/>
      <c r="K37" s="6"/>
      <c r="L37" s="6"/>
    </row>
    <row r="38" spans="1:12">
      <c r="A38" s="6" t="s">
        <v>1</v>
      </c>
      <c r="B38" s="6"/>
      <c r="C38" s="6"/>
      <c r="D38" s="6"/>
      <c r="E38" s="6"/>
      <c r="F38" s="6"/>
      <c r="G38" s="6"/>
      <c r="H38" s="6"/>
      <c r="I38" s="6"/>
      <c r="J38" s="6"/>
      <c r="K38" s="6"/>
      <c r="L38" s="6"/>
    </row>
    <row r="39" spans="1:12">
      <c r="A39" s="6"/>
      <c r="B39" s="6"/>
      <c r="C39" s="6"/>
      <c r="D39" s="6"/>
      <c r="E39" s="6"/>
      <c r="F39" s="6"/>
      <c r="G39" s="6"/>
      <c r="H39" s="6"/>
      <c r="I39" s="6"/>
      <c r="J39" s="6"/>
      <c r="K39" s="6"/>
      <c r="L39" s="6"/>
    </row>
    <row r="40" spans="1:12">
      <c r="A40" s="6" t="s">
        <v>263</v>
      </c>
      <c r="B40" s="6"/>
      <c r="C40" s="6"/>
      <c r="D40" s="6"/>
      <c r="E40" s="6"/>
      <c r="F40" s="6"/>
      <c r="G40" s="6"/>
      <c r="H40" s="6"/>
      <c r="I40" s="6"/>
      <c r="J40" s="6"/>
      <c r="K40" s="6"/>
      <c r="L40" s="6"/>
    </row>
    <row r="41" spans="1:12">
      <c r="A41" s="1" t="s">
        <v>264</v>
      </c>
    </row>
    <row r="43" spans="1:12">
      <c r="A43" s="5" t="s">
        <v>2</v>
      </c>
      <c r="B43" s="8" t="s">
        <v>61</v>
      </c>
      <c r="C43" s="4"/>
      <c r="D43" s="4"/>
      <c r="E43" s="4"/>
      <c r="F43" s="4"/>
      <c r="G43" s="4"/>
      <c r="H43" s="4"/>
      <c r="I43" s="4"/>
      <c r="J43" s="4"/>
      <c r="K43" s="4"/>
      <c r="L43" s="4"/>
    </row>
    <row r="44" spans="1:12">
      <c r="A44" s="6"/>
      <c r="B44" s="6"/>
      <c r="C44" s="6"/>
      <c r="D44" s="6"/>
      <c r="E44" s="6"/>
      <c r="F44" s="6"/>
      <c r="G44" s="6"/>
      <c r="H44" s="6"/>
      <c r="I44" s="6"/>
      <c r="J44" s="6"/>
      <c r="K44" s="6"/>
      <c r="L44" s="6"/>
    </row>
    <row r="45" spans="1:12">
      <c r="A45" s="6" t="s">
        <v>1</v>
      </c>
      <c r="B45" s="6"/>
      <c r="C45" s="6"/>
      <c r="D45" s="6"/>
      <c r="E45" s="6"/>
      <c r="F45" s="6"/>
      <c r="G45" s="6"/>
      <c r="H45" s="6"/>
      <c r="I45" s="6"/>
      <c r="J45" s="6"/>
      <c r="K45" s="6"/>
      <c r="L45" s="6"/>
    </row>
    <row r="46" spans="1:12">
      <c r="A46" s="6"/>
      <c r="B46" s="6"/>
      <c r="C46" s="6"/>
      <c r="D46" s="6"/>
      <c r="E46" s="6"/>
      <c r="F46" s="6"/>
      <c r="G46" s="6"/>
      <c r="H46" s="6"/>
      <c r="I46" s="6"/>
      <c r="J46" s="6"/>
      <c r="K46" s="6"/>
      <c r="L46" s="6"/>
    </row>
    <row r="47" spans="1:12">
      <c r="A47" s="6" t="s">
        <v>266</v>
      </c>
      <c r="B47" s="6"/>
      <c r="C47" s="6"/>
      <c r="D47" s="6"/>
      <c r="E47" s="6"/>
      <c r="F47" s="6"/>
      <c r="G47" s="6"/>
      <c r="H47" s="6"/>
      <c r="I47" s="6"/>
      <c r="J47" s="6"/>
      <c r="K47" s="6"/>
      <c r="L47" s="6"/>
    </row>
    <row r="48" spans="1:12">
      <c r="A48" s="1" t="s">
        <v>265</v>
      </c>
    </row>
    <row r="50" spans="13:13">
      <c r="M50" s="6"/>
    </row>
  </sheetData>
  <mergeCells count="2">
    <mergeCell ref="B5:L6"/>
    <mergeCell ref="A12:L15"/>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06D29-6CCA-4C10-906E-E0B22326F983}">
  <dimension ref="A1:L4"/>
  <sheetViews>
    <sheetView zoomScaleNormal="100" workbookViewId="0"/>
  </sheetViews>
  <sheetFormatPr defaultRowHeight="15.6"/>
  <cols>
    <col min="1" max="6" width="8.88671875" style="1" customWidth="1"/>
    <col min="7" max="7" width="8.88671875" style="1"/>
    <col min="8" max="8" width="8.88671875" style="1" customWidth="1"/>
    <col min="9" max="16384" width="8.88671875" style="1"/>
  </cols>
  <sheetData>
    <row r="1" spans="1:12" ht="17.399999999999999">
      <c r="A1" s="2" t="s">
        <v>62</v>
      </c>
      <c r="B1" s="4"/>
      <c r="C1" s="8" t="s">
        <v>8</v>
      </c>
      <c r="D1" s="4"/>
      <c r="E1" s="4"/>
      <c r="F1" s="4"/>
      <c r="G1" s="4"/>
      <c r="H1" s="4"/>
      <c r="I1" s="4"/>
      <c r="J1" s="4"/>
      <c r="K1" s="4"/>
      <c r="L1" s="3"/>
    </row>
    <row r="2" spans="1:12">
      <c r="A2" s="4"/>
      <c r="B2" s="4"/>
      <c r="C2" s="4"/>
      <c r="D2" s="4"/>
      <c r="E2" s="4"/>
      <c r="F2" s="4"/>
      <c r="G2" s="4"/>
      <c r="H2" s="4"/>
      <c r="I2" s="4"/>
      <c r="J2" s="4"/>
      <c r="K2" s="4"/>
      <c r="L2" s="3"/>
    </row>
    <row r="3" spans="1:12" ht="16.2">
      <c r="A3" s="10" t="s">
        <v>63</v>
      </c>
      <c r="B3" s="4"/>
      <c r="C3" s="4"/>
      <c r="D3" s="4"/>
      <c r="E3" s="4"/>
      <c r="F3" s="4"/>
      <c r="G3" s="4"/>
      <c r="H3" s="8"/>
      <c r="I3" s="8"/>
      <c r="J3" s="8"/>
      <c r="K3" s="8"/>
      <c r="L3" s="8"/>
    </row>
    <row r="4" spans="1:12">
      <c r="A4" s="4"/>
      <c r="B4" s="4"/>
      <c r="C4" s="4"/>
      <c r="D4" s="4"/>
      <c r="E4" s="4"/>
      <c r="F4" s="4"/>
      <c r="G4" s="4"/>
      <c r="H4" s="8"/>
      <c r="I4" s="8"/>
      <c r="J4" s="8"/>
      <c r="K4" s="8"/>
      <c r="L4" s="8"/>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4A90E-65B0-46BA-9515-A661FF920774}">
  <dimension ref="A1:AF179"/>
  <sheetViews>
    <sheetView zoomScaleNormal="100" workbookViewId="0"/>
  </sheetViews>
  <sheetFormatPr defaultRowHeight="15.6"/>
  <cols>
    <col min="1" max="1" width="9.88671875" style="1" customWidth="1"/>
    <col min="2" max="2" width="15.109375" style="1" customWidth="1"/>
    <col min="3" max="3" width="14.5546875" style="1" customWidth="1"/>
    <col min="4" max="4" width="15.6640625" style="1" customWidth="1"/>
    <col min="5" max="5" width="13.21875" style="1" customWidth="1"/>
    <col min="6" max="6" width="12.77734375" style="1" customWidth="1"/>
    <col min="7" max="7" width="13.77734375" style="1" customWidth="1"/>
    <col min="8" max="8" width="12.5546875" style="1" customWidth="1"/>
    <col min="9" max="9" width="18.44140625" style="1" customWidth="1"/>
    <col min="10" max="12" width="10.77734375" style="1" customWidth="1"/>
    <col min="13" max="32" width="5.77734375" style="1" customWidth="1"/>
    <col min="33" max="16384" width="8.88671875" style="1"/>
  </cols>
  <sheetData>
    <row r="1" spans="1:12" ht="17.399999999999999">
      <c r="A1" s="2" t="s">
        <v>64</v>
      </c>
      <c r="B1" s="4"/>
      <c r="C1" s="8" t="s">
        <v>65</v>
      </c>
      <c r="D1" s="4"/>
      <c r="E1" s="4"/>
      <c r="F1" s="4"/>
      <c r="G1" s="4"/>
      <c r="H1" s="4"/>
      <c r="I1" s="4"/>
      <c r="J1" s="4"/>
      <c r="K1" s="4"/>
      <c r="L1" s="3"/>
    </row>
    <row r="2" spans="1:12">
      <c r="A2" s="4"/>
      <c r="B2" s="4"/>
      <c r="C2" s="4"/>
      <c r="D2" s="4"/>
      <c r="E2" s="4"/>
      <c r="F2" s="4"/>
      <c r="G2" s="4"/>
      <c r="H2" s="4"/>
      <c r="I2" s="4"/>
      <c r="J2" s="4"/>
      <c r="K2" s="4"/>
      <c r="L2" s="3"/>
    </row>
    <row r="3" spans="1:12">
      <c r="A3" s="8" t="s">
        <v>66</v>
      </c>
      <c r="B3" s="4"/>
      <c r="C3" s="4"/>
      <c r="D3" s="4"/>
      <c r="E3" s="4"/>
      <c r="F3" s="4"/>
      <c r="G3" s="4"/>
      <c r="H3" s="4"/>
      <c r="I3" s="4"/>
      <c r="J3" s="4"/>
      <c r="K3" s="4"/>
      <c r="L3" s="3"/>
    </row>
    <row r="4" spans="1:12">
      <c r="A4" s="9"/>
      <c r="B4" s="4"/>
      <c r="C4" s="4"/>
      <c r="D4" s="4"/>
      <c r="E4" s="4"/>
      <c r="F4" s="4"/>
      <c r="G4" s="4"/>
      <c r="H4" s="8"/>
      <c r="I4" s="8"/>
      <c r="J4" s="8"/>
      <c r="K4" s="8"/>
      <c r="L4" s="8"/>
    </row>
    <row r="5" spans="1:12">
      <c r="A5" s="9"/>
      <c r="B5" s="21" t="s">
        <v>67</v>
      </c>
      <c r="C5" s="4"/>
      <c r="D5" s="4"/>
      <c r="E5" s="4"/>
      <c r="F5" s="4"/>
      <c r="G5" s="4"/>
      <c r="H5" s="8"/>
      <c r="I5" s="8"/>
      <c r="J5" s="8"/>
      <c r="K5" s="8"/>
      <c r="L5" s="8"/>
    </row>
    <row r="6" spans="1:12">
      <c r="A6" s="9"/>
      <c r="B6" s="21" t="s">
        <v>68</v>
      </c>
      <c r="C6" s="4"/>
      <c r="D6" s="4"/>
      <c r="E6" s="4"/>
      <c r="F6" s="4"/>
      <c r="G6" s="4"/>
      <c r="H6" s="8"/>
      <c r="I6" s="8"/>
      <c r="J6" s="8"/>
      <c r="K6" s="8"/>
      <c r="L6" s="8"/>
    </row>
    <row r="7" spans="1:12">
      <c r="A7" s="9"/>
      <c r="B7" s="21" t="s">
        <v>69</v>
      </c>
      <c r="C7" s="4"/>
      <c r="D7" s="4"/>
      <c r="E7" s="4"/>
      <c r="F7" s="31">
        <v>-0.01</v>
      </c>
      <c r="G7" s="4"/>
      <c r="H7" s="8"/>
      <c r="I7" s="8"/>
      <c r="J7" s="8"/>
      <c r="K7" s="8"/>
      <c r="L7" s="8"/>
    </row>
    <row r="8" spans="1:12">
      <c r="A8" s="9"/>
      <c r="B8" s="21" t="s">
        <v>70</v>
      </c>
      <c r="C8" s="4"/>
      <c r="D8" s="4"/>
      <c r="E8" s="4"/>
      <c r="F8" s="31">
        <v>0.05</v>
      </c>
      <c r="G8" s="4"/>
      <c r="H8" s="8"/>
      <c r="I8" s="8"/>
      <c r="J8" s="8"/>
      <c r="K8" s="8"/>
      <c r="L8" s="8"/>
    </row>
    <row r="9" spans="1:12">
      <c r="A9" s="4"/>
      <c r="B9" s="4"/>
      <c r="C9" s="4"/>
      <c r="D9" s="4"/>
      <c r="E9" s="4"/>
      <c r="F9" s="4"/>
      <c r="G9" s="4"/>
      <c r="H9" s="8"/>
      <c r="I9" s="8"/>
      <c r="J9" s="8"/>
      <c r="K9" s="8"/>
      <c r="L9" s="8"/>
    </row>
    <row r="10" spans="1:12">
      <c r="A10" s="32" t="s">
        <v>71</v>
      </c>
      <c r="B10" s="8"/>
      <c r="C10" s="8"/>
      <c r="D10" s="8"/>
      <c r="E10" s="8"/>
      <c r="F10" s="8"/>
      <c r="G10" s="8"/>
      <c r="H10" s="8"/>
      <c r="I10" s="8"/>
      <c r="J10" s="8"/>
      <c r="K10" s="8"/>
      <c r="L10" s="8"/>
    </row>
    <row r="11" spans="1:12">
      <c r="A11" s="20"/>
      <c r="B11" s="8"/>
      <c r="C11" s="8"/>
      <c r="D11" s="8"/>
      <c r="E11" s="8"/>
      <c r="F11" s="8"/>
      <c r="G11" s="8"/>
      <c r="H11" s="8"/>
      <c r="I11" s="8"/>
      <c r="J11" s="8"/>
      <c r="K11" s="8"/>
      <c r="L11" s="8"/>
    </row>
    <row r="12" spans="1:12">
      <c r="A12" s="8"/>
      <c r="B12" s="33"/>
      <c r="C12" s="114" t="s">
        <v>73</v>
      </c>
      <c r="D12" s="114"/>
      <c r="E12" s="114"/>
      <c r="F12" s="8"/>
      <c r="G12" s="8"/>
      <c r="H12" s="8"/>
      <c r="I12" s="8"/>
      <c r="J12" s="8"/>
      <c r="K12" s="8"/>
      <c r="L12" s="8"/>
    </row>
    <row r="13" spans="1:12">
      <c r="A13" s="8"/>
      <c r="B13" s="24" t="s">
        <v>72</v>
      </c>
      <c r="C13" s="125" t="s">
        <v>74</v>
      </c>
      <c r="D13" s="125"/>
      <c r="E13" s="34" t="s">
        <v>75</v>
      </c>
      <c r="F13" s="8"/>
      <c r="G13" s="8"/>
      <c r="H13" s="8"/>
      <c r="I13" s="8"/>
      <c r="J13" s="8"/>
      <c r="K13" s="8"/>
      <c r="L13" s="8"/>
    </row>
    <row r="14" spans="1:12">
      <c r="A14" s="8"/>
      <c r="B14" s="25">
        <v>2014</v>
      </c>
      <c r="C14" s="124">
        <v>2.02</v>
      </c>
      <c r="D14" s="124"/>
      <c r="E14" s="26">
        <v>4100</v>
      </c>
      <c r="F14" s="8"/>
      <c r="G14" s="8"/>
      <c r="H14" s="8"/>
      <c r="I14" s="8"/>
      <c r="J14" s="8"/>
      <c r="K14" s="8"/>
      <c r="L14" s="8"/>
    </row>
    <row r="15" spans="1:12">
      <c r="A15" s="8"/>
      <c r="B15" s="25">
        <v>2015</v>
      </c>
      <c r="C15" s="124">
        <v>0.39</v>
      </c>
      <c r="D15" s="124"/>
      <c r="E15" s="26">
        <v>3500</v>
      </c>
      <c r="F15" s="8"/>
      <c r="G15" s="8"/>
      <c r="H15" s="8"/>
      <c r="I15" s="8"/>
      <c r="J15" s="8"/>
      <c r="K15" s="8"/>
      <c r="L15" s="8"/>
    </row>
    <row r="16" spans="1:12">
      <c r="A16" s="8"/>
      <c r="B16" s="25">
        <v>2016</v>
      </c>
      <c r="C16" s="124">
        <v>1.99</v>
      </c>
      <c r="D16" s="124"/>
      <c r="E16" s="26">
        <v>2900</v>
      </c>
      <c r="F16" s="8"/>
      <c r="G16" s="8"/>
      <c r="H16" s="8"/>
      <c r="I16" s="8"/>
      <c r="J16" s="8"/>
      <c r="K16" s="8"/>
      <c r="L16" s="8"/>
    </row>
    <row r="17" spans="1:18">
      <c r="A17" s="8"/>
      <c r="B17" s="25">
        <v>2017</v>
      </c>
      <c r="C17" s="124">
        <v>0.1</v>
      </c>
      <c r="D17" s="124"/>
      <c r="E17" s="26">
        <v>4400</v>
      </c>
      <c r="F17" s="8"/>
      <c r="G17" s="8"/>
      <c r="H17" s="8"/>
      <c r="I17" s="8"/>
      <c r="J17" s="8"/>
      <c r="K17" s="8"/>
      <c r="L17" s="8"/>
    </row>
    <row r="18" spans="1:18">
      <c r="A18" s="8"/>
      <c r="B18" s="25">
        <v>2018</v>
      </c>
      <c r="C18" s="124">
        <v>1.99</v>
      </c>
      <c r="D18" s="124"/>
      <c r="E18" s="26">
        <v>2800</v>
      </c>
      <c r="F18" s="8"/>
      <c r="G18" s="8"/>
      <c r="H18" s="8"/>
      <c r="I18" s="8"/>
      <c r="J18" s="8"/>
      <c r="K18" s="8"/>
      <c r="L18" s="8"/>
    </row>
    <row r="19" spans="1:18">
      <c r="A19" s="8"/>
      <c r="B19" s="25">
        <v>2019</v>
      </c>
      <c r="C19" s="124">
        <v>0.8</v>
      </c>
      <c r="D19" s="124"/>
      <c r="E19" s="26">
        <v>4200</v>
      </c>
      <c r="F19" s="8"/>
      <c r="G19" s="8"/>
      <c r="H19" s="8"/>
      <c r="I19" s="8"/>
      <c r="J19" s="8"/>
      <c r="K19" s="8"/>
      <c r="L19" s="8"/>
    </row>
    <row r="20" spans="1:18">
      <c r="A20" s="8"/>
      <c r="B20" s="25">
        <v>2020</v>
      </c>
      <c r="C20" s="124">
        <v>0.63</v>
      </c>
      <c r="D20" s="124"/>
      <c r="E20" s="26">
        <v>2600</v>
      </c>
      <c r="F20" s="8"/>
      <c r="G20" s="8"/>
      <c r="H20" s="8"/>
      <c r="I20" s="8"/>
      <c r="J20" s="8"/>
      <c r="K20" s="8"/>
      <c r="L20" s="8"/>
    </row>
    <row r="21" spans="1:18">
      <c r="A21" s="8"/>
      <c r="B21" s="25">
        <v>2021</v>
      </c>
      <c r="C21" s="124">
        <v>2.73</v>
      </c>
      <c r="D21" s="124"/>
      <c r="E21" s="26">
        <v>3600</v>
      </c>
      <c r="F21" s="8"/>
      <c r="G21" s="8"/>
      <c r="H21" s="8"/>
      <c r="I21" s="8"/>
      <c r="J21" s="8"/>
      <c r="K21" s="8"/>
      <c r="L21" s="8"/>
    </row>
    <row r="22" spans="1:18">
      <c r="A22" s="8"/>
      <c r="B22" s="25">
        <v>2022</v>
      </c>
      <c r="C22" s="124">
        <v>0.56000000000000005</v>
      </c>
      <c r="D22" s="124"/>
      <c r="E22" s="26">
        <v>2100</v>
      </c>
      <c r="F22" s="8"/>
      <c r="G22" s="8"/>
      <c r="H22" s="8"/>
      <c r="I22" s="8"/>
      <c r="J22" s="8"/>
      <c r="K22" s="8"/>
      <c r="L22" s="8"/>
    </row>
    <row r="23" spans="1:18">
      <c r="A23" s="8"/>
      <c r="B23" s="25">
        <v>2023</v>
      </c>
      <c r="C23" s="124">
        <v>1.69</v>
      </c>
      <c r="D23" s="124"/>
      <c r="E23" s="26">
        <v>3100</v>
      </c>
      <c r="F23" s="8"/>
      <c r="G23" s="8"/>
      <c r="H23" s="8"/>
      <c r="I23" s="8"/>
      <c r="J23" s="8"/>
      <c r="K23" s="8"/>
      <c r="L23" s="8"/>
    </row>
    <row r="24" spans="1:18">
      <c r="A24" s="6"/>
      <c r="B24" s="6"/>
      <c r="C24" s="6"/>
      <c r="D24" s="6"/>
      <c r="E24" s="6"/>
      <c r="F24" s="6"/>
      <c r="G24" s="6"/>
      <c r="H24" s="6"/>
      <c r="I24" s="6"/>
      <c r="J24" s="6"/>
      <c r="K24" s="6"/>
      <c r="L24" s="6"/>
    </row>
    <row r="25" spans="1:18">
      <c r="A25" s="5" t="s">
        <v>4</v>
      </c>
      <c r="B25" s="8" t="s">
        <v>76</v>
      </c>
      <c r="C25" s="4"/>
      <c r="D25" s="4"/>
      <c r="E25" s="4"/>
      <c r="F25" s="4"/>
      <c r="G25" s="4"/>
      <c r="H25" s="4"/>
      <c r="I25" s="4"/>
      <c r="J25" s="4"/>
      <c r="K25" s="4"/>
      <c r="L25" s="4"/>
      <c r="M25" s="7"/>
      <c r="N25" s="7"/>
      <c r="O25" s="7"/>
      <c r="P25" s="7"/>
      <c r="Q25" s="7"/>
      <c r="R25" s="7"/>
    </row>
    <row r="26" spans="1:18">
      <c r="A26" s="6"/>
      <c r="B26" s="6"/>
      <c r="C26" s="6"/>
      <c r="D26" s="6"/>
      <c r="E26" s="6"/>
      <c r="F26" s="6"/>
      <c r="G26" s="6"/>
      <c r="H26" s="6"/>
      <c r="I26" s="6"/>
      <c r="J26" s="6"/>
      <c r="K26" s="6"/>
      <c r="L26" s="6"/>
      <c r="M26" s="6"/>
    </row>
    <row r="27" spans="1:18">
      <c r="A27" s="6" t="s">
        <v>1</v>
      </c>
      <c r="B27" s="6"/>
      <c r="C27" s="6"/>
      <c r="D27" s="6"/>
      <c r="E27" s="6"/>
      <c r="F27" s="6"/>
      <c r="G27" s="6"/>
      <c r="H27" s="6"/>
      <c r="I27" s="6"/>
      <c r="J27" s="6"/>
      <c r="K27" s="6"/>
      <c r="L27" s="6"/>
      <c r="M27" s="6"/>
      <c r="N27" s="7"/>
    </row>
    <row r="28" spans="1:18">
      <c r="A28" s="6"/>
      <c r="B28" s="6"/>
      <c r="C28" s="6"/>
      <c r="D28" s="6"/>
      <c r="E28" s="6"/>
      <c r="F28" s="6"/>
      <c r="G28" s="6"/>
      <c r="H28" s="6"/>
      <c r="I28" s="6"/>
      <c r="J28" s="6"/>
      <c r="K28" s="6"/>
      <c r="L28" s="6"/>
      <c r="M28" s="6"/>
      <c r="N28" s="7"/>
    </row>
    <row r="29" spans="1:18">
      <c r="A29" s="1" t="s">
        <v>267</v>
      </c>
      <c r="E29" s="111">
        <v>45809</v>
      </c>
      <c r="F29" s="80" t="s">
        <v>268</v>
      </c>
      <c r="G29"/>
      <c r="H29" s="6"/>
      <c r="I29" s="6"/>
      <c r="J29" s="6"/>
      <c r="K29" s="6"/>
      <c r="L29" s="6"/>
      <c r="M29" s="6"/>
      <c r="N29" s="7"/>
    </row>
    <row r="30" spans="1:18">
      <c r="M30" s="7"/>
      <c r="N30" s="7"/>
    </row>
    <row r="31" spans="1:18">
      <c r="A31" s="1" t="s">
        <v>319</v>
      </c>
      <c r="E31" s="55">
        <f>DATEDIF(DATE(A44,7,1),E29,"M")</f>
        <v>23</v>
      </c>
      <c r="F31"/>
      <c r="G31"/>
      <c r="H31"/>
      <c r="M31" s="7"/>
      <c r="N31" s="7"/>
    </row>
    <row r="32" spans="1:18">
      <c r="A32"/>
      <c r="B32"/>
      <c r="C32"/>
      <c r="D32"/>
      <c r="E32"/>
      <c r="F32"/>
      <c r="G32"/>
      <c r="H32"/>
      <c r="M32" s="7"/>
      <c r="N32" s="7"/>
    </row>
    <row r="33" spans="1:14">
      <c r="A33" s="6"/>
      <c r="B33" s="121" t="s">
        <v>73</v>
      </c>
      <c r="C33" s="121"/>
      <c r="D33"/>
      <c r="E33" s="122" t="s">
        <v>269</v>
      </c>
      <c r="F33" s="122"/>
      <c r="G33" s="122" t="s">
        <v>270</v>
      </c>
      <c r="H33" s="122"/>
      <c r="I33" s="122"/>
      <c r="M33" s="7"/>
      <c r="N33" s="7"/>
    </row>
    <row r="34" spans="1:14" ht="31.2">
      <c r="A34" s="71" t="s">
        <v>72</v>
      </c>
      <c r="B34" s="71" t="s">
        <v>271</v>
      </c>
      <c r="C34" s="68" t="s">
        <v>75</v>
      </c>
      <c r="D34" s="71" t="s">
        <v>272</v>
      </c>
      <c r="E34" s="71" t="s">
        <v>276</v>
      </c>
      <c r="F34" s="71" t="s">
        <v>277</v>
      </c>
      <c r="G34" s="71" t="s">
        <v>271</v>
      </c>
      <c r="H34" s="68" t="s">
        <v>75</v>
      </c>
      <c r="I34" s="71" t="s">
        <v>273</v>
      </c>
      <c r="M34" s="7"/>
      <c r="N34" s="7"/>
    </row>
    <row r="35" spans="1:14">
      <c r="A35" s="67">
        <f t="shared" ref="A35:A43" si="0">B14</f>
        <v>2014</v>
      </c>
      <c r="B35" s="130">
        <f t="shared" ref="B35:B44" si="1">C14</f>
        <v>2.02</v>
      </c>
      <c r="C35" s="81">
        <f t="shared" ref="C35:C44" si="2">E14</f>
        <v>4100</v>
      </c>
      <c r="D35" s="55">
        <f t="shared" ref="D35:D42" si="3">D36+12</f>
        <v>131</v>
      </c>
      <c r="E35" s="82">
        <f>(1+$F$7)^($D35/12)</f>
        <v>0.89608843921179415</v>
      </c>
      <c r="F35" s="82">
        <f>(1+$F$8)^($D35/12)</f>
        <v>1.7033994977096409</v>
      </c>
      <c r="G35" s="65">
        <f t="shared" ref="G35:H44" si="4">B35*E35</f>
        <v>1.8100986472078242</v>
      </c>
      <c r="H35" s="83">
        <f t="shared" si="4"/>
        <v>6983.9379406095277</v>
      </c>
      <c r="I35" s="81">
        <f>G35*H35</f>
        <v>12641.616618480704</v>
      </c>
      <c r="M35" s="7"/>
      <c r="N35" s="7"/>
    </row>
    <row r="36" spans="1:14">
      <c r="A36" s="67">
        <f t="shared" si="0"/>
        <v>2015</v>
      </c>
      <c r="B36" s="130">
        <f t="shared" si="1"/>
        <v>0.39</v>
      </c>
      <c r="C36" s="81">
        <f t="shared" si="2"/>
        <v>3500</v>
      </c>
      <c r="D36" s="55">
        <f t="shared" si="3"/>
        <v>119</v>
      </c>
      <c r="E36" s="82">
        <f t="shared" ref="E36:E44" si="5">(1+$F$7)^($D36/12)</f>
        <v>0.90513983758767091</v>
      </c>
      <c r="F36" s="82">
        <f t="shared" ref="F36:F44" si="6">(1+$F$8)^($D36/12)</f>
        <v>1.6222852359139435</v>
      </c>
      <c r="G36" s="65">
        <f>B36*E36</f>
        <v>0.35300453665919168</v>
      </c>
      <c r="H36" s="83">
        <f t="shared" si="4"/>
        <v>5677.9983256988025</v>
      </c>
      <c r="I36" s="81">
        <f t="shared" ref="I36:I44" si="7">G36*H36</f>
        <v>2004.3591681149719</v>
      </c>
      <c r="M36" s="7"/>
      <c r="N36" s="7"/>
    </row>
    <row r="37" spans="1:14">
      <c r="A37" s="67">
        <f t="shared" si="0"/>
        <v>2016</v>
      </c>
      <c r="B37" s="130">
        <f t="shared" si="1"/>
        <v>1.99</v>
      </c>
      <c r="C37" s="81">
        <f t="shared" si="2"/>
        <v>2900</v>
      </c>
      <c r="D37" s="55">
        <f t="shared" si="3"/>
        <v>107</v>
      </c>
      <c r="E37" s="82">
        <f t="shared" si="5"/>
        <v>0.91428266422997062</v>
      </c>
      <c r="F37" s="82">
        <f t="shared" si="6"/>
        <v>1.5450335580132795</v>
      </c>
      <c r="G37" s="65">
        <f t="shared" ref="G37:G44" si="8">B37*E37</f>
        <v>1.8194225018176415</v>
      </c>
      <c r="H37" s="83">
        <f t="shared" si="4"/>
        <v>4480.5973182385105</v>
      </c>
      <c r="I37" s="81">
        <f t="shared" si="7"/>
        <v>8152.0995823869262</v>
      </c>
      <c r="M37" s="7"/>
      <c r="N37" s="7"/>
    </row>
    <row r="38" spans="1:14">
      <c r="A38" s="67">
        <f t="shared" si="0"/>
        <v>2017</v>
      </c>
      <c r="B38" s="130">
        <f t="shared" si="1"/>
        <v>0.1</v>
      </c>
      <c r="C38" s="81">
        <f t="shared" si="2"/>
        <v>4400</v>
      </c>
      <c r="D38" s="55">
        <f t="shared" si="3"/>
        <v>95</v>
      </c>
      <c r="E38" s="82">
        <f t="shared" si="5"/>
        <v>0.92351784265653591</v>
      </c>
      <c r="F38" s="82">
        <f t="shared" si="6"/>
        <v>1.4714605314412186</v>
      </c>
      <c r="G38" s="65">
        <f t="shared" si="8"/>
        <v>9.2351784265653603E-2</v>
      </c>
      <c r="H38" s="83">
        <f t="shared" si="4"/>
        <v>6474.4263383413618</v>
      </c>
      <c r="I38" s="81">
        <f t="shared" si="7"/>
        <v>597.92482444236703</v>
      </c>
      <c r="M38" s="7"/>
      <c r="N38" s="7"/>
    </row>
    <row r="39" spans="1:14">
      <c r="A39" s="67">
        <f t="shared" si="0"/>
        <v>2018</v>
      </c>
      <c r="B39" s="130">
        <f t="shared" si="1"/>
        <v>1.99</v>
      </c>
      <c r="C39" s="81">
        <f t="shared" si="2"/>
        <v>2800</v>
      </c>
      <c r="D39" s="55">
        <f t="shared" si="3"/>
        <v>83</v>
      </c>
      <c r="E39" s="82">
        <f t="shared" si="5"/>
        <v>0.93284630571367266</v>
      </c>
      <c r="F39" s="82">
        <f t="shared" si="6"/>
        <v>1.4013909823249699</v>
      </c>
      <c r="G39" s="65">
        <f t="shared" si="8"/>
        <v>1.8563641483702087</v>
      </c>
      <c r="H39" s="83">
        <f t="shared" si="4"/>
        <v>3923.8947505099159</v>
      </c>
      <c r="I39" s="81">
        <f t="shared" si="7"/>
        <v>7284.1775368246726</v>
      </c>
      <c r="M39" s="7"/>
      <c r="N39" s="7"/>
    </row>
    <row r="40" spans="1:14">
      <c r="A40" s="67">
        <f t="shared" si="0"/>
        <v>2019</v>
      </c>
      <c r="B40" s="130">
        <f t="shared" si="1"/>
        <v>0.8</v>
      </c>
      <c r="C40" s="81">
        <f t="shared" si="2"/>
        <v>4200</v>
      </c>
      <c r="D40" s="55">
        <f t="shared" si="3"/>
        <v>71</v>
      </c>
      <c r="E40" s="82">
        <f t="shared" si="5"/>
        <v>0.94226899567037647</v>
      </c>
      <c r="F40" s="82">
        <f t="shared" si="6"/>
        <v>1.3346580784047333</v>
      </c>
      <c r="G40" s="65">
        <f t="shared" si="8"/>
        <v>0.75381519653630125</v>
      </c>
      <c r="H40" s="83">
        <f t="shared" si="4"/>
        <v>5605.5639292998794</v>
      </c>
      <c r="I40" s="81">
        <f t="shared" si="7"/>
        <v>4225.5592750619899</v>
      </c>
      <c r="M40" s="7"/>
      <c r="N40" s="7"/>
    </row>
    <row r="41" spans="1:14">
      <c r="A41" s="67">
        <f t="shared" si="0"/>
        <v>2020</v>
      </c>
      <c r="B41" s="130">
        <f t="shared" si="1"/>
        <v>0.63</v>
      </c>
      <c r="C41" s="81">
        <f t="shared" si="2"/>
        <v>2600</v>
      </c>
      <c r="D41" s="55">
        <f t="shared" si="3"/>
        <v>59</v>
      </c>
      <c r="E41" s="82">
        <f t="shared" si="5"/>
        <v>0.95178686431351156</v>
      </c>
      <c r="F41" s="82">
        <f t="shared" si="6"/>
        <v>1.2711029318140317</v>
      </c>
      <c r="G41" s="65">
        <f t="shared" si="8"/>
        <v>0.59962572451751228</v>
      </c>
      <c r="H41" s="83">
        <f t="shared" si="4"/>
        <v>3304.8676227164824</v>
      </c>
      <c r="I41" s="81">
        <f t="shared" si="7"/>
        <v>1981.6836427058392</v>
      </c>
      <c r="M41" s="7"/>
      <c r="N41" s="7"/>
    </row>
    <row r="42" spans="1:14">
      <c r="A42" s="67">
        <f t="shared" si="0"/>
        <v>2021</v>
      </c>
      <c r="B42" s="130">
        <f t="shared" si="1"/>
        <v>2.73</v>
      </c>
      <c r="C42" s="81">
        <f t="shared" si="2"/>
        <v>3600</v>
      </c>
      <c r="D42" s="55">
        <f t="shared" si="3"/>
        <v>47</v>
      </c>
      <c r="E42" s="82">
        <f t="shared" si="5"/>
        <v>0.96140087304395105</v>
      </c>
      <c r="F42" s="82">
        <f t="shared" si="6"/>
        <v>1.2105742207752681</v>
      </c>
      <c r="G42" s="65">
        <f t="shared" si="8"/>
        <v>2.6246243834099863</v>
      </c>
      <c r="H42" s="83">
        <f t="shared" si="4"/>
        <v>4358.067194790965</v>
      </c>
      <c r="I42" s="81">
        <f t="shared" si="7"/>
        <v>11438.289423987526</v>
      </c>
      <c r="M42" s="7"/>
      <c r="N42" s="7"/>
    </row>
    <row r="43" spans="1:14">
      <c r="A43" s="67">
        <f t="shared" si="0"/>
        <v>2022</v>
      </c>
      <c r="B43" s="130">
        <f t="shared" si="1"/>
        <v>0.56000000000000005</v>
      </c>
      <c r="C43" s="81">
        <f t="shared" si="2"/>
        <v>2100</v>
      </c>
      <c r="D43" s="55">
        <f>D44+12</f>
        <v>35</v>
      </c>
      <c r="E43" s="82">
        <f t="shared" si="5"/>
        <v>0.971111992973688</v>
      </c>
      <c r="F43" s="82">
        <f t="shared" si="6"/>
        <v>1.1529278293097791</v>
      </c>
      <c r="G43" s="65">
        <f t="shared" si="8"/>
        <v>0.54382271606526533</v>
      </c>
      <c r="H43" s="83">
        <f t="shared" si="4"/>
        <v>2421.1484415505361</v>
      </c>
      <c r="I43" s="81">
        <f t="shared" si="7"/>
        <v>1316.6755214811969</v>
      </c>
      <c r="M43" s="7"/>
      <c r="N43" s="7"/>
    </row>
    <row r="44" spans="1:14">
      <c r="A44" s="68">
        <f>B23</f>
        <v>2023</v>
      </c>
      <c r="B44" s="131">
        <f t="shared" si="1"/>
        <v>1.69</v>
      </c>
      <c r="C44" s="84">
        <f t="shared" si="2"/>
        <v>3100</v>
      </c>
      <c r="D44" s="53">
        <f>E31</f>
        <v>23</v>
      </c>
      <c r="E44" s="85">
        <f t="shared" si="5"/>
        <v>0.98092120502392732</v>
      </c>
      <c r="F44" s="85">
        <f t="shared" si="6"/>
        <v>1.0980265041045516</v>
      </c>
      <c r="G44" s="69">
        <f t="shared" si="8"/>
        <v>1.6577568364904371</v>
      </c>
      <c r="H44" s="86">
        <f t="shared" si="4"/>
        <v>3403.88216272411</v>
      </c>
      <c r="I44" s="84">
        <f t="shared" si="7"/>
        <v>5642.8089258637483</v>
      </c>
      <c r="M44" s="7"/>
      <c r="N44" s="7"/>
    </row>
    <row r="45" spans="1:14">
      <c r="A45" s="83" t="s">
        <v>274</v>
      </c>
      <c r="B45" s="67"/>
      <c r="C45" s="81"/>
      <c r="D45" s="55"/>
      <c r="E45" s="82"/>
      <c r="G45" s="65"/>
      <c r="H45"/>
      <c r="I45" s="81"/>
      <c r="M45" s="7"/>
      <c r="N45" s="7"/>
    </row>
    <row r="46" spans="1:14">
      <c r="A46" s="87" t="s">
        <v>275</v>
      </c>
      <c r="C46" s="81"/>
      <c r="D46" s="55"/>
      <c r="E46" s="82"/>
      <c r="G46" s="65">
        <f t="shared" ref="G46:H46" si="9">AVERAGE(G35:G44)</f>
        <v>1.2110886475340021</v>
      </c>
      <c r="H46" s="83">
        <f t="shared" si="9"/>
        <v>4663.4384024480087</v>
      </c>
      <c r="I46" s="81">
        <f>AVERAGE(I35:I44)</f>
        <v>5528.5194519349943</v>
      </c>
      <c r="M46" s="7"/>
      <c r="N46" s="7"/>
    </row>
    <row r="48" spans="1:14">
      <c r="A48" s="5" t="s">
        <v>5</v>
      </c>
      <c r="B48" s="118" t="s">
        <v>77</v>
      </c>
      <c r="C48" s="118"/>
      <c r="D48" s="118"/>
      <c r="E48" s="118"/>
      <c r="F48" s="118"/>
      <c r="G48" s="118"/>
      <c r="H48" s="118"/>
      <c r="I48" s="118"/>
      <c r="J48" s="118"/>
      <c r="K48" s="118"/>
      <c r="L48" s="118"/>
    </row>
    <row r="49" spans="1:12">
      <c r="A49" s="3"/>
      <c r="B49" s="118"/>
      <c r="C49" s="118"/>
      <c r="D49" s="118"/>
      <c r="E49" s="118"/>
      <c r="F49" s="118"/>
      <c r="G49" s="118"/>
      <c r="H49" s="118"/>
      <c r="I49" s="118"/>
      <c r="J49" s="118"/>
      <c r="K49" s="118"/>
      <c r="L49" s="118"/>
    </row>
    <row r="50" spans="1:12">
      <c r="A50" s="6"/>
      <c r="B50" s="6"/>
      <c r="C50" s="6"/>
      <c r="D50" s="6"/>
      <c r="E50" s="6"/>
      <c r="F50" s="6"/>
      <c r="G50" s="6"/>
      <c r="H50" s="6"/>
      <c r="I50" s="6"/>
      <c r="J50" s="6"/>
      <c r="K50" s="6"/>
      <c r="L50" s="6"/>
    </row>
    <row r="51" spans="1:12">
      <c r="A51" s="6" t="s">
        <v>1</v>
      </c>
      <c r="B51" s="6"/>
      <c r="C51" s="6"/>
      <c r="D51" s="6"/>
      <c r="E51" s="6"/>
      <c r="F51" s="6"/>
      <c r="G51" s="6"/>
      <c r="H51" s="6"/>
      <c r="I51" s="6"/>
      <c r="J51" s="6"/>
      <c r="K51" s="6"/>
      <c r="L51" s="6"/>
    </row>
    <row r="52" spans="1:12">
      <c r="A52" s="6"/>
      <c r="B52" s="6"/>
      <c r="C52" s="6"/>
      <c r="D52" s="6"/>
      <c r="E52" s="6"/>
      <c r="F52" s="6"/>
      <c r="G52" s="6"/>
      <c r="H52" s="6"/>
      <c r="I52" s="6"/>
      <c r="J52" s="6"/>
      <c r="K52" s="6"/>
      <c r="L52" s="6"/>
    </row>
    <row r="53" spans="1:12">
      <c r="A53" s="1" t="s">
        <v>320</v>
      </c>
      <c r="B53"/>
      <c r="C53"/>
      <c r="D53" s="81">
        <f>I46</f>
        <v>5528.5194519349943</v>
      </c>
      <c r="E53" s="6"/>
      <c r="F53" s="6"/>
      <c r="G53" s="6"/>
      <c r="H53" s="6"/>
      <c r="I53" s="6"/>
      <c r="J53" s="6"/>
      <c r="K53" s="6"/>
      <c r="L53" s="6"/>
    </row>
    <row r="54" spans="1:12">
      <c r="A54" s="1" t="s">
        <v>278</v>
      </c>
      <c r="C54"/>
      <c r="D54"/>
      <c r="E54" s="6"/>
      <c r="F54" s="6"/>
      <c r="G54" s="6"/>
      <c r="H54" s="6"/>
      <c r="I54" s="6"/>
      <c r="J54" s="6"/>
      <c r="K54" s="6"/>
      <c r="L54" s="6"/>
    </row>
    <row r="56" spans="1:12">
      <c r="A56" s="32" t="s">
        <v>78</v>
      </c>
      <c r="B56" s="8"/>
      <c r="C56" s="8"/>
      <c r="D56" s="8"/>
      <c r="E56" s="8"/>
      <c r="F56" s="8"/>
      <c r="G56" s="8"/>
      <c r="H56" s="8"/>
      <c r="I56" s="8"/>
      <c r="J56" s="8"/>
      <c r="K56" s="8"/>
      <c r="L56" s="4"/>
    </row>
    <row r="57" spans="1:12">
      <c r="A57" s="8"/>
      <c r="B57" s="8"/>
      <c r="C57" s="8"/>
      <c r="D57" s="8"/>
      <c r="E57" s="8"/>
      <c r="F57" s="8"/>
      <c r="G57" s="8"/>
      <c r="H57" s="8"/>
      <c r="I57" s="8"/>
      <c r="J57" s="8"/>
      <c r="K57" s="8"/>
      <c r="L57" s="4"/>
    </row>
    <row r="58" spans="1:12">
      <c r="A58" s="8"/>
      <c r="B58" s="21" t="s">
        <v>79</v>
      </c>
      <c r="C58" s="8"/>
      <c r="D58" s="8"/>
      <c r="E58" s="8"/>
      <c r="F58" s="8"/>
      <c r="G58" s="35">
        <v>13089711</v>
      </c>
      <c r="H58" s="8"/>
      <c r="I58" s="8"/>
      <c r="J58" s="8"/>
      <c r="K58" s="8"/>
      <c r="L58" s="4"/>
    </row>
    <row r="59" spans="1:12">
      <c r="A59" s="8"/>
      <c r="B59" s="21" t="s">
        <v>80</v>
      </c>
      <c r="C59" s="8"/>
      <c r="D59" s="8"/>
      <c r="E59" s="8"/>
      <c r="F59" s="8"/>
      <c r="G59" s="35">
        <v>17931</v>
      </c>
      <c r="H59" s="8"/>
      <c r="I59" s="8"/>
      <c r="J59" s="8"/>
      <c r="K59" s="8"/>
      <c r="L59" s="4"/>
    </row>
    <row r="60" spans="1:12">
      <c r="A60" s="8"/>
      <c r="B60" s="21" t="s">
        <v>81</v>
      </c>
      <c r="C60" s="8"/>
      <c r="D60" s="8"/>
      <c r="E60" s="8"/>
      <c r="F60" s="8"/>
      <c r="G60" s="8"/>
      <c r="H60" s="8"/>
      <c r="I60" s="8"/>
      <c r="J60" s="8"/>
      <c r="K60" s="8"/>
      <c r="L60" s="4"/>
    </row>
    <row r="61" spans="1:12">
      <c r="A61" s="8"/>
      <c r="B61" s="21" t="s">
        <v>82</v>
      </c>
      <c r="C61" s="8"/>
      <c r="D61" s="8"/>
      <c r="E61" s="8"/>
      <c r="F61" s="8"/>
      <c r="G61" s="35">
        <v>4000</v>
      </c>
      <c r="H61" s="8"/>
      <c r="I61" s="8"/>
      <c r="J61" s="8"/>
      <c r="K61" s="8"/>
      <c r="L61" s="4"/>
    </row>
    <row r="62" spans="1:12">
      <c r="A62" s="8"/>
      <c r="B62" s="21" t="s">
        <v>83</v>
      </c>
      <c r="C62" s="8"/>
      <c r="D62" s="8"/>
      <c r="E62" s="8"/>
      <c r="F62" s="8"/>
      <c r="G62" s="8"/>
      <c r="H62" s="8"/>
      <c r="I62" s="28">
        <v>0.7</v>
      </c>
      <c r="J62" s="8"/>
      <c r="K62" s="8"/>
      <c r="L62" s="4"/>
    </row>
    <row r="64" spans="1:12">
      <c r="A64" s="5" t="s">
        <v>0</v>
      </c>
      <c r="B64" s="8" t="s">
        <v>84</v>
      </c>
      <c r="C64" s="4"/>
      <c r="D64" s="4"/>
      <c r="E64" s="4"/>
      <c r="F64" s="4"/>
      <c r="G64" s="4"/>
      <c r="H64" s="4"/>
      <c r="I64" s="4"/>
      <c r="J64" s="4"/>
      <c r="K64" s="4"/>
      <c r="L64" s="4"/>
    </row>
    <row r="65" spans="1:12">
      <c r="A65" s="6"/>
      <c r="B65" s="6"/>
      <c r="C65" s="6"/>
      <c r="D65" s="6"/>
      <c r="E65" s="6"/>
      <c r="F65" s="6"/>
      <c r="G65" s="6"/>
      <c r="H65" s="6"/>
      <c r="I65" s="6"/>
      <c r="J65" s="6"/>
      <c r="K65" s="6"/>
      <c r="L65" s="6"/>
    </row>
    <row r="66" spans="1:12">
      <c r="A66" s="6" t="s">
        <v>1</v>
      </c>
      <c r="B66" s="6"/>
      <c r="C66" s="6"/>
      <c r="D66" s="6"/>
      <c r="E66" s="6"/>
      <c r="F66" s="6"/>
      <c r="G66" s="6"/>
      <c r="H66" s="6"/>
      <c r="I66" s="6"/>
      <c r="J66" s="6"/>
      <c r="K66" s="6"/>
      <c r="L66" s="6"/>
    </row>
    <row r="67" spans="1:12">
      <c r="A67"/>
      <c r="B67"/>
      <c r="C67"/>
      <c r="D67"/>
      <c r="E67"/>
      <c r="F67"/>
      <c r="G67"/>
      <c r="H67"/>
      <c r="I67" s="6"/>
      <c r="J67" s="6"/>
      <c r="K67" s="6"/>
      <c r="L67" s="6"/>
    </row>
    <row r="68" spans="1:12">
      <c r="A68" s="1" t="s">
        <v>279</v>
      </c>
      <c r="B68"/>
      <c r="C68"/>
      <c r="E68" s="88">
        <f>D53</f>
        <v>5528.5194519349943</v>
      </c>
      <c r="F68"/>
      <c r="H68" s="6"/>
      <c r="I68" s="6"/>
      <c r="J68" s="6"/>
      <c r="K68" s="6"/>
      <c r="L68" s="6"/>
    </row>
    <row r="69" spans="1:12">
      <c r="B69"/>
      <c r="C69"/>
      <c r="F69"/>
      <c r="H69" s="6"/>
      <c r="I69" s="6"/>
      <c r="J69" s="6"/>
      <c r="K69" s="6"/>
      <c r="L69" s="6"/>
    </row>
    <row r="70" spans="1:12">
      <c r="A70" s="1" t="s">
        <v>280</v>
      </c>
      <c r="B70"/>
      <c r="C70"/>
      <c r="E70" s="89">
        <f>I62*E68+(1-I62)*G61</f>
        <v>5069.9636163544956</v>
      </c>
      <c r="F70"/>
      <c r="H70" s="6"/>
      <c r="I70" s="6"/>
      <c r="J70" s="6"/>
      <c r="K70" s="6"/>
      <c r="L70" s="6"/>
    </row>
    <row r="71" spans="1:12">
      <c r="B71"/>
      <c r="C71"/>
      <c r="F71"/>
      <c r="H71" s="6"/>
      <c r="I71" s="6"/>
      <c r="J71" s="6"/>
      <c r="K71" s="6"/>
      <c r="L71" s="6"/>
    </row>
    <row r="72" spans="1:12">
      <c r="A72" s="1" t="s">
        <v>281</v>
      </c>
      <c r="B72"/>
      <c r="C72"/>
      <c r="E72" s="89">
        <f>E70*G59/100</f>
        <v>909095.17604852456</v>
      </c>
      <c r="F72"/>
      <c r="H72" s="6"/>
      <c r="I72" s="6"/>
      <c r="J72" s="6"/>
      <c r="K72" s="6"/>
      <c r="L72" s="6"/>
    </row>
    <row r="73" spans="1:12">
      <c r="B73"/>
      <c r="C73"/>
      <c r="F73"/>
      <c r="H73" s="6"/>
      <c r="I73" s="6"/>
      <c r="J73" s="6"/>
      <c r="K73" s="6"/>
      <c r="L73" s="6"/>
    </row>
    <row r="74" spans="1:12">
      <c r="A74" s="1" t="s">
        <v>321</v>
      </c>
      <c r="B74"/>
      <c r="C74"/>
      <c r="E74" s="90">
        <f>E72/G58</f>
        <v>6.94511266175796E-2</v>
      </c>
      <c r="F74"/>
      <c r="H74" s="6"/>
      <c r="I74" s="6"/>
      <c r="J74" s="6"/>
      <c r="K74" s="6"/>
      <c r="L74" s="6"/>
    </row>
    <row r="76" spans="1:12">
      <c r="A76" s="32" t="s">
        <v>85</v>
      </c>
      <c r="B76" s="3"/>
      <c r="C76" s="3"/>
      <c r="D76" s="3"/>
      <c r="E76" s="3"/>
      <c r="F76" s="3"/>
      <c r="G76" s="4"/>
      <c r="H76" s="4"/>
      <c r="I76" s="4"/>
      <c r="J76" s="4"/>
      <c r="K76" s="4"/>
      <c r="L76" s="4"/>
    </row>
    <row r="78" spans="1:12">
      <c r="A78" s="5" t="s">
        <v>2</v>
      </c>
      <c r="B78" s="8" t="s">
        <v>86</v>
      </c>
      <c r="C78" s="4"/>
      <c r="D78" s="4"/>
      <c r="E78" s="4"/>
      <c r="F78" s="4"/>
      <c r="G78" s="4"/>
      <c r="H78" s="4"/>
      <c r="I78" s="4"/>
      <c r="J78" s="4"/>
      <c r="K78" s="4"/>
      <c r="L78" s="4"/>
    </row>
    <row r="79" spans="1:12">
      <c r="A79" s="6"/>
      <c r="B79" s="6"/>
      <c r="C79" s="6"/>
      <c r="D79" s="6"/>
      <c r="E79" s="6"/>
      <c r="F79" s="6"/>
      <c r="G79" s="6"/>
      <c r="H79" s="6"/>
      <c r="I79" s="6"/>
      <c r="J79" s="6"/>
      <c r="K79" s="6"/>
      <c r="L79" s="6"/>
    </row>
    <row r="80" spans="1:12">
      <c r="A80" s="6" t="s">
        <v>1</v>
      </c>
      <c r="B80" s="6"/>
      <c r="C80" s="6"/>
      <c r="D80" s="6"/>
      <c r="E80" s="6"/>
      <c r="F80" s="6"/>
      <c r="G80" s="6"/>
      <c r="H80" s="6"/>
      <c r="I80" s="6"/>
      <c r="J80" s="6"/>
      <c r="K80" s="6"/>
      <c r="L80" s="6"/>
    </row>
    <row r="81" spans="1:13">
      <c r="A81" s="6"/>
      <c r="B81" s="6"/>
      <c r="C81" s="6"/>
      <c r="D81" s="6"/>
      <c r="E81" s="6"/>
      <c r="F81" s="6"/>
      <c r="G81" s="6"/>
      <c r="H81" s="6"/>
      <c r="I81" s="6"/>
      <c r="J81" s="6"/>
      <c r="K81" s="6"/>
      <c r="L81" s="6"/>
    </row>
    <row r="82" spans="1:13">
      <c r="A82" s="6" t="s">
        <v>322</v>
      </c>
      <c r="B82" s="6"/>
      <c r="C82" s="6"/>
      <c r="D82" s="6"/>
      <c r="E82" s="6"/>
      <c r="F82" s="6"/>
      <c r="G82" s="6"/>
      <c r="H82" s="6"/>
      <c r="I82" s="6"/>
      <c r="J82" s="6"/>
      <c r="K82" s="6"/>
      <c r="L82" s="6"/>
    </row>
    <row r="83" spans="1:13">
      <c r="A83" s="1" t="s">
        <v>282</v>
      </c>
    </row>
    <row r="84" spans="1:13">
      <c r="A84" s="1" t="s">
        <v>283</v>
      </c>
    </row>
    <row r="85" spans="1:13">
      <c r="A85" s="1" t="s">
        <v>284</v>
      </c>
      <c r="M85" s="6"/>
    </row>
    <row r="86" spans="1:13">
      <c r="A86" s="1" t="s">
        <v>285</v>
      </c>
      <c r="M86" s="6"/>
    </row>
    <row r="87" spans="1:13">
      <c r="A87" s="1" t="s">
        <v>286</v>
      </c>
    </row>
    <row r="88" spans="1:13">
      <c r="A88" s="1" t="s">
        <v>287</v>
      </c>
    </row>
    <row r="89" spans="1:13">
      <c r="A89" s="1" t="s">
        <v>288</v>
      </c>
    </row>
    <row r="91" spans="1:13">
      <c r="A91" s="32" t="s">
        <v>87</v>
      </c>
      <c r="B91" s="8"/>
      <c r="C91" s="8"/>
      <c r="D91" s="8"/>
      <c r="E91" s="8"/>
      <c r="F91" s="8"/>
      <c r="G91" s="4"/>
      <c r="H91" s="4"/>
      <c r="I91" s="4"/>
      <c r="J91" s="4"/>
      <c r="K91" s="4"/>
      <c r="L91" s="4"/>
    </row>
    <row r="92" spans="1:13">
      <c r="A92" s="8"/>
      <c r="B92" s="8"/>
      <c r="C92" s="8"/>
      <c r="D92" s="8"/>
      <c r="E92" s="8"/>
      <c r="F92" s="8"/>
      <c r="G92" s="4"/>
      <c r="H92" s="4"/>
      <c r="I92" s="4"/>
      <c r="J92" s="4"/>
      <c r="K92" s="4"/>
      <c r="L92" s="4"/>
    </row>
    <row r="93" spans="1:13" ht="46.8">
      <c r="A93" s="8"/>
      <c r="B93" s="24" t="s">
        <v>72</v>
      </c>
      <c r="C93" s="24" t="s">
        <v>88</v>
      </c>
      <c r="D93" s="24" t="s">
        <v>89</v>
      </c>
      <c r="E93" s="24" t="s">
        <v>90</v>
      </c>
      <c r="F93" s="24" t="s">
        <v>91</v>
      </c>
      <c r="G93" s="4"/>
      <c r="H93" s="4"/>
      <c r="I93" s="4"/>
      <c r="J93" s="4"/>
      <c r="K93" s="4"/>
      <c r="L93" s="4"/>
    </row>
    <row r="94" spans="1:13">
      <c r="A94" s="8"/>
      <c r="B94" s="25">
        <v>2019</v>
      </c>
      <c r="C94" s="26">
        <v>20675</v>
      </c>
      <c r="D94" s="26">
        <v>1070</v>
      </c>
      <c r="E94" s="26">
        <v>13510549</v>
      </c>
      <c r="F94" s="26">
        <v>8709600</v>
      </c>
      <c r="G94" s="4"/>
      <c r="H94" s="4"/>
      <c r="I94" s="4"/>
      <c r="J94" s="4"/>
      <c r="K94" s="4"/>
      <c r="L94" s="4"/>
    </row>
    <row r="95" spans="1:13">
      <c r="A95" s="8"/>
      <c r="B95" s="25">
        <v>2020</v>
      </c>
      <c r="C95" s="26">
        <v>19937</v>
      </c>
      <c r="D95" s="26">
        <v>1075</v>
      </c>
      <c r="E95" s="26">
        <v>13268660</v>
      </c>
      <c r="F95" s="26">
        <v>8673608</v>
      </c>
      <c r="G95" s="4"/>
      <c r="H95" s="4"/>
      <c r="I95" s="4"/>
      <c r="J95" s="4"/>
      <c r="K95" s="4"/>
      <c r="L95" s="4"/>
    </row>
    <row r="96" spans="1:13">
      <c r="A96" s="8"/>
      <c r="B96" s="25">
        <v>2021</v>
      </c>
      <c r="C96" s="26">
        <v>17061</v>
      </c>
      <c r="D96" s="26">
        <v>1074</v>
      </c>
      <c r="E96" s="26">
        <v>11739370</v>
      </c>
      <c r="F96" s="26">
        <v>7919295</v>
      </c>
      <c r="G96" s="4"/>
      <c r="H96" s="4"/>
      <c r="I96" s="4"/>
      <c r="J96" s="4"/>
      <c r="K96" s="4"/>
      <c r="L96" s="4"/>
    </row>
    <row r="97" spans="1:12">
      <c r="A97" s="8"/>
      <c r="B97" s="25">
        <v>2022</v>
      </c>
      <c r="C97" s="26">
        <v>17992</v>
      </c>
      <c r="D97" s="26">
        <v>1141</v>
      </c>
      <c r="E97" s="26">
        <v>12638750</v>
      </c>
      <c r="F97" s="26">
        <v>8605528</v>
      </c>
      <c r="G97" s="4"/>
      <c r="H97" s="4"/>
      <c r="I97" s="4"/>
      <c r="J97" s="4"/>
      <c r="K97" s="4"/>
      <c r="L97" s="4"/>
    </row>
    <row r="98" spans="1:12">
      <c r="A98" s="3"/>
      <c r="B98" s="25">
        <v>2023</v>
      </c>
      <c r="C98" s="26">
        <v>17931</v>
      </c>
      <c r="D98" s="26">
        <v>1087</v>
      </c>
      <c r="E98" s="26">
        <v>13089711</v>
      </c>
      <c r="F98" s="26">
        <v>9489317</v>
      </c>
      <c r="G98" s="4"/>
      <c r="H98" s="4"/>
      <c r="I98" s="4"/>
      <c r="J98" s="4"/>
      <c r="K98" s="4"/>
      <c r="L98" s="4"/>
    </row>
    <row r="99" spans="1:12">
      <c r="A99" s="3"/>
      <c r="B99" s="8"/>
      <c r="C99" s="8"/>
      <c r="D99" s="8"/>
      <c r="E99" s="8"/>
      <c r="F99" s="8"/>
      <c r="G99" s="4"/>
      <c r="H99" s="4"/>
      <c r="I99" s="4"/>
      <c r="J99" s="4"/>
      <c r="K99" s="4"/>
      <c r="L99" s="4"/>
    </row>
    <row r="100" spans="1:12">
      <c r="A100" s="3"/>
      <c r="B100" s="8" t="s">
        <v>93</v>
      </c>
      <c r="C100" s="8"/>
      <c r="D100" s="26">
        <v>3654</v>
      </c>
      <c r="E100" s="8" t="s">
        <v>92</v>
      </c>
      <c r="F100" s="8"/>
      <c r="G100" s="4"/>
      <c r="H100" s="4"/>
      <c r="I100" s="4"/>
      <c r="J100" s="4"/>
      <c r="K100" s="4"/>
      <c r="L100" s="4"/>
    </row>
    <row r="102" spans="1:12">
      <c r="A102" s="5" t="s">
        <v>3</v>
      </c>
      <c r="B102" s="118" t="s">
        <v>94</v>
      </c>
      <c r="C102" s="118"/>
      <c r="D102" s="118"/>
      <c r="E102" s="118"/>
      <c r="F102" s="118"/>
      <c r="G102" s="118"/>
      <c r="H102" s="118"/>
      <c r="I102" s="118"/>
      <c r="J102" s="118"/>
      <c r="K102" s="118"/>
      <c r="L102" s="118"/>
    </row>
    <row r="103" spans="1:12">
      <c r="A103" s="3"/>
      <c r="B103" s="118"/>
      <c r="C103" s="118"/>
      <c r="D103" s="118"/>
      <c r="E103" s="118"/>
      <c r="F103" s="118"/>
      <c r="G103" s="118"/>
      <c r="H103" s="118"/>
      <c r="I103" s="118"/>
      <c r="J103" s="118"/>
      <c r="K103" s="118"/>
      <c r="L103" s="118"/>
    </row>
    <row r="104" spans="1:12">
      <c r="A104" s="6"/>
      <c r="B104" s="6"/>
      <c r="C104" s="6"/>
      <c r="D104" s="6"/>
      <c r="E104" s="6"/>
      <c r="F104" s="6"/>
      <c r="G104" s="6"/>
      <c r="H104" s="6"/>
      <c r="I104" s="6"/>
      <c r="J104" s="6"/>
      <c r="K104" s="6"/>
      <c r="L104" s="6"/>
    </row>
    <row r="105" spans="1:12">
      <c r="A105" s="6" t="s">
        <v>1</v>
      </c>
      <c r="B105" s="6"/>
      <c r="C105" s="6"/>
      <c r="D105" s="6"/>
      <c r="E105" s="6"/>
      <c r="F105" s="6"/>
      <c r="G105" s="6"/>
      <c r="H105" s="6"/>
      <c r="I105" s="6"/>
      <c r="J105" s="6"/>
      <c r="K105" s="6"/>
      <c r="L105" s="6"/>
    </row>
    <row r="106" spans="1:12">
      <c r="A106" s="6"/>
      <c r="B106" s="6"/>
      <c r="C106" s="6"/>
      <c r="D106" s="6"/>
      <c r="E106" s="6"/>
      <c r="F106" s="6"/>
      <c r="G106" s="6"/>
      <c r="H106" s="6"/>
      <c r="I106" s="6"/>
      <c r="J106" s="6"/>
      <c r="K106" s="6"/>
      <c r="L106" s="6"/>
    </row>
    <row r="107" spans="1:12">
      <c r="B107" s="55"/>
      <c r="C107" s="55" t="s">
        <v>289</v>
      </c>
      <c r="E107" s="6"/>
      <c r="F107" s="6"/>
      <c r="G107" s="6"/>
      <c r="H107" s="6"/>
      <c r="I107" s="6"/>
      <c r="J107" s="6"/>
      <c r="K107" s="6"/>
      <c r="L107" s="6"/>
    </row>
    <row r="108" spans="1:12">
      <c r="A108" s="53" t="s">
        <v>290</v>
      </c>
      <c r="B108" s="53" t="s">
        <v>89</v>
      </c>
      <c r="C108" s="53" t="s">
        <v>89</v>
      </c>
      <c r="E108" s="6"/>
      <c r="F108" s="6"/>
      <c r="G108" s="6"/>
      <c r="H108" s="6"/>
      <c r="I108" s="6"/>
      <c r="J108" s="6"/>
      <c r="K108" s="6"/>
      <c r="L108" s="6"/>
    </row>
    <row r="109" spans="1:12">
      <c r="A109" s="55">
        <f t="shared" ref="A109:A112" si="10">B94</f>
        <v>2019</v>
      </c>
      <c r="B109" s="57">
        <f t="shared" ref="B109:B112" si="11">D94</f>
        <v>1070</v>
      </c>
      <c r="C109" s="57">
        <f t="shared" ref="C109:C111" si="12">C110+B109</f>
        <v>5447</v>
      </c>
      <c r="E109" s="6"/>
      <c r="F109" s="6"/>
      <c r="G109" s="6"/>
      <c r="H109" s="6"/>
      <c r="I109" s="6"/>
      <c r="J109" s="6"/>
      <c r="K109" s="6"/>
      <c r="L109" s="6"/>
    </row>
    <row r="110" spans="1:12">
      <c r="A110" s="55">
        <f t="shared" si="10"/>
        <v>2020</v>
      </c>
      <c r="B110" s="57">
        <f t="shared" si="11"/>
        <v>1075</v>
      </c>
      <c r="C110" s="57">
        <f t="shared" si="12"/>
        <v>4377</v>
      </c>
      <c r="E110" s="6"/>
      <c r="F110" s="6"/>
      <c r="G110" s="6"/>
      <c r="H110" s="6"/>
      <c r="I110" s="6"/>
      <c r="J110" s="6"/>
      <c r="K110" s="6"/>
      <c r="L110" s="6"/>
    </row>
    <row r="111" spans="1:12">
      <c r="A111" s="55">
        <f t="shared" si="10"/>
        <v>2021</v>
      </c>
      <c r="B111" s="57">
        <f t="shared" si="11"/>
        <v>1074</v>
      </c>
      <c r="C111" s="57">
        <f t="shared" si="12"/>
        <v>3302</v>
      </c>
      <c r="E111" s="6"/>
      <c r="F111" s="6"/>
      <c r="G111" s="6"/>
      <c r="H111" s="6"/>
      <c r="I111" s="6"/>
      <c r="J111" s="6"/>
      <c r="K111" s="6"/>
      <c r="L111" s="6"/>
    </row>
    <row r="112" spans="1:12">
      <c r="A112" s="55">
        <f t="shared" si="10"/>
        <v>2022</v>
      </c>
      <c r="B112" s="57">
        <f t="shared" si="11"/>
        <v>1141</v>
      </c>
      <c r="C112" s="57">
        <f>C113+B112</f>
        <v>2228</v>
      </c>
      <c r="E112" s="6"/>
      <c r="F112" s="6"/>
      <c r="G112" s="6"/>
      <c r="H112" s="6"/>
      <c r="I112" s="6"/>
      <c r="J112" s="6"/>
      <c r="K112" s="6"/>
      <c r="L112" s="6"/>
    </row>
    <row r="113" spans="1:12">
      <c r="A113" s="55">
        <f>B98</f>
        <v>2023</v>
      </c>
      <c r="B113" s="57">
        <f>D98</f>
        <v>1087</v>
      </c>
      <c r="C113" s="57">
        <f>B113</f>
        <v>1087</v>
      </c>
      <c r="E113" s="6"/>
      <c r="F113" s="6"/>
      <c r="G113" s="6"/>
      <c r="H113" s="6"/>
      <c r="I113" s="6"/>
      <c r="J113" s="6"/>
      <c r="K113" s="6"/>
      <c r="L113" s="6"/>
    </row>
    <row r="114" spans="1:12">
      <c r="A114" s="55"/>
      <c r="B114" s="57"/>
      <c r="C114" s="57"/>
      <c r="E114" s="6"/>
      <c r="F114" s="6"/>
      <c r="G114" s="6"/>
      <c r="H114" s="6"/>
      <c r="I114" s="6"/>
      <c r="J114" s="6"/>
      <c r="K114" s="6"/>
      <c r="L114" s="6"/>
    </row>
    <row r="115" spans="1:12">
      <c r="A115" s="1" t="s">
        <v>291</v>
      </c>
      <c r="E115" s="6"/>
      <c r="F115" s="6"/>
      <c r="G115" s="6"/>
      <c r="H115" s="6"/>
      <c r="I115" s="6"/>
      <c r="J115" s="6"/>
      <c r="K115" s="6"/>
      <c r="L115" s="6"/>
    </row>
    <row r="116" spans="1:12">
      <c r="A116" s="1" t="s">
        <v>292</v>
      </c>
      <c r="E116" s="6"/>
      <c r="F116" s="6"/>
      <c r="G116" s="6"/>
      <c r="H116" s="6"/>
      <c r="I116" s="6"/>
      <c r="J116" s="6"/>
      <c r="K116" s="6"/>
      <c r="L116" s="6"/>
    </row>
    <row r="118" spans="1:12">
      <c r="A118" s="5" t="s">
        <v>6</v>
      </c>
      <c r="B118" s="118" t="s">
        <v>95</v>
      </c>
      <c r="C118" s="118"/>
      <c r="D118" s="118"/>
      <c r="E118" s="118"/>
      <c r="F118" s="118"/>
      <c r="G118" s="118"/>
      <c r="H118" s="118"/>
      <c r="I118" s="118"/>
      <c r="J118" s="118"/>
      <c r="K118" s="118"/>
      <c r="L118" s="118"/>
    </row>
    <row r="119" spans="1:12">
      <c r="A119" s="3"/>
      <c r="B119" s="118"/>
      <c r="C119" s="118"/>
      <c r="D119" s="118"/>
      <c r="E119" s="118"/>
      <c r="F119" s="118"/>
      <c r="G119" s="118"/>
      <c r="H119" s="118"/>
      <c r="I119" s="118"/>
      <c r="J119" s="118"/>
      <c r="K119" s="118"/>
      <c r="L119" s="118"/>
    </row>
    <row r="120" spans="1:12">
      <c r="A120" s="6"/>
      <c r="B120" s="6"/>
      <c r="C120" s="6"/>
      <c r="D120" s="6"/>
      <c r="E120" s="6"/>
      <c r="F120" s="6"/>
      <c r="G120" s="6"/>
      <c r="H120" s="6"/>
      <c r="I120" s="6"/>
      <c r="J120" s="6"/>
      <c r="K120" s="6"/>
      <c r="L120" s="6"/>
    </row>
    <row r="121" spans="1:12">
      <c r="A121" s="6" t="s">
        <v>1</v>
      </c>
      <c r="B121" s="6"/>
      <c r="C121" s="6"/>
      <c r="D121" s="6"/>
      <c r="E121" s="6"/>
      <c r="F121" s="6"/>
      <c r="G121" s="6"/>
      <c r="H121" s="6"/>
      <c r="I121" s="6"/>
      <c r="J121" s="6"/>
      <c r="K121" s="6"/>
      <c r="L121" s="6"/>
    </row>
    <row r="122" spans="1:12">
      <c r="A122" s="6"/>
      <c r="B122" s="6"/>
      <c r="C122" s="6"/>
      <c r="D122" s="6"/>
      <c r="E122" s="6"/>
      <c r="F122" s="6"/>
      <c r="G122" s="6"/>
      <c r="H122" s="6"/>
      <c r="I122" s="6"/>
      <c r="J122" s="6"/>
      <c r="K122" s="6"/>
      <c r="L122" s="6"/>
    </row>
    <row r="123" spans="1:12">
      <c r="A123" s="91" t="s">
        <v>293</v>
      </c>
      <c r="B123" s="6"/>
      <c r="C123" s="6"/>
      <c r="D123" s="6"/>
      <c r="E123" s="6"/>
      <c r="F123" s="6"/>
      <c r="G123" s="6"/>
      <c r="H123" s="6"/>
      <c r="I123" s="6"/>
      <c r="J123" s="6"/>
      <c r="K123" s="6"/>
      <c r="L123" s="6"/>
    </row>
    <row r="124" spans="1:12">
      <c r="A124" s="92" t="s">
        <v>323</v>
      </c>
      <c r="B124" s="6"/>
      <c r="C124" s="6"/>
      <c r="D124" s="6"/>
      <c r="E124" s="6"/>
      <c r="F124" s="6"/>
      <c r="G124" s="6"/>
      <c r="H124" s="6"/>
      <c r="I124" s="6"/>
      <c r="J124" s="6"/>
      <c r="K124" s="6"/>
      <c r="L124" s="6"/>
    </row>
    <row r="125" spans="1:12">
      <c r="A125" s="6"/>
      <c r="B125" s="6"/>
      <c r="C125" s="6"/>
      <c r="D125" s="6"/>
      <c r="E125" s="6"/>
      <c r="F125" s="6"/>
      <c r="G125" s="6"/>
      <c r="H125" s="6"/>
      <c r="I125" s="6"/>
      <c r="J125" s="6"/>
      <c r="K125" s="6"/>
      <c r="L125" s="6"/>
    </row>
    <row r="126" spans="1:12">
      <c r="C126" s="123" t="s">
        <v>294</v>
      </c>
      <c r="D126" s="123"/>
      <c r="E126" s="123"/>
      <c r="F126" s="6"/>
      <c r="G126" s="6"/>
      <c r="H126" s="6"/>
      <c r="I126" s="6"/>
      <c r="J126" s="6"/>
      <c r="K126" s="6"/>
      <c r="L126" s="6"/>
    </row>
    <row r="127" spans="1:12" ht="31.2">
      <c r="A127" s="53" t="s">
        <v>290</v>
      </c>
      <c r="B127" s="54" t="s">
        <v>88</v>
      </c>
      <c r="C127" s="53" t="s">
        <v>295</v>
      </c>
      <c r="D127" s="53" t="s">
        <v>296</v>
      </c>
      <c r="E127" s="53" t="s">
        <v>297</v>
      </c>
      <c r="F127" s="6"/>
      <c r="G127" s="6"/>
      <c r="H127" s="6"/>
      <c r="I127" s="6"/>
      <c r="J127" s="6"/>
      <c r="K127" s="6"/>
      <c r="L127" s="6"/>
    </row>
    <row r="128" spans="1:12">
      <c r="A128" s="55">
        <f>A110</f>
        <v>2020</v>
      </c>
      <c r="B128" s="57">
        <f>C95</f>
        <v>19937</v>
      </c>
      <c r="C128" s="93">
        <f>B128/$B$132</f>
        <v>0.2734054661894379</v>
      </c>
      <c r="D128" s="94">
        <f t="shared" ref="D128:D129" si="13">MIN(D129,C128)</f>
        <v>0.23396552433455384</v>
      </c>
      <c r="E128" s="94">
        <f>D128/$D$132</f>
        <v>0.24378429355281209</v>
      </c>
      <c r="F128" s="6"/>
      <c r="G128" s="6"/>
      <c r="H128" s="6"/>
      <c r="I128" s="6"/>
      <c r="J128" s="6"/>
      <c r="K128" s="6"/>
      <c r="L128" s="6"/>
    </row>
    <row r="129" spans="1:12">
      <c r="A129" s="55">
        <f>A111</f>
        <v>2021</v>
      </c>
      <c r="B129" s="57">
        <f>C96</f>
        <v>17061</v>
      </c>
      <c r="C129" s="93">
        <f t="shared" ref="C129:C131" si="14">B129/$B$132</f>
        <v>0.23396552433455384</v>
      </c>
      <c r="D129" s="94">
        <f t="shared" si="13"/>
        <v>0.23396552433455384</v>
      </c>
      <c r="E129" s="94">
        <f t="shared" ref="E129:E131" si="15">D129/$D$132</f>
        <v>0.24378429355281209</v>
      </c>
      <c r="F129" s="6"/>
      <c r="G129" s="6"/>
      <c r="H129" s="6"/>
      <c r="I129" s="6"/>
      <c r="J129" s="6"/>
      <c r="K129" s="6"/>
      <c r="L129" s="6"/>
    </row>
    <row r="130" spans="1:12">
      <c r="A130" s="55">
        <f>A112</f>
        <v>2022</v>
      </c>
      <c r="B130" s="57">
        <f>C97</f>
        <v>17992</v>
      </c>
      <c r="C130" s="93">
        <f t="shared" si="14"/>
        <v>0.24673276559564461</v>
      </c>
      <c r="D130" s="94">
        <f>MIN(D131,C130)</f>
        <v>0.24589624388036369</v>
      </c>
      <c r="E130" s="94">
        <f t="shared" si="15"/>
        <v>0.25621570644718794</v>
      </c>
      <c r="F130" s="6"/>
      <c r="G130" s="6"/>
      <c r="H130" s="6"/>
      <c r="I130" s="6"/>
      <c r="J130" s="6"/>
      <c r="K130" s="6"/>
      <c r="L130" s="6"/>
    </row>
    <row r="131" spans="1:12">
      <c r="A131" s="53">
        <f>A113</f>
        <v>2023</v>
      </c>
      <c r="B131" s="62">
        <f>C98</f>
        <v>17931</v>
      </c>
      <c r="C131" s="95">
        <f t="shared" si="14"/>
        <v>0.24589624388036369</v>
      </c>
      <c r="D131" s="96">
        <f>C131</f>
        <v>0.24589624388036369</v>
      </c>
      <c r="E131" s="96">
        <f t="shared" si="15"/>
        <v>0.25621570644718794</v>
      </c>
      <c r="F131" s="6"/>
      <c r="G131" s="6"/>
      <c r="H131" s="6"/>
      <c r="I131" s="6"/>
      <c r="J131" s="6"/>
      <c r="K131" s="6"/>
      <c r="L131" s="6"/>
    </row>
    <row r="132" spans="1:12">
      <c r="B132" s="57">
        <f>SUM(B128:B131)</f>
        <v>72921</v>
      </c>
      <c r="D132" s="94">
        <f>SUM(D128:D131)</f>
        <v>0.95972353642983499</v>
      </c>
      <c r="F132" s="6"/>
      <c r="G132" s="6"/>
      <c r="H132" s="6"/>
      <c r="I132" s="6"/>
      <c r="J132" s="6"/>
      <c r="K132" s="6"/>
      <c r="L132" s="6"/>
    </row>
    <row r="134" spans="1:12">
      <c r="A134" s="32" t="s">
        <v>78</v>
      </c>
      <c r="B134" s="8"/>
      <c r="C134" s="8"/>
      <c r="D134" s="8"/>
      <c r="E134" s="8"/>
      <c r="F134" s="8"/>
      <c r="G134" s="4"/>
      <c r="H134" s="4"/>
      <c r="I134" s="4"/>
      <c r="J134" s="4"/>
      <c r="K134" s="4"/>
      <c r="L134" s="4"/>
    </row>
    <row r="135" spans="1:12">
      <c r="A135" s="8"/>
      <c r="B135" s="8"/>
      <c r="C135" s="8"/>
      <c r="D135" s="8"/>
      <c r="E135" s="8"/>
      <c r="F135" s="8"/>
      <c r="G135" s="4"/>
      <c r="H135" s="4"/>
      <c r="I135" s="4"/>
      <c r="J135" s="4"/>
      <c r="K135" s="4"/>
      <c r="L135" s="4"/>
    </row>
    <row r="136" spans="1:12">
      <c r="A136" s="8"/>
      <c r="B136" s="21" t="s">
        <v>96</v>
      </c>
      <c r="C136" s="8"/>
      <c r="D136" s="8"/>
      <c r="E136" s="8"/>
      <c r="F136" s="8"/>
      <c r="G136" s="4"/>
      <c r="H136" s="4"/>
      <c r="I136" s="4"/>
      <c r="J136" s="4"/>
      <c r="K136" s="4"/>
      <c r="L136" s="4"/>
    </row>
    <row r="137" spans="1:12">
      <c r="A137" s="8"/>
      <c r="B137" s="8"/>
      <c r="C137" s="36" t="s">
        <v>100</v>
      </c>
      <c r="D137" s="8"/>
      <c r="E137" s="28">
        <v>0.03</v>
      </c>
      <c r="F137" s="8" t="s">
        <v>98</v>
      </c>
      <c r="G137" s="4"/>
      <c r="H137" s="4"/>
      <c r="I137" s="4"/>
      <c r="J137" s="4"/>
      <c r="K137" s="4"/>
      <c r="L137" s="4"/>
    </row>
    <row r="138" spans="1:12">
      <c r="A138" s="8"/>
      <c r="B138" s="8"/>
      <c r="C138" s="36" t="s">
        <v>100</v>
      </c>
      <c r="D138" s="8"/>
      <c r="E138" s="28">
        <v>0.04</v>
      </c>
      <c r="F138" s="8" t="s">
        <v>99</v>
      </c>
      <c r="G138" s="4"/>
      <c r="H138" s="4"/>
      <c r="I138" s="4"/>
      <c r="J138" s="4"/>
      <c r="K138" s="4"/>
      <c r="L138" s="4"/>
    </row>
    <row r="139" spans="1:12">
      <c r="A139" s="8"/>
      <c r="B139" s="21" t="s">
        <v>97</v>
      </c>
      <c r="C139" s="8"/>
      <c r="D139" s="8"/>
      <c r="E139" s="8"/>
      <c r="F139" s="8"/>
      <c r="G139" s="4"/>
      <c r="H139" s="4"/>
      <c r="I139" s="4"/>
      <c r="J139" s="4"/>
      <c r="K139" s="4"/>
      <c r="L139" s="4"/>
    </row>
    <row r="140" spans="1:12">
      <c r="A140" s="8"/>
      <c r="B140" s="21" t="s">
        <v>101</v>
      </c>
      <c r="C140" s="8"/>
      <c r="D140" s="8"/>
      <c r="E140" s="28">
        <v>0</v>
      </c>
      <c r="F140" s="8"/>
      <c r="G140" s="4"/>
      <c r="H140" s="4"/>
      <c r="I140" s="4"/>
      <c r="J140" s="4"/>
      <c r="K140" s="4"/>
      <c r="L140" s="4"/>
    </row>
    <row r="141" spans="1:12">
      <c r="A141" s="8"/>
      <c r="B141" s="21" t="s">
        <v>102</v>
      </c>
      <c r="C141" s="8"/>
      <c r="D141" s="8"/>
      <c r="E141" s="28">
        <v>0.05</v>
      </c>
      <c r="F141" s="8"/>
      <c r="G141" s="4"/>
      <c r="H141" s="4"/>
      <c r="I141" s="4"/>
      <c r="J141" s="4"/>
      <c r="K141" s="4"/>
      <c r="L141" s="4"/>
    </row>
    <row r="142" spans="1:12">
      <c r="A142" s="8"/>
      <c r="B142" s="21" t="s">
        <v>103</v>
      </c>
      <c r="C142" s="8"/>
      <c r="D142" s="8"/>
      <c r="E142" s="8"/>
      <c r="F142" s="8"/>
      <c r="G142" s="28">
        <v>0.03</v>
      </c>
      <c r="H142" s="4"/>
      <c r="I142" s="4"/>
      <c r="J142" s="4"/>
      <c r="K142" s="4"/>
      <c r="L142" s="4"/>
    </row>
    <row r="143" spans="1:12">
      <c r="A143" s="8"/>
      <c r="B143" s="21" t="s">
        <v>104</v>
      </c>
      <c r="C143" s="8"/>
      <c r="D143" s="8"/>
      <c r="E143" s="8"/>
      <c r="F143" s="8"/>
      <c r="G143" s="28">
        <v>0.12</v>
      </c>
      <c r="H143" s="4"/>
      <c r="I143" s="4"/>
      <c r="J143" s="4"/>
      <c r="K143" s="4"/>
      <c r="L143" s="4"/>
    </row>
    <row r="144" spans="1:12">
      <c r="A144" s="8"/>
      <c r="B144" s="21" t="s">
        <v>105</v>
      </c>
      <c r="C144" s="8"/>
      <c r="D144" s="8"/>
      <c r="E144" s="8"/>
      <c r="F144" s="8"/>
      <c r="G144" s="28">
        <v>0.04</v>
      </c>
      <c r="H144" s="4"/>
      <c r="I144" s="4"/>
      <c r="J144" s="4"/>
      <c r="K144" s="4"/>
      <c r="L144" s="4"/>
    </row>
    <row r="146" spans="1:32">
      <c r="A146" s="5" t="s">
        <v>7</v>
      </c>
      <c r="B146" s="8" t="s">
        <v>106</v>
      </c>
      <c r="C146" s="4"/>
      <c r="D146" s="4"/>
      <c r="E146" s="4"/>
      <c r="F146" s="4"/>
      <c r="G146" s="4"/>
      <c r="H146" s="4"/>
      <c r="I146" s="4"/>
      <c r="J146" s="4"/>
      <c r="K146" s="4"/>
      <c r="L146" s="4"/>
    </row>
    <row r="147" spans="1:32" ht="16.2">
      <c r="A147" s="6"/>
      <c r="B147" s="6"/>
      <c r="C147" s="6"/>
      <c r="D147" s="6"/>
      <c r="E147" s="6"/>
      <c r="F147" s="6"/>
      <c r="G147" s="6"/>
      <c r="H147" s="6"/>
      <c r="I147" s="6"/>
      <c r="J147" s="6"/>
      <c r="K147" s="6"/>
      <c r="L147" s="6"/>
      <c r="M147" s="11" t="s">
        <v>11</v>
      </c>
    </row>
    <row r="148" spans="1:32">
      <c r="A148" s="6" t="s">
        <v>1</v>
      </c>
      <c r="B148" s="6"/>
      <c r="C148" s="6"/>
      <c r="D148" s="6"/>
      <c r="E148" s="6"/>
      <c r="F148" s="6"/>
      <c r="G148" s="6"/>
      <c r="H148" s="6"/>
      <c r="I148" s="6"/>
      <c r="J148" s="6"/>
      <c r="K148" s="6"/>
      <c r="L148" s="6"/>
      <c r="M148" s="126">
        <v>2019</v>
      </c>
      <c r="N148" s="126"/>
      <c r="O148" s="126"/>
      <c r="P148" s="126"/>
      <c r="Q148" s="126">
        <f>M148+1</f>
        <v>2020</v>
      </c>
      <c r="R148" s="126"/>
      <c r="S148" s="126"/>
      <c r="T148" s="126"/>
      <c r="U148" s="126">
        <f>Q148+1</f>
        <v>2021</v>
      </c>
      <c r="V148" s="126"/>
      <c r="W148" s="126"/>
      <c r="X148" s="126"/>
      <c r="Y148" s="126">
        <f>U148+1</f>
        <v>2022</v>
      </c>
      <c r="Z148" s="126"/>
      <c r="AA148" s="126"/>
      <c r="AB148" s="126"/>
      <c r="AC148" s="126">
        <f>Y148+1</f>
        <v>2023</v>
      </c>
      <c r="AD148" s="126"/>
      <c r="AE148" s="126"/>
      <c r="AF148" s="126"/>
    </row>
    <row r="149" spans="1:32" ht="30" customHeight="1">
      <c r="A149" s="6"/>
      <c r="B149" s="6"/>
      <c r="C149" s="6"/>
      <c r="D149" s="6"/>
      <c r="E149" s="6"/>
      <c r="F149" s="6"/>
      <c r="G149" s="6"/>
      <c r="H149" s="6"/>
      <c r="I149" s="6"/>
      <c r="J149" s="6"/>
      <c r="K149" s="6"/>
      <c r="L149" s="6"/>
      <c r="M149" s="12"/>
      <c r="N149" s="13"/>
      <c r="O149" s="13"/>
      <c r="P149" s="14"/>
      <c r="Q149" s="12"/>
      <c r="R149" s="13"/>
      <c r="S149" s="13"/>
      <c r="T149" s="14"/>
      <c r="U149" s="12"/>
      <c r="V149" s="13"/>
      <c r="W149" s="13"/>
      <c r="X149" s="14"/>
      <c r="Y149" s="12"/>
      <c r="Z149" s="13"/>
      <c r="AA149" s="13"/>
      <c r="AB149" s="14"/>
      <c r="AC149" s="12"/>
      <c r="AD149" s="13"/>
      <c r="AE149" s="13"/>
      <c r="AF149" s="14"/>
    </row>
    <row r="150" spans="1:32" ht="30" customHeight="1">
      <c r="A150" s="6"/>
      <c r="B150" s="6"/>
      <c r="C150" s="6"/>
      <c r="D150" s="6"/>
      <c r="E150" s="6"/>
      <c r="F150" s="6"/>
      <c r="G150" s="6"/>
      <c r="H150" s="6"/>
      <c r="I150" s="6"/>
      <c r="J150" s="6"/>
      <c r="K150" s="6"/>
      <c r="L150" s="6"/>
      <c r="M150" s="15"/>
      <c r="N150" s="120">
        <v>1</v>
      </c>
      <c r="O150" s="120"/>
      <c r="P150" s="16"/>
      <c r="Q150" s="15"/>
      <c r="R150" s="7"/>
      <c r="S150" s="7"/>
      <c r="T150" s="16"/>
      <c r="U150" s="15"/>
      <c r="V150" s="120">
        <f>(1+E137)</f>
        <v>1.03</v>
      </c>
      <c r="W150" s="120"/>
      <c r="X150" s="16"/>
      <c r="Y150" s="15"/>
      <c r="Z150" s="7"/>
      <c r="AA150" s="7"/>
      <c r="AB150" s="16"/>
      <c r="AC150" s="15"/>
      <c r="AD150" s="120">
        <f>V150*(1+E138)</f>
        <v>1.0712000000000002</v>
      </c>
      <c r="AE150" s="120"/>
      <c r="AF150" s="16"/>
    </row>
    <row r="151" spans="1:32" ht="30" customHeight="1">
      <c r="M151" s="15"/>
      <c r="N151" s="7"/>
      <c r="O151" s="7"/>
      <c r="P151" s="16"/>
      <c r="Q151" s="15"/>
      <c r="R151" s="7"/>
      <c r="S151" s="7"/>
      <c r="T151" s="16"/>
      <c r="U151" s="15"/>
      <c r="V151" s="7"/>
      <c r="W151" s="7"/>
      <c r="X151" s="16"/>
      <c r="Y151" s="15"/>
      <c r="Z151" s="7"/>
      <c r="AA151" s="7"/>
      <c r="AB151" s="16"/>
      <c r="AC151" s="15"/>
      <c r="AD151" s="7"/>
      <c r="AE151" s="7"/>
      <c r="AF151" s="16"/>
    </row>
    <row r="152" spans="1:32" ht="30" customHeight="1">
      <c r="M152" s="17"/>
      <c r="N152" s="18"/>
      <c r="O152" s="18"/>
      <c r="P152" s="19"/>
      <c r="Q152" s="17"/>
      <c r="R152" s="18"/>
      <c r="S152" s="18"/>
      <c r="T152" s="19"/>
      <c r="U152" s="17"/>
      <c r="V152" s="18"/>
      <c r="W152" s="18"/>
      <c r="X152" s="19"/>
      <c r="Y152" s="17"/>
      <c r="Z152" s="18"/>
      <c r="AA152" s="18"/>
      <c r="AB152" s="19"/>
      <c r="AC152" s="17"/>
      <c r="AD152" s="18"/>
      <c r="AE152" s="18"/>
      <c r="AF152" s="19"/>
    </row>
    <row r="153" spans="1:32">
      <c r="S153" s="97">
        <v>0.03</v>
      </c>
      <c r="AA153" s="97">
        <v>0.04</v>
      </c>
    </row>
    <row r="154" spans="1:32">
      <c r="B154" s="6"/>
      <c r="C154" s="121" t="s">
        <v>298</v>
      </c>
      <c r="D154" s="121"/>
      <c r="E154" s="121"/>
      <c r="F154" s="121"/>
      <c r="G154" s="121"/>
      <c r="H154" s="6"/>
      <c r="I154" s="6"/>
      <c r="J154" s="6"/>
      <c r="K154" s="6"/>
      <c r="L154" s="6"/>
      <c r="M154" s="6"/>
      <c r="N154" s="6"/>
    </row>
    <row r="155" spans="1:32">
      <c r="A155"/>
      <c r="B155" s="68" t="s">
        <v>299</v>
      </c>
      <c r="C155" s="68">
        <f>A165</f>
        <v>2019</v>
      </c>
      <c r="D155" s="68">
        <f>C155+1</f>
        <v>2020</v>
      </c>
      <c r="E155" s="68">
        <f t="shared" ref="E155:G155" si="16">D155+1</f>
        <v>2021</v>
      </c>
      <c r="F155" s="68">
        <f t="shared" si="16"/>
        <v>2022</v>
      </c>
      <c r="G155" s="68">
        <f t="shared" si="16"/>
        <v>2023</v>
      </c>
      <c r="H155" s="6"/>
      <c r="I155" s="6"/>
      <c r="J155" s="6"/>
      <c r="K155" s="6"/>
      <c r="L155" s="6"/>
      <c r="M155" s="6"/>
      <c r="N155" s="6"/>
    </row>
    <row r="156" spans="1:32">
      <c r="A156"/>
      <c r="B156" s="100">
        <v>1</v>
      </c>
      <c r="C156" s="101">
        <v>1</v>
      </c>
      <c r="D156" s="101">
        <f>1-D157</f>
        <v>0.75</v>
      </c>
      <c r="E156" s="101">
        <v>0</v>
      </c>
      <c r="F156" s="101">
        <v>0</v>
      </c>
      <c r="G156" s="101">
        <v>0</v>
      </c>
      <c r="H156" s="6"/>
      <c r="I156" s="6"/>
      <c r="J156" s="6"/>
      <c r="K156" s="6"/>
      <c r="L156" s="6"/>
      <c r="M156" s="6"/>
      <c r="N156" s="6"/>
    </row>
    <row r="157" spans="1:32">
      <c r="A157"/>
      <c r="B157" s="100">
        <f>B156*(1+E137)</f>
        <v>1.03</v>
      </c>
      <c r="C157" s="101">
        <v>0</v>
      </c>
      <c r="D157" s="101">
        <f>0.5*0.5</f>
        <v>0.25</v>
      </c>
      <c r="E157" s="101">
        <f>1-E156</f>
        <v>1</v>
      </c>
      <c r="F157" s="101">
        <f>D156</f>
        <v>0.75</v>
      </c>
      <c r="G157" s="101">
        <v>0</v>
      </c>
      <c r="H157" s="6"/>
      <c r="I157" s="6"/>
      <c r="J157" s="6"/>
      <c r="K157" s="6"/>
      <c r="L157" s="6"/>
      <c r="M157" s="6"/>
      <c r="N157" s="6"/>
    </row>
    <row r="158" spans="1:32">
      <c r="A158"/>
      <c r="B158" s="102">
        <f>B157*(1+E138)</f>
        <v>1.0712000000000002</v>
      </c>
      <c r="C158" s="103">
        <f>1-SUM(C156:C157)</f>
        <v>0</v>
      </c>
      <c r="D158" s="103">
        <f>1-SUM(D156:D157)</f>
        <v>0</v>
      </c>
      <c r="E158" s="103">
        <f>1-SUM(E156:E157)</f>
        <v>0</v>
      </c>
      <c r="F158" s="103">
        <f>1-SUM(F156:F157)</f>
        <v>0.25</v>
      </c>
      <c r="G158" s="103">
        <f>1-SUM(G156:G157)</f>
        <v>1</v>
      </c>
      <c r="H158" s="6"/>
      <c r="I158" s="6"/>
      <c r="J158" s="6"/>
      <c r="K158" s="6"/>
      <c r="L158" s="6"/>
      <c r="M158" s="6"/>
      <c r="N158" s="6"/>
    </row>
    <row r="159" spans="1:32">
      <c r="B159" s="1" t="s">
        <v>300</v>
      </c>
      <c r="C159" s="100">
        <f>SUMPRODUCT($B$156:$B$158,C156:C158)</f>
        <v>1</v>
      </c>
      <c r="D159" s="100">
        <f>SUMPRODUCT($B$156:$B$158,D156:D158)</f>
        <v>1.0075000000000001</v>
      </c>
      <c r="E159" s="100">
        <f>SUMPRODUCT($B$156:$B$158,E156:E158)</f>
        <v>1.03</v>
      </c>
      <c r="F159" s="100">
        <f>SUMPRODUCT($B$156:$B$158,F156:F158)</f>
        <v>1.0403</v>
      </c>
      <c r="G159" s="100">
        <f>SUMPRODUCT($B$156:$B$158,G156:G158)</f>
        <v>1.0712000000000002</v>
      </c>
      <c r="H159" s="6"/>
      <c r="I159" s="6"/>
      <c r="J159" s="6"/>
      <c r="K159" s="6"/>
      <c r="L159" s="6"/>
      <c r="M159" s="6"/>
      <c r="N159" s="6"/>
    </row>
    <row r="160" spans="1:32">
      <c r="B160" s="1" t="s">
        <v>301</v>
      </c>
      <c r="C160" s="100">
        <f>$B$158/C159</f>
        <v>1.0712000000000002</v>
      </c>
      <c r="D160" s="100">
        <f>$B$158/D159</f>
        <v>1.0632258064516129</v>
      </c>
      <c r="E160" s="100">
        <f>$B$158/E159</f>
        <v>1.04</v>
      </c>
      <c r="F160" s="100">
        <f>$B$158/F159</f>
        <v>1.02970297029703</v>
      </c>
      <c r="G160" s="100">
        <f>$B$158/G159</f>
        <v>1</v>
      </c>
      <c r="H160" s="6"/>
      <c r="I160" s="6"/>
      <c r="J160" s="6"/>
      <c r="K160" s="6"/>
      <c r="L160" s="6"/>
      <c r="M160" s="6"/>
      <c r="N160" s="6"/>
    </row>
    <row r="161" spans="1:14">
      <c r="B161" s="6"/>
      <c r="C161" s="6"/>
      <c r="D161" s="6"/>
      <c r="E161" s="6"/>
      <c r="F161" s="6"/>
      <c r="G161" s="6"/>
      <c r="H161" s="6"/>
      <c r="I161" s="6"/>
      <c r="J161" s="6"/>
      <c r="K161" s="6"/>
      <c r="L161" s="6"/>
      <c r="M161" s="6"/>
      <c r="N161" s="6"/>
    </row>
    <row r="162" spans="1:14">
      <c r="A162" s="1" t="s">
        <v>315</v>
      </c>
      <c r="B162" s="104"/>
      <c r="C162" s="105">
        <f>(1+F7)*(1+F8)-1</f>
        <v>3.9500000000000091E-2</v>
      </c>
      <c r="D162" s="104"/>
      <c r="F162" s="6"/>
      <c r="G162" s="6"/>
      <c r="H162" s="6"/>
      <c r="I162" s="6"/>
      <c r="J162" s="6"/>
      <c r="K162" s="6"/>
      <c r="L162" s="6"/>
      <c r="M162" s="6"/>
      <c r="N162" s="6"/>
    </row>
    <row r="163" spans="1:14">
      <c r="B163" s="67" t="s">
        <v>317</v>
      </c>
      <c r="C163" s="67" t="s">
        <v>327</v>
      </c>
      <c r="D163" s="67" t="s">
        <v>327</v>
      </c>
      <c r="E163" s="67" t="s">
        <v>73</v>
      </c>
      <c r="F163" s="67" t="s">
        <v>302</v>
      </c>
      <c r="G163" s="67" t="s">
        <v>302</v>
      </c>
      <c r="H163" s="67" t="s">
        <v>303</v>
      </c>
      <c r="I163" s="6"/>
      <c r="J163" s="6"/>
      <c r="K163" s="6"/>
      <c r="L163" s="6"/>
      <c r="M163" s="6"/>
      <c r="N163" s="6"/>
    </row>
    <row r="164" spans="1:14">
      <c r="A164" s="53" t="s">
        <v>290</v>
      </c>
      <c r="B164" s="68" t="s">
        <v>318</v>
      </c>
      <c r="C164" s="68" t="s">
        <v>328</v>
      </c>
      <c r="D164" s="68" t="s">
        <v>316</v>
      </c>
      <c r="E164" s="68" t="s">
        <v>244</v>
      </c>
      <c r="F164" s="68" t="s">
        <v>304</v>
      </c>
      <c r="G164" s="68" t="s">
        <v>305</v>
      </c>
      <c r="H164" s="68" t="s">
        <v>306</v>
      </c>
      <c r="I164" s="68" t="s">
        <v>307</v>
      </c>
      <c r="J164" s="68" t="s">
        <v>308</v>
      </c>
      <c r="K164" s="6"/>
      <c r="L164" s="6"/>
      <c r="M164" s="6"/>
      <c r="N164" s="6"/>
    </row>
    <row r="165" spans="1:14">
      <c r="A165" s="55">
        <f>B94</f>
        <v>2019</v>
      </c>
      <c r="B165" s="81">
        <f>E94</f>
        <v>13510549</v>
      </c>
      <c r="C165" s="106">
        <f>C160</f>
        <v>1.0712000000000002</v>
      </c>
      <c r="D165" s="81">
        <f>B165*C165</f>
        <v>14472500.088800002</v>
      </c>
      <c r="E165" s="81">
        <f>F94</f>
        <v>8709600</v>
      </c>
      <c r="F165" s="100">
        <f>D40/12</f>
        <v>5.916666666666667</v>
      </c>
      <c r="G165" s="106">
        <f>(1+$C$162)^F165</f>
        <v>1.2576069271017829</v>
      </c>
      <c r="H165" s="81">
        <f>G165*E165</f>
        <v>10953253.292285688</v>
      </c>
      <c r="I165" s="107">
        <f>H165/D165</f>
        <v>0.75683214545372202</v>
      </c>
      <c r="J165" s="74">
        <v>0</v>
      </c>
      <c r="K165" s="6"/>
      <c r="L165" s="6"/>
      <c r="M165" s="6"/>
      <c r="N165" s="6"/>
    </row>
    <row r="166" spans="1:14">
      <c r="A166" s="55">
        <f>B95</f>
        <v>2020</v>
      </c>
      <c r="B166" s="81">
        <f>E95</f>
        <v>13268660</v>
      </c>
      <c r="C166" s="106">
        <f>D160</f>
        <v>1.0632258064516129</v>
      </c>
      <c r="D166" s="81">
        <f t="shared" ref="D166:D169" si="17">B166*C166</f>
        <v>14107581.729032258</v>
      </c>
      <c r="E166" s="81">
        <f>F95</f>
        <v>8673608</v>
      </c>
      <c r="F166" s="100">
        <f>D41/12</f>
        <v>4.916666666666667</v>
      </c>
      <c r="G166" s="106">
        <f>(1+$C$162)^F166</f>
        <v>1.2098190736909888</v>
      </c>
      <c r="H166" s="81">
        <f t="shared" ref="H166:H169" si="18">G166*E166</f>
        <v>10493496.396118751</v>
      </c>
      <c r="I166" s="107">
        <f t="shared" ref="I166:I169" si="19">H166/D166</f>
        <v>0.7438196423504666</v>
      </c>
      <c r="J166" s="74">
        <f>E128</f>
        <v>0.24378429355281209</v>
      </c>
      <c r="K166" s="6"/>
      <c r="L166" s="6"/>
      <c r="M166" s="6"/>
      <c r="N166" s="6"/>
    </row>
    <row r="167" spans="1:14">
      <c r="A167" s="55">
        <f>B96</f>
        <v>2021</v>
      </c>
      <c r="B167" s="81">
        <f>E96</f>
        <v>11739370</v>
      </c>
      <c r="C167" s="106">
        <f>E160</f>
        <v>1.04</v>
      </c>
      <c r="D167" s="81">
        <f t="shared" si="17"/>
        <v>12208944.800000001</v>
      </c>
      <c r="E167" s="81">
        <f>F96</f>
        <v>7919295</v>
      </c>
      <c r="F167" s="100">
        <f>D42/12</f>
        <v>3.9166666666666665</v>
      </c>
      <c r="G167" s="106">
        <f>(1+$C$162)^F167</f>
        <v>1.1638471127378438</v>
      </c>
      <c r="H167" s="81">
        <f t="shared" si="18"/>
        <v>9216848.620669242</v>
      </c>
      <c r="I167" s="107">
        <f t="shared" si="19"/>
        <v>0.75492589831917678</v>
      </c>
      <c r="J167" s="74">
        <f t="shared" ref="J167:J169" si="20">E129</f>
        <v>0.24378429355281209</v>
      </c>
      <c r="K167" s="6"/>
      <c r="L167" s="6"/>
      <c r="M167" s="6"/>
      <c r="N167" s="6"/>
    </row>
    <row r="168" spans="1:14">
      <c r="A168" s="55">
        <f>B97</f>
        <v>2022</v>
      </c>
      <c r="B168" s="81">
        <f>E97</f>
        <v>12638750</v>
      </c>
      <c r="C168" s="106">
        <f>F160</f>
        <v>1.02970297029703</v>
      </c>
      <c r="D168" s="81">
        <f t="shared" si="17"/>
        <v>13014158.415841587</v>
      </c>
      <c r="E168" s="81">
        <f>F97</f>
        <v>8605528</v>
      </c>
      <c r="F168" s="100">
        <f>D43/12</f>
        <v>2.9166666666666665</v>
      </c>
      <c r="G168" s="106">
        <f>(1+$C$162)^F168</f>
        <v>1.1196220420758478</v>
      </c>
      <c r="H168" s="81">
        <f t="shared" si="18"/>
        <v>9634938.8325008862</v>
      </c>
      <c r="I168" s="107">
        <f t="shared" si="19"/>
        <v>0.74034282699161558</v>
      </c>
      <c r="J168" s="74">
        <f t="shared" si="20"/>
        <v>0.25621570644718794</v>
      </c>
      <c r="K168" s="6"/>
      <c r="L168" s="6"/>
      <c r="M168" s="6"/>
      <c r="N168" s="6"/>
    </row>
    <row r="169" spans="1:14">
      <c r="A169" s="53">
        <f>B98</f>
        <v>2023</v>
      </c>
      <c r="B169" s="84">
        <f>E98</f>
        <v>13089711</v>
      </c>
      <c r="C169" s="108">
        <f>G160</f>
        <v>1</v>
      </c>
      <c r="D169" s="84">
        <f t="shared" si="17"/>
        <v>13089711</v>
      </c>
      <c r="E169" s="84">
        <f>F98</f>
        <v>9489317</v>
      </c>
      <c r="F169" s="102">
        <f>D44/12</f>
        <v>1.9166666666666667</v>
      </c>
      <c r="G169" s="108">
        <f>(1+$C$162)^F169</f>
        <v>1.077077481554447</v>
      </c>
      <c r="H169" s="84">
        <f t="shared" si="18"/>
        <v>10220729.6560318</v>
      </c>
      <c r="I169" s="109">
        <f t="shared" si="19"/>
        <v>0.78082164350548311</v>
      </c>
      <c r="J169" s="110">
        <f t="shared" si="20"/>
        <v>0.25621570644718794</v>
      </c>
      <c r="K169" s="6"/>
      <c r="L169" s="6"/>
      <c r="M169" s="6"/>
      <c r="N169" s="6"/>
    </row>
    <row r="170" spans="1:14">
      <c r="B170" s="6"/>
      <c r="C170" s="6"/>
      <c r="D170" s="6"/>
      <c r="E170" s="6"/>
      <c r="F170" s="106"/>
      <c r="G170" s="6"/>
      <c r="H170" s="81" t="s">
        <v>309</v>
      </c>
      <c r="I170" s="107">
        <f>SUMPRODUCT(I165:I169,J165:J169)</f>
        <v>0.75511685227835312</v>
      </c>
      <c r="J170" s="6"/>
      <c r="K170" s="6"/>
      <c r="L170" s="6"/>
      <c r="M170" s="6"/>
      <c r="N170" s="6"/>
    </row>
    <row r="171" spans="1:14">
      <c r="B171" s="6"/>
      <c r="C171" s="6"/>
      <c r="D171" s="6"/>
      <c r="E171" s="6"/>
      <c r="F171" s="6"/>
      <c r="G171" s="6"/>
      <c r="H171"/>
      <c r="I171" s="6"/>
      <c r="J171" s="6"/>
      <c r="K171" s="6"/>
      <c r="L171" s="6"/>
      <c r="M171" s="6"/>
      <c r="N171" s="6"/>
    </row>
    <row r="172" spans="1:14">
      <c r="A172" s="1" t="s">
        <v>310</v>
      </c>
      <c r="B172" s="6"/>
      <c r="C172" s="6"/>
      <c r="D172" s="6"/>
      <c r="E172" s="6"/>
      <c r="F172" s="6"/>
      <c r="G172" s="99">
        <f>I170+E74</f>
        <v>0.8245679788959327</v>
      </c>
      <c r="H172"/>
      <c r="I172" s="6"/>
      <c r="J172" s="6"/>
      <c r="K172" s="6"/>
      <c r="L172" s="6"/>
      <c r="M172" s="6"/>
      <c r="N172" s="6"/>
    </row>
    <row r="173" spans="1:14">
      <c r="A173" s="1" t="s">
        <v>311</v>
      </c>
      <c r="B173" s="6"/>
      <c r="C173" s="6"/>
      <c r="D173" s="6"/>
      <c r="E173" s="6"/>
      <c r="F173" s="6"/>
      <c r="G173" s="99">
        <f>E141</f>
        <v>0.05</v>
      </c>
      <c r="H173"/>
      <c r="I173" s="6"/>
      <c r="J173" s="6"/>
      <c r="K173" s="6"/>
      <c r="L173" s="6"/>
      <c r="M173" s="6"/>
      <c r="N173" s="6"/>
    </row>
    <row r="174" spans="1:14">
      <c r="A174" s="1" t="s">
        <v>324</v>
      </c>
      <c r="G174" s="99">
        <f>G172*(1+G173)</f>
        <v>0.86579637784072938</v>
      </c>
      <c r="H174"/>
    </row>
    <row r="175" spans="1:14">
      <c r="A175" s="1" t="s">
        <v>312</v>
      </c>
      <c r="G175" s="99">
        <f>G142</f>
        <v>0.03</v>
      </c>
      <c r="H175"/>
      <c r="I175" s="112"/>
    </row>
    <row r="176" spans="1:14">
      <c r="A176" s="1" t="s">
        <v>313</v>
      </c>
      <c r="G176" s="99">
        <f>G143</f>
        <v>0.12</v>
      </c>
      <c r="H176"/>
    </row>
    <row r="177" spans="1:10">
      <c r="A177" s="1" t="s">
        <v>314</v>
      </c>
      <c r="G177" s="99">
        <f>G144</f>
        <v>0.04</v>
      </c>
      <c r="H177"/>
    </row>
    <row r="178" spans="1:10">
      <c r="A178" s="1" t="s">
        <v>325</v>
      </c>
      <c r="G178" s="63">
        <f>(1-G176-G177)/(1+G175/G174)</f>
        <v>0.81186860694754837</v>
      </c>
      <c r="H178"/>
    </row>
    <row r="179" spans="1:10">
      <c r="A179" s="1" t="s">
        <v>326</v>
      </c>
      <c r="G179" s="63">
        <f>G174/G178-1</f>
        <v>6.6424259334201707E-2</v>
      </c>
      <c r="H179"/>
      <c r="J179" s="98"/>
    </row>
  </sheetData>
  <mergeCells count="28">
    <mergeCell ref="C23:D23"/>
    <mergeCell ref="C12:E12"/>
    <mergeCell ref="C13:D13"/>
    <mergeCell ref="C14:D14"/>
    <mergeCell ref="C15:D15"/>
    <mergeCell ref="C16:D16"/>
    <mergeCell ref="C17:D17"/>
    <mergeCell ref="C18:D18"/>
    <mergeCell ref="C19:D19"/>
    <mergeCell ref="C20:D20"/>
    <mergeCell ref="C21:D21"/>
    <mergeCell ref="C22:D22"/>
    <mergeCell ref="V150:W150"/>
    <mergeCell ref="AD150:AE150"/>
    <mergeCell ref="C154:G154"/>
    <mergeCell ref="B33:C33"/>
    <mergeCell ref="E33:F33"/>
    <mergeCell ref="G33:I33"/>
    <mergeCell ref="C126:E126"/>
    <mergeCell ref="N150:O150"/>
    <mergeCell ref="Y148:AB148"/>
    <mergeCell ref="AC148:AF148"/>
    <mergeCell ref="B48:L49"/>
    <mergeCell ref="B102:L103"/>
    <mergeCell ref="B118:L119"/>
    <mergeCell ref="M148:P148"/>
    <mergeCell ref="Q148:T148"/>
    <mergeCell ref="U148:X148"/>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E9929-4605-4E4B-B9FA-6ECC5FEAFE64}">
  <dimension ref="A1:L4"/>
  <sheetViews>
    <sheetView zoomScaleNormal="100" workbookViewId="0"/>
  </sheetViews>
  <sheetFormatPr defaultRowHeight="15.6"/>
  <cols>
    <col min="1" max="6" width="8.88671875" style="1" customWidth="1"/>
    <col min="7" max="7" width="8.88671875" style="1"/>
    <col min="8" max="8" width="8.88671875" style="1" customWidth="1"/>
    <col min="9" max="16384" width="8.88671875" style="1"/>
  </cols>
  <sheetData>
    <row r="1" spans="1:12" ht="17.399999999999999">
      <c r="A1" s="2" t="s">
        <v>107</v>
      </c>
      <c r="B1" s="4"/>
      <c r="C1" s="8" t="s">
        <v>108</v>
      </c>
      <c r="D1" s="4"/>
      <c r="E1" s="4"/>
      <c r="F1" s="4"/>
      <c r="G1" s="4"/>
      <c r="H1" s="4"/>
      <c r="I1" s="4"/>
      <c r="J1" s="4"/>
      <c r="K1" s="4"/>
      <c r="L1" s="3"/>
    </row>
    <row r="2" spans="1:12">
      <c r="A2" s="4"/>
      <c r="B2" s="4"/>
      <c r="C2" s="4"/>
      <c r="D2" s="4"/>
      <c r="E2" s="4"/>
      <c r="F2" s="4"/>
      <c r="G2" s="4"/>
      <c r="H2" s="4"/>
      <c r="I2" s="4"/>
      <c r="J2" s="4"/>
      <c r="K2" s="4"/>
      <c r="L2" s="3"/>
    </row>
    <row r="3" spans="1:12" ht="16.2">
      <c r="A3" s="10" t="s">
        <v>153</v>
      </c>
      <c r="B3" s="4"/>
      <c r="C3" s="4"/>
      <c r="D3" s="4"/>
      <c r="E3" s="4"/>
      <c r="F3" s="4"/>
      <c r="G3" s="4"/>
      <c r="H3" s="8"/>
      <c r="I3" s="8"/>
      <c r="J3" s="8"/>
      <c r="K3" s="8"/>
      <c r="L3" s="8"/>
    </row>
    <row r="4" spans="1:12">
      <c r="A4" s="4"/>
      <c r="B4" s="4"/>
      <c r="C4" s="4"/>
      <c r="D4" s="4"/>
      <c r="E4" s="4"/>
      <c r="F4" s="4"/>
      <c r="G4" s="4"/>
      <c r="H4" s="8"/>
      <c r="I4" s="8"/>
      <c r="J4" s="8"/>
      <c r="K4" s="8"/>
      <c r="L4" s="8"/>
    </row>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5AEBD-95DA-438A-BCDE-61DED77B3B93}">
  <dimension ref="A1:R68"/>
  <sheetViews>
    <sheetView zoomScale="120" zoomScaleNormal="120" workbookViewId="0"/>
  </sheetViews>
  <sheetFormatPr defaultRowHeight="15.6"/>
  <cols>
    <col min="1" max="1" width="8.88671875" style="1" customWidth="1"/>
    <col min="2" max="3" width="12.77734375" style="1" customWidth="1"/>
    <col min="4" max="4" width="15.5546875" style="1" customWidth="1"/>
    <col min="5" max="5" width="12.77734375" style="1" customWidth="1"/>
    <col min="6" max="6" width="14.5546875" style="1" customWidth="1"/>
    <col min="7" max="7" width="12.77734375" style="1" customWidth="1"/>
    <col min="8" max="8" width="12.88671875" style="1" customWidth="1"/>
    <col min="9" max="16384" width="8.88671875" style="1"/>
  </cols>
  <sheetData>
    <row r="1" spans="1:12" ht="17.399999999999999">
      <c r="A1" s="2" t="s">
        <v>110</v>
      </c>
      <c r="B1" s="4"/>
      <c r="C1" s="8" t="s">
        <v>10</v>
      </c>
      <c r="D1" s="4"/>
      <c r="E1" s="4"/>
      <c r="F1" s="4"/>
      <c r="G1" s="4"/>
      <c r="H1" s="4"/>
      <c r="I1" s="4"/>
      <c r="J1" s="4"/>
      <c r="K1" s="4"/>
      <c r="L1" s="3"/>
    </row>
    <row r="2" spans="1:12">
      <c r="A2" s="4"/>
      <c r="B2" s="4"/>
      <c r="C2" s="4"/>
      <c r="D2" s="4"/>
      <c r="E2" s="4"/>
      <c r="F2" s="4"/>
      <c r="G2" s="4"/>
      <c r="H2" s="4"/>
      <c r="I2" s="4"/>
      <c r="J2" s="4"/>
      <c r="K2" s="4"/>
      <c r="L2" s="3"/>
    </row>
    <row r="3" spans="1:12">
      <c r="A3" s="8" t="s">
        <v>111</v>
      </c>
      <c r="B3" s="8"/>
      <c r="C3" s="8"/>
      <c r="D3" s="8"/>
      <c r="E3" s="8"/>
      <c r="F3" s="8"/>
      <c r="G3" s="8"/>
      <c r="H3" s="8"/>
      <c r="I3" s="8"/>
      <c r="J3" s="8"/>
      <c r="K3" s="4"/>
      <c r="L3" s="3"/>
    </row>
    <row r="4" spans="1:12">
      <c r="A4" s="20"/>
      <c r="B4" s="8"/>
      <c r="C4" s="8"/>
      <c r="D4" s="8"/>
      <c r="E4" s="8"/>
      <c r="F4" s="8"/>
      <c r="G4" s="8"/>
      <c r="H4" s="8"/>
      <c r="I4" s="8"/>
      <c r="J4" s="8"/>
      <c r="K4" s="8"/>
      <c r="L4" s="8"/>
    </row>
    <row r="5" spans="1:12" ht="46.8">
      <c r="A5" s="20"/>
      <c r="B5" s="24" t="s">
        <v>112</v>
      </c>
      <c r="C5" s="24" t="s">
        <v>90</v>
      </c>
      <c r="D5" s="24" t="s">
        <v>113</v>
      </c>
      <c r="E5" s="24" t="s">
        <v>114</v>
      </c>
      <c r="F5" s="24" t="s">
        <v>115</v>
      </c>
      <c r="G5" s="8"/>
      <c r="H5" s="8"/>
      <c r="I5" s="8"/>
      <c r="J5" s="8"/>
      <c r="K5" s="8"/>
      <c r="L5" s="8"/>
    </row>
    <row r="6" spans="1:12">
      <c r="A6" s="20"/>
      <c r="B6" s="25">
        <v>2021</v>
      </c>
      <c r="C6" s="26">
        <v>10119409</v>
      </c>
      <c r="D6" s="37">
        <v>1.034</v>
      </c>
      <c r="E6" s="26">
        <v>5155384</v>
      </c>
      <c r="F6" s="26">
        <v>457851</v>
      </c>
      <c r="G6" s="8"/>
      <c r="H6" s="8"/>
      <c r="I6" s="8"/>
      <c r="J6" s="8"/>
      <c r="K6" s="8"/>
      <c r="L6" s="8"/>
    </row>
    <row r="7" spans="1:12">
      <c r="A7" s="20"/>
      <c r="B7" s="25">
        <v>2022</v>
      </c>
      <c r="C7" s="26">
        <v>10552425</v>
      </c>
      <c r="D7" s="37">
        <v>1.02</v>
      </c>
      <c r="E7" s="26">
        <v>3785833</v>
      </c>
      <c r="F7" s="26">
        <v>896859</v>
      </c>
      <c r="G7" s="8"/>
      <c r="H7" s="8"/>
      <c r="I7" s="8"/>
      <c r="J7" s="8"/>
      <c r="K7" s="8"/>
      <c r="L7" s="8"/>
    </row>
    <row r="8" spans="1:12">
      <c r="A8" s="20"/>
      <c r="B8" s="25">
        <v>2023</v>
      </c>
      <c r="C8" s="26">
        <v>10850455</v>
      </c>
      <c r="D8" s="37">
        <v>1</v>
      </c>
      <c r="E8" s="26">
        <v>2247631</v>
      </c>
      <c r="F8" s="26">
        <v>1306801</v>
      </c>
      <c r="G8" s="8"/>
      <c r="H8" s="8"/>
      <c r="I8" s="8"/>
      <c r="J8" s="8"/>
      <c r="K8" s="8"/>
      <c r="L8" s="8"/>
    </row>
    <row r="9" spans="1:12">
      <c r="A9" s="8"/>
      <c r="B9" s="8"/>
      <c r="C9" s="8"/>
      <c r="D9" s="8"/>
      <c r="E9" s="8"/>
      <c r="F9" s="8"/>
      <c r="G9" s="8"/>
      <c r="H9" s="8"/>
      <c r="I9" s="8"/>
      <c r="J9" s="8"/>
      <c r="K9" s="8"/>
      <c r="L9" s="8"/>
    </row>
    <row r="10" spans="1:12">
      <c r="A10" s="8"/>
      <c r="B10" s="114" t="s">
        <v>116</v>
      </c>
      <c r="C10" s="114"/>
      <c r="D10" s="114"/>
      <c r="E10" s="114"/>
      <c r="F10" s="114"/>
      <c r="G10" s="114"/>
      <c r="H10" s="8"/>
      <c r="I10" s="8"/>
      <c r="J10" s="8"/>
      <c r="K10" s="8"/>
      <c r="L10" s="8"/>
    </row>
    <row r="11" spans="1:12">
      <c r="A11" s="20"/>
      <c r="B11" s="41" t="s">
        <v>134</v>
      </c>
      <c r="C11" s="25" t="s">
        <v>117</v>
      </c>
      <c r="D11" s="25" t="s">
        <v>118</v>
      </c>
      <c r="E11" s="25" t="s">
        <v>119</v>
      </c>
      <c r="F11" s="25" t="s">
        <v>120</v>
      </c>
      <c r="G11" s="25" t="s">
        <v>121</v>
      </c>
      <c r="H11" s="8"/>
      <c r="I11" s="8"/>
      <c r="J11" s="8"/>
      <c r="K11" s="8"/>
      <c r="L11" s="8"/>
    </row>
    <row r="12" spans="1:12">
      <c r="A12" s="8"/>
      <c r="B12" s="37">
        <v>1.4450000000000001</v>
      </c>
      <c r="C12" s="37">
        <v>1.2709999999999999</v>
      </c>
      <c r="D12" s="37">
        <v>1.1539999999999999</v>
      </c>
      <c r="E12" s="37">
        <v>1.073</v>
      </c>
      <c r="F12" s="37">
        <v>1.014</v>
      </c>
      <c r="G12" s="37">
        <v>1</v>
      </c>
      <c r="H12" s="8"/>
      <c r="I12" s="8"/>
      <c r="J12" s="8"/>
      <c r="K12" s="8"/>
      <c r="L12" s="8"/>
    </row>
    <row r="13" spans="1:12">
      <c r="A13" s="8"/>
      <c r="B13" s="8"/>
      <c r="C13" s="8"/>
      <c r="D13" s="8"/>
      <c r="E13" s="8"/>
      <c r="F13" s="8"/>
      <c r="G13" s="8"/>
      <c r="H13" s="8"/>
      <c r="I13" s="8"/>
      <c r="J13" s="8"/>
      <c r="K13" s="8"/>
      <c r="L13" s="8"/>
    </row>
    <row r="14" spans="1:12">
      <c r="A14" s="8"/>
      <c r="B14" s="21" t="s">
        <v>122</v>
      </c>
      <c r="C14" s="8"/>
      <c r="D14" s="8"/>
      <c r="E14" s="8"/>
      <c r="F14" s="28">
        <v>0.76</v>
      </c>
      <c r="G14" s="8"/>
      <c r="H14" s="8"/>
      <c r="I14" s="8"/>
      <c r="J14" s="8"/>
      <c r="K14" s="8"/>
      <c r="L14" s="8"/>
    </row>
    <row r="15" spans="1:12">
      <c r="A15" s="8"/>
      <c r="B15" s="21" t="s">
        <v>123</v>
      </c>
      <c r="C15" s="8"/>
      <c r="D15" s="8"/>
      <c r="E15" s="8"/>
      <c r="F15" s="38">
        <v>6.0999999999999999E-2</v>
      </c>
      <c r="G15" s="8"/>
      <c r="H15" s="8"/>
      <c r="I15" s="8"/>
      <c r="J15" s="8"/>
      <c r="K15" s="8"/>
      <c r="L15" s="8"/>
    </row>
    <row r="16" spans="1:12">
      <c r="A16" s="8"/>
      <c r="B16" s="21" t="s">
        <v>101</v>
      </c>
      <c r="C16" s="8"/>
      <c r="D16" s="8"/>
      <c r="E16" s="8"/>
      <c r="F16" s="28">
        <v>0</v>
      </c>
      <c r="G16" s="8"/>
      <c r="H16" s="8"/>
      <c r="I16" s="8"/>
      <c r="J16" s="8"/>
      <c r="K16" s="8"/>
      <c r="L16" s="8"/>
    </row>
    <row r="17" spans="1:18">
      <c r="A17" s="6"/>
      <c r="B17" s="6"/>
      <c r="C17" s="6"/>
      <c r="D17" s="6"/>
      <c r="E17" s="6"/>
      <c r="F17" s="6"/>
      <c r="G17" s="6"/>
      <c r="H17" s="6"/>
      <c r="I17" s="6"/>
      <c r="J17" s="6"/>
      <c r="K17" s="6"/>
      <c r="L17" s="6"/>
    </row>
    <row r="18" spans="1:18">
      <c r="A18" s="5" t="s">
        <v>4</v>
      </c>
      <c r="B18" s="8" t="s">
        <v>130</v>
      </c>
      <c r="C18" s="8"/>
      <c r="D18" s="8"/>
      <c r="E18" s="8"/>
      <c r="F18" s="4"/>
      <c r="G18" s="4"/>
      <c r="H18" s="4"/>
      <c r="I18" s="4"/>
      <c r="J18" s="4"/>
      <c r="K18" s="4"/>
      <c r="L18" s="4"/>
      <c r="M18" s="7"/>
      <c r="N18" s="7"/>
      <c r="O18" s="7"/>
      <c r="P18" s="7"/>
      <c r="Q18" s="7"/>
      <c r="R18" s="7"/>
    </row>
    <row r="19" spans="1:18">
      <c r="A19" s="5"/>
      <c r="B19" s="8"/>
      <c r="C19" s="8"/>
      <c r="D19" s="8"/>
      <c r="E19" s="8"/>
      <c r="F19" s="4"/>
      <c r="G19" s="4"/>
      <c r="H19" s="4"/>
      <c r="I19" s="4"/>
      <c r="J19" s="4"/>
      <c r="K19" s="4"/>
      <c r="L19" s="4"/>
      <c r="M19" s="7"/>
      <c r="N19" s="7"/>
      <c r="O19" s="7"/>
      <c r="P19" s="7"/>
      <c r="Q19" s="7"/>
      <c r="R19" s="7"/>
    </row>
    <row r="20" spans="1:18">
      <c r="A20" s="5"/>
      <c r="B20" s="39" t="s">
        <v>127</v>
      </c>
      <c r="C20" s="27" t="s">
        <v>124</v>
      </c>
      <c r="D20" s="8"/>
      <c r="E20" s="8"/>
      <c r="F20" s="4"/>
      <c r="G20" s="4"/>
      <c r="H20" s="4"/>
      <c r="I20" s="4"/>
      <c r="J20" s="4"/>
      <c r="K20" s="4"/>
      <c r="L20" s="4"/>
      <c r="M20" s="7"/>
      <c r="N20" s="7"/>
      <c r="O20" s="7"/>
      <c r="P20" s="7"/>
      <c r="Q20" s="7"/>
      <c r="R20" s="7"/>
    </row>
    <row r="21" spans="1:18">
      <c r="A21" s="5"/>
      <c r="B21" s="39"/>
      <c r="C21" s="40"/>
      <c r="D21" s="8"/>
      <c r="E21" s="8"/>
      <c r="F21" s="4"/>
      <c r="G21" s="4"/>
      <c r="H21" s="4"/>
      <c r="I21" s="4"/>
      <c r="J21" s="4"/>
      <c r="K21" s="4"/>
      <c r="L21" s="4"/>
      <c r="M21" s="7"/>
      <c r="N21" s="7"/>
      <c r="O21" s="7"/>
      <c r="P21" s="7"/>
      <c r="Q21" s="7"/>
      <c r="R21" s="7"/>
    </row>
    <row r="22" spans="1:18">
      <c r="A22" s="5"/>
      <c r="B22" s="39" t="s">
        <v>128</v>
      </c>
      <c r="C22" s="27" t="s">
        <v>125</v>
      </c>
      <c r="D22" s="8"/>
      <c r="E22" s="8"/>
      <c r="F22" s="4"/>
      <c r="G22" s="4"/>
      <c r="H22" s="4"/>
      <c r="I22" s="4"/>
      <c r="J22" s="4"/>
      <c r="K22" s="4"/>
      <c r="L22" s="4"/>
      <c r="M22" s="7"/>
      <c r="N22" s="7"/>
      <c r="O22" s="7"/>
      <c r="P22" s="7"/>
      <c r="Q22" s="7"/>
      <c r="R22" s="7"/>
    </row>
    <row r="23" spans="1:18">
      <c r="A23" s="5"/>
      <c r="B23" s="39"/>
      <c r="C23" s="40"/>
      <c r="D23" s="8"/>
      <c r="E23" s="8"/>
      <c r="F23" s="4"/>
      <c r="G23" s="4"/>
      <c r="H23" s="4"/>
      <c r="I23" s="4"/>
      <c r="J23" s="4"/>
      <c r="K23" s="4"/>
      <c r="L23" s="4"/>
      <c r="M23" s="7"/>
      <c r="N23" s="7"/>
      <c r="O23" s="7"/>
      <c r="P23" s="7"/>
      <c r="Q23" s="7"/>
      <c r="R23" s="7"/>
    </row>
    <row r="24" spans="1:18">
      <c r="A24" s="5"/>
      <c r="B24" s="39" t="s">
        <v>129</v>
      </c>
      <c r="C24" s="27" t="s">
        <v>126</v>
      </c>
      <c r="D24" s="8"/>
      <c r="E24" s="8"/>
      <c r="F24" s="4"/>
      <c r="G24" s="4"/>
      <c r="H24" s="4"/>
      <c r="I24" s="4"/>
      <c r="J24" s="4"/>
      <c r="K24" s="4"/>
      <c r="L24" s="4"/>
      <c r="M24" s="7"/>
      <c r="N24" s="7"/>
      <c r="O24" s="7"/>
      <c r="P24" s="7"/>
      <c r="Q24" s="7"/>
      <c r="R24" s="7"/>
    </row>
    <row r="25" spans="1:18">
      <c r="A25" s="6"/>
      <c r="B25" s="6"/>
      <c r="C25" s="6"/>
      <c r="D25" s="6"/>
      <c r="E25" s="6"/>
      <c r="F25" s="6"/>
      <c r="G25" s="6"/>
      <c r="H25" s="6"/>
      <c r="I25" s="6"/>
      <c r="J25" s="6"/>
      <c r="K25" s="6"/>
      <c r="L25" s="6"/>
      <c r="M25" s="6"/>
    </row>
    <row r="26" spans="1:18">
      <c r="A26" s="6" t="s">
        <v>1</v>
      </c>
      <c r="B26" s="6"/>
      <c r="C26" s="6"/>
      <c r="D26" s="6"/>
      <c r="E26" s="6"/>
      <c r="F26" s="6"/>
      <c r="G26" s="6"/>
      <c r="H26" s="6"/>
      <c r="I26" s="6"/>
      <c r="J26" s="6"/>
      <c r="K26" s="6"/>
      <c r="L26" s="6"/>
      <c r="M26" s="6"/>
      <c r="N26" s="7"/>
    </row>
    <row r="27" spans="1:18">
      <c r="A27" s="143" t="s">
        <v>340</v>
      </c>
      <c r="B27" s="6"/>
      <c r="C27" s="6"/>
      <c r="D27" s="6"/>
      <c r="E27" s="6"/>
      <c r="F27" s="6"/>
      <c r="G27" s="6"/>
      <c r="H27" s="6"/>
      <c r="I27" s="6"/>
      <c r="J27" s="6"/>
      <c r="K27" s="6"/>
      <c r="L27" s="6"/>
      <c r="M27" s="6"/>
      <c r="N27" s="7"/>
    </row>
    <row r="28" spans="1:18" ht="46.8">
      <c r="A28" s="132" t="s">
        <v>290</v>
      </c>
      <c r="B28" s="132" t="s">
        <v>38</v>
      </c>
      <c r="C28" s="132" t="s">
        <v>329</v>
      </c>
      <c r="D28" s="132" t="s">
        <v>330</v>
      </c>
      <c r="E28" s="132" t="s">
        <v>331</v>
      </c>
      <c r="F28" s="133"/>
      <c r="G28"/>
      <c r="H28"/>
      <c r="I28" s="6"/>
      <c r="J28" s="6"/>
      <c r="K28" s="6"/>
      <c r="L28" s="6"/>
      <c r="M28" s="6"/>
      <c r="N28" s="7"/>
    </row>
    <row r="29" spans="1:18">
      <c r="A29" s="134">
        <f>$B$6</f>
        <v>2021</v>
      </c>
      <c r="B29" s="135">
        <f>E6+F6</f>
        <v>5613235</v>
      </c>
      <c r="C29" s="136">
        <f>PRODUCT(D12:G12)</f>
        <v>1.2555773879999998</v>
      </c>
      <c r="D29" s="135">
        <f>B29*C29</f>
        <v>7047850.9395301789</v>
      </c>
      <c r="E29" s="135">
        <f>D29-B29</f>
        <v>1434615.9395301789</v>
      </c>
      <c r="F29" s="133"/>
      <c r="G29"/>
      <c r="H29"/>
      <c r="I29" s="6"/>
      <c r="J29" s="6"/>
      <c r="K29" s="6"/>
      <c r="L29" s="6"/>
      <c r="M29" s="6"/>
      <c r="N29" s="7"/>
    </row>
    <row r="30" spans="1:18">
      <c r="A30" s="134">
        <f>$B$7</f>
        <v>2022</v>
      </c>
      <c r="B30" s="135">
        <f>E7+F7</f>
        <v>4682692</v>
      </c>
      <c r="C30" s="136">
        <f>PRODUCT(C12:G12)</f>
        <v>1.5958388601479996</v>
      </c>
      <c r="D30" s="135">
        <f t="shared" ref="D30:D31" si="0">B30*C30</f>
        <v>7472821.8637041561</v>
      </c>
      <c r="E30" s="135">
        <f t="shared" ref="E30:E31" si="1">D30-B30</f>
        <v>2790129.8637041561</v>
      </c>
      <c r="F30" s="133"/>
      <c r="G30"/>
      <c r="H30"/>
      <c r="I30" s="6"/>
      <c r="J30" s="6"/>
      <c r="K30" s="6"/>
      <c r="L30" s="6"/>
      <c r="M30" s="6"/>
      <c r="N30" s="7"/>
    </row>
    <row r="31" spans="1:18">
      <c r="A31" s="134">
        <f>$B$8</f>
        <v>2023</v>
      </c>
      <c r="B31" s="135">
        <f>E8+F8</f>
        <v>3554432</v>
      </c>
      <c r="C31" s="136">
        <f>PRODUCT(B12:G12)</f>
        <v>2.3059871529138598</v>
      </c>
      <c r="D31" s="135">
        <f t="shared" si="0"/>
        <v>8196474.5279059168</v>
      </c>
      <c r="E31" s="135">
        <f t="shared" si="1"/>
        <v>4642042.5279059168</v>
      </c>
      <c r="F31" s="133"/>
      <c r="G31"/>
      <c r="H31"/>
      <c r="I31" s="6"/>
      <c r="J31" s="6"/>
      <c r="K31" s="6"/>
      <c r="L31" s="6"/>
      <c r="M31" s="6"/>
      <c r="N31" s="7"/>
    </row>
    <row r="32" spans="1:18">
      <c r="A32" s="133"/>
      <c r="B32" s="133"/>
      <c r="C32" s="133"/>
      <c r="D32" s="133"/>
      <c r="E32" s="133"/>
      <c r="F32" s="133"/>
      <c r="G32" s="133"/>
      <c r="H32" s="133"/>
      <c r="I32" s="6"/>
      <c r="J32" s="6"/>
      <c r="K32" s="6"/>
      <c r="L32" s="6"/>
      <c r="M32" s="6"/>
      <c r="N32" s="7"/>
    </row>
    <row r="33" spans="1:14">
      <c r="A33" s="143" t="s">
        <v>343</v>
      </c>
      <c r="B33" s="133"/>
      <c r="C33" s="133"/>
      <c r="D33" s="133"/>
      <c r="E33" s="133"/>
      <c r="F33" s="133"/>
      <c r="G33" s="133"/>
      <c r="H33" s="133"/>
      <c r="I33" s="6"/>
      <c r="J33" s="6"/>
      <c r="K33" s="6"/>
      <c r="L33" s="6"/>
      <c r="M33" s="6"/>
      <c r="N33" s="7"/>
    </row>
    <row r="34" spans="1:14" ht="46.8">
      <c r="A34" s="132" t="s">
        <v>290</v>
      </c>
      <c r="B34" s="137" t="s">
        <v>90</v>
      </c>
      <c r="C34" s="137" t="s">
        <v>341</v>
      </c>
      <c r="D34" s="137" t="s">
        <v>113</v>
      </c>
      <c r="E34" s="137" t="s">
        <v>332</v>
      </c>
      <c r="F34" s="137" t="s">
        <v>333</v>
      </c>
      <c r="G34" s="137" t="s">
        <v>334</v>
      </c>
      <c r="H34" s="137" t="s">
        <v>335</v>
      </c>
      <c r="I34" s="6"/>
      <c r="J34" s="6"/>
      <c r="K34" s="6"/>
      <c r="L34" s="6"/>
      <c r="M34" s="6"/>
      <c r="N34" s="7"/>
    </row>
    <row r="35" spans="1:14">
      <c r="A35" s="134">
        <f>$B$6</f>
        <v>2021</v>
      </c>
      <c r="B35" s="135">
        <f>C6</f>
        <v>10119409</v>
      </c>
      <c r="C35" s="136">
        <f>C36*(1+$F$15)</f>
        <v>1.125721</v>
      </c>
      <c r="D35" s="138">
        <f>D6</f>
        <v>1.034</v>
      </c>
      <c r="E35" s="139">
        <f>$F$14*D35/C35</f>
        <v>0.69807705461655245</v>
      </c>
      <c r="F35" s="135">
        <f>E35*B35</f>
        <v>7064127.2291802326</v>
      </c>
      <c r="G35" s="135">
        <f>B29+F35*(1-1/C29)</f>
        <v>7051164.0380574772</v>
      </c>
      <c r="H35" s="135">
        <f>G35-B29</f>
        <v>1437929.0380574772</v>
      </c>
      <c r="I35" s="6"/>
      <c r="J35" s="6"/>
      <c r="K35" s="6"/>
      <c r="L35" s="6"/>
      <c r="M35" s="6"/>
      <c r="N35" s="7"/>
    </row>
    <row r="36" spans="1:14">
      <c r="A36" s="134">
        <f>$B$7</f>
        <v>2022</v>
      </c>
      <c r="B36" s="135">
        <f>C7</f>
        <v>10552425</v>
      </c>
      <c r="C36" s="136">
        <f>C37*(1+$F$15)</f>
        <v>1.0609999999999999</v>
      </c>
      <c r="D36" s="138">
        <f>D7</f>
        <v>1.02</v>
      </c>
      <c r="E36" s="139">
        <f>$F$14*D36/C36</f>
        <v>0.7306314797360981</v>
      </c>
      <c r="F36" s="135">
        <f t="shared" ref="F36:F37" si="2">E36*B36</f>
        <v>7709933.8925541947</v>
      </c>
      <c r="G36" s="135">
        <f>B30+F36*(1-1/C30)</f>
        <v>7561352.4569397941</v>
      </c>
      <c r="H36" s="135">
        <f>G36-B30</f>
        <v>2878660.4569397941</v>
      </c>
      <c r="I36" s="6"/>
      <c r="J36" s="6"/>
      <c r="K36" s="6"/>
      <c r="L36" s="6"/>
      <c r="M36" s="6"/>
      <c r="N36" s="7"/>
    </row>
    <row r="37" spans="1:14">
      <c r="A37" s="134">
        <f>$B$8</f>
        <v>2023</v>
      </c>
      <c r="B37" s="135">
        <f>C8</f>
        <v>10850455</v>
      </c>
      <c r="C37" s="136">
        <v>1</v>
      </c>
      <c r="D37" s="138">
        <f>D8</f>
        <v>1</v>
      </c>
      <c r="E37" s="139">
        <f>$F$14*D37/C37</f>
        <v>0.76</v>
      </c>
      <c r="F37" s="135">
        <f t="shared" si="2"/>
        <v>8246345.7999999998</v>
      </c>
      <c r="G37" s="135">
        <f>B31+F37*(1-1/C31)</f>
        <v>8224718.9353268528</v>
      </c>
      <c r="H37" s="135">
        <f>G37-B31</f>
        <v>4670286.9353268528</v>
      </c>
      <c r="I37" s="6"/>
      <c r="J37" s="6"/>
      <c r="K37" s="6"/>
      <c r="L37" s="6"/>
      <c r="M37" s="6"/>
      <c r="N37" s="7"/>
    </row>
    <row r="38" spans="1:14">
      <c r="A38" s="133"/>
      <c r="B38" s="134"/>
      <c r="C38" s="133"/>
      <c r="D38" s="133"/>
      <c r="E38" s="133"/>
      <c r="F38" s="133"/>
      <c r="G38" s="133"/>
      <c r="H38" s="133"/>
      <c r="I38" s="6"/>
      <c r="J38" s="6"/>
      <c r="K38" s="6"/>
      <c r="L38" s="6"/>
      <c r="M38" s="6"/>
      <c r="N38" s="7"/>
    </row>
    <row r="39" spans="1:14">
      <c r="A39" s="144" t="s">
        <v>342</v>
      </c>
      <c r="B39" s="133"/>
      <c r="C39" s="133"/>
      <c r="D39" s="133"/>
      <c r="E39" s="133"/>
      <c r="F39" s="140"/>
      <c r="G39"/>
      <c r="H39"/>
      <c r="I39" s="6"/>
      <c r="J39" s="6"/>
      <c r="K39" s="6"/>
      <c r="L39" s="6"/>
      <c r="M39" s="6"/>
      <c r="N39" s="7"/>
    </row>
    <row r="40" spans="1:14">
      <c r="A40" s="133"/>
      <c r="B40" s="141" t="s">
        <v>336</v>
      </c>
      <c r="C40" s="141"/>
      <c r="D40" s="141" t="s">
        <v>337</v>
      </c>
      <c r="E40" s="141"/>
      <c r="F40" s="133"/>
      <c r="G40"/>
      <c r="H40"/>
      <c r="I40" s="6"/>
      <c r="J40" s="6"/>
      <c r="K40" s="6"/>
      <c r="L40" s="6"/>
      <c r="M40" s="6"/>
      <c r="N40" s="7"/>
    </row>
    <row r="41" spans="1:14">
      <c r="A41" s="132" t="s">
        <v>290</v>
      </c>
      <c r="B41" s="142" t="s">
        <v>338</v>
      </c>
      <c r="C41" s="142" t="s">
        <v>339</v>
      </c>
      <c r="D41" s="142" t="s">
        <v>338</v>
      </c>
      <c r="E41" s="142" t="s">
        <v>339</v>
      </c>
      <c r="F41" s="133"/>
      <c r="G41"/>
      <c r="H41"/>
      <c r="I41" s="6"/>
      <c r="J41" s="6"/>
      <c r="K41" s="6"/>
      <c r="L41" s="6"/>
      <c r="M41" s="6"/>
      <c r="N41" s="7"/>
    </row>
    <row r="42" spans="1:14">
      <c r="A42" s="134">
        <f>$B$6</f>
        <v>2021</v>
      </c>
      <c r="B42" s="135">
        <f>B29+G35*(1-1/$C29)</f>
        <v>7048525.3329016156</v>
      </c>
      <c r="C42" s="135">
        <f>B29+B42*(1-1/$C29)</f>
        <v>7047988.21477741</v>
      </c>
      <c r="D42" s="135">
        <f>B42-$B29</f>
        <v>1435290.3329016156</v>
      </c>
      <c r="E42" s="135">
        <f>C42-$B29</f>
        <v>1434753.21477741</v>
      </c>
      <c r="F42" s="133"/>
      <c r="G42"/>
      <c r="H42"/>
      <c r="I42" s="6"/>
      <c r="J42" s="6"/>
      <c r="K42" s="6"/>
      <c r="L42" s="6"/>
      <c r="M42" s="6"/>
      <c r="N42" s="7"/>
    </row>
    <row r="43" spans="1:14">
      <c r="A43" s="134">
        <f>$B$7</f>
        <v>2022</v>
      </c>
      <c r="B43" s="135">
        <f>B30+G36*(1-1/$C30)</f>
        <v>7505876.559312243</v>
      </c>
      <c r="C43" s="135">
        <f>B30+B43*(1-1/$C30)</f>
        <v>7485163.5058620833</v>
      </c>
      <c r="D43" s="135">
        <f>B43-$B30</f>
        <v>2823184.559312243</v>
      </c>
      <c r="E43" s="135">
        <f>C43-$B30</f>
        <v>2802471.5058620833</v>
      </c>
      <c r="F43" s="133"/>
      <c r="G43"/>
      <c r="H43"/>
      <c r="I43" s="6"/>
      <c r="J43" s="6"/>
      <c r="K43" s="6"/>
      <c r="L43" s="6"/>
      <c r="M43" s="6"/>
      <c r="N43" s="7"/>
    </row>
    <row r="44" spans="1:14">
      <c r="A44" s="134">
        <f>$B$8</f>
        <v>2023</v>
      </c>
      <c r="B44" s="135">
        <f>B31+G37*(1-1/$C31)</f>
        <v>8212470.6418421092</v>
      </c>
      <c r="C44" s="135">
        <f>B31+B44*(1-1/$C31)</f>
        <v>8205533.8668839401</v>
      </c>
      <c r="D44" s="135">
        <f>B44-$B31</f>
        <v>4658038.6418421092</v>
      </c>
      <c r="E44" s="135">
        <f>C44-$B31</f>
        <v>4651101.8668839401</v>
      </c>
      <c r="F44" s="133"/>
      <c r="G44"/>
      <c r="H44"/>
      <c r="I44" s="6"/>
      <c r="J44" s="6"/>
      <c r="K44" s="6"/>
      <c r="L44" s="6"/>
      <c r="M44" s="6"/>
      <c r="N44" s="7"/>
    </row>
    <row r="46" spans="1:14">
      <c r="A46" s="5" t="s">
        <v>5</v>
      </c>
      <c r="B46" s="8" t="s">
        <v>131</v>
      </c>
      <c r="C46" s="4"/>
      <c r="D46" s="4"/>
      <c r="E46" s="4"/>
      <c r="F46" s="4"/>
      <c r="G46" s="4"/>
      <c r="H46" s="4"/>
      <c r="I46" s="4"/>
      <c r="J46" s="4"/>
      <c r="K46" s="4"/>
      <c r="L46" s="4"/>
    </row>
    <row r="47" spans="1:14">
      <c r="A47" s="6"/>
      <c r="B47" s="6"/>
      <c r="C47" s="6"/>
      <c r="D47" s="6"/>
      <c r="E47" s="6"/>
      <c r="F47" s="6"/>
      <c r="G47" s="6"/>
      <c r="H47" s="6"/>
      <c r="I47" s="6"/>
      <c r="J47" s="6"/>
      <c r="K47" s="6"/>
      <c r="L47" s="6"/>
    </row>
    <row r="48" spans="1:14">
      <c r="A48" s="6" t="s">
        <v>1</v>
      </c>
      <c r="B48" s="6"/>
      <c r="C48" s="6"/>
      <c r="D48" s="6"/>
      <c r="E48" s="6"/>
      <c r="F48" s="6"/>
      <c r="G48" s="6"/>
      <c r="H48" s="6"/>
      <c r="I48" s="6"/>
      <c r="J48" s="6"/>
      <c r="K48" s="6"/>
      <c r="L48" s="6"/>
    </row>
    <row r="49" spans="1:13">
      <c r="M49" s="6"/>
    </row>
    <row r="50" spans="1:13">
      <c r="A50" s="1" t="s">
        <v>344</v>
      </c>
      <c r="M50" s="6"/>
    </row>
    <row r="51" spans="1:13">
      <c r="A51" s="1" t="s">
        <v>345</v>
      </c>
      <c r="D51" s="145">
        <f>D31/$C$8</f>
        <v>0.7554037621377091</v>
      </c>
      <c r="E51" s="57"/>
      <c r="M51" s="6"/>
    </row>
    <row r="52" spans="1:13">
      <c r="A52" s="1" t="s">
        <v>346</v>
      </c>
      <c r="D52" s="145">
        <f>G37/$C$8</f>
        <v>0.75800682416791298</v>
      </c>
      <c r="E52" s="57"/>
      <c r="M52" s="6"/>
    </row>
    <row r="53" spans="1:13">
      <c r="A53" s="1" t="s">
        <v>347</v>
      </c>
      <c r="D53" s="145">
        <f>C44/$C$8</f>
        <v>0.75623868924242721</v>
      </c>
      <c r="E53" s="57"/>
      <c r="M53" s="6"/>
    </row>
    <row r="55" spans="1:13">
      <c r="A55" s="1" t="s">
        <v>348</v>
      </c>
      <c r="D55" s="94">
        <f>F14</f>
        <v>0.76</v>
      </c>
    </row>
    <row r="57" spans="1:13">
      <c r="A57" s="1" t="s">
        <v>349</v>
      </c>
    </row>
    <row r="59" spans="1:13">
      <c r="A59" s="8" t="s">
        <v>132</v>
      </c>
      <c r="B59" s="3"/>
      <c r="C59" s="3"/>
      <c r="D59" s="3"/>
      <c r="E59" s="3"/>
      <c r="F59" s="3"/>
      <c r="G59" s="4"/>
      <c r="H59" s="4"/>
      <c r="I59" s="4"/>
      <c r="J59" s="4"/>
      <c r="K59" s="4"/>
      <c r="L59" s="4"/>
    </row>
    <row r="61" spans="1:13">
      <c r="A61" s="5" t="s">
        <v>0</v>
      </c>
      <c r="B61" s="8" t="s">
        <v>133</v>
      </c>
      <c r="C61" s="4"/>
      <c r="D61" s="4"/>
      <c r="E61" s="4"/>
      <c r="F61" s="4"/>
      <c r="G61" s="4"/>
      <c r="H61" s="4"/>
      <c r="I61" s="4"/>
      <c r="J61" s="4"/>
      <c r="K61" s="4"/>
      <c r="L61" s="4"/>
    </row>
    <row r="62" spans="1:13">
      <c r="A62" s="6"/>
      <c r="B62" s="6"/>
      <c r="C62" s="6"/>
      <c r="D62" s="6"/>
      <c r="E62" s="6"/>
      <c r="F62" s="6"/>
      <c r="G62" s="6"/>
      <c r="H62" s="6"/>
      <c r="I62" s="6"/>
      <c r="J62" s="6"/>
      <c r="K62" s="6"/>
      <c r="L62" s="6"/>
    </row>
    <row r="63" spans="1:13">
      <c r="A63" s="6" t="s">
        <v>1</v>
      </c>
      <c r="B63" s="6"/>
      <c r="C63" s="6"/>
      <c r="D63" s="6"/>
      <c r="E63" s="6"/>
      <c r="F63" s="6"/>
      <c r="G63" s="6"/>
      <c r="H63" s="6"/>
      <c r="I63" s="6"/>
      <c r="J63" s="6"/>
      <c r="K63" s="6"/>
      <c r="L63" s="6"/>
    </row>
    <row r="64" spans="1:13">
      <c r="A64" s="6"/>
      <c r="B64" s="6"/>
      <c r="C64" s="6"/>
      <c r="D64" s="6"/>
      <c r="E64" s="6"/>
      <c r="F64" s="6"/>
      <c r="G64" s="6"/>
      <c r="H64" s="6"/>
      <c r="I64" s="6"/>
      <c r="J64" s="6"/>
      <c r="K64" s="6"/>
      <c r="L64" s="6"/>
    </row>
    <row r="65" spans="1:14">
      <c r="A65" s="146" t="s">
        <v>350</v>
      </c>
      <c r="B65" s="6"/>
      <c r="C65" s="6"/>
      <c r="D65" s="6"/>
      <c r="E65" s="6"/>
      <c r="F65" s="6"/>
      <c r="G65" s="6"/>
      <c r="H65" s="6"/>
      <c r="I65" s="6"/>
      <c r="J65" s="6"/>
      <c r="K65" s="6"/>
      <c r="L65" s="6"/>
    </row>
    <row r="68" spans="1:14">
      <c r="M68" s="6"/>
      <c r="N68" s="6"/>
    </row>
  </sheetData>
  <mergeCells count="3">
    <mergeCell ref="B10:G10"/>
    <mergeCell ref="B40:C40"/>
    <mergeCell ref="D40:E40"/>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082A0-7AFF-4A60-8041-DA9A5E9A03FC}">
  <dimension ref="A1:R107"/>
  <sheetViews>
    <sheetView zoomScale="120" zoomScaleNormal="120" workbookViewId="0"/>
  </sheetViews>
  <sheetFormatPr defaultRowHeight="15.6"/>
  <cols>
    <col min="1" max="1" width="8.88671875" style="1" customWidth="1"/>
    <col min="2" max="2" width="12.77734375" style="1" customWidth="1"/>
    <col min="3" max="7" width="15.77734375" style="1" customWidth="1"/>
    <col min="8" max="8" width="8.88671875" style="1" customWidth="1"/>
    <col min="9" max="16384" width="8.88671875" style="1"/>
  </cols>
  <sheetData>
    <row r="1" spans="1:18" ht="17.399999999999999">
      <c r="A1" s="2" t="s">
        <v>135</v>
      </c>
      <c r="B1" s="4"/>
      <c r="C1" s="8" t="s">
        <v>109</v>
      </c>
      <c r="D1" s="4"/>
      <c r="E1" s="4"/>
      <c r="F1" s="4"/>
      <c r="G1" s="4"/>
      <c r="H1" s="4"/>
      <c r="I1" s="4"/>
      <c r="J1" s="4"/>
      <c r="K1" s="4"/>
      <c r="L1" s="3"/>
    </row>
    <row r="2" spans="1:18">
      <c r="A2" s="4"/>
      <c r="B2" s="4"/>
      <c r="C2" s="4"/>
      <c r="D2" s="4"/>
      <c r="E2" s="4"/>
      <c r="F2" s="4"/>
      <c r="G2" s="4"/>
      <c r="H2" s="4"/>
      <c r="I2" s="4"/>
      <c r="J2" s="4"/>
      <c r="K2" s="4"/>
      <c r="L2" s="3"/>
    </row>
    <row r="3" spans="1:18">
      <c r="A3" s="118" t="s">
        <v>195</v>
      </c>
      <c r="B3" s="118"/>
      <c r="C3" s="118"/>
      <c r="D3" s="118"/>
      <c r="E3" s="118"/>
      <c r="F3" s="118"/>
      <c r="G3" s="118"/>
      <c r="H3" s="118"/>
      <c r="I3" s="118"/>
      <c r="J3" s="118"/>
      <c r="K3" s="118"/>
      <c r="L3" s="118"/>
    </row>
    <row r="4" spans="1:18">
      <c r="A4" s="118"/>
      <c r="B4" s="118"/>
      <c r="C4" s="118"/>
      <c r="D4" s="118"/>
      <c r="E4" s="118"/>
      <c r="F4" s="118"/>
      <c r="G4" s="118"/>
      <c r="H4" s="118"/>
      <c r="I4" s="118"/>
      <c r="J4" s="118"/>
      <c r="K4" s="118"/>
      <c r="L4" s="118"/>
    </row>
    <row r="5" spans="1:18">
      <c r="A5" s="6"/>
      <c r="B5" s="6"/>
      <c r="C5" s="6"/>
      <c r="D5" s="6"/>
      <c r="E5" s="6"/>
      <c r="F5" s="6"/>
      <c r="G5" s="6"/>
      <c r="H5" s="6"/>
      <c r="I5" s="6"/>
      <c r="J5" s="6"/>
      <c r="K5" s="6"/>
      <c r="L5" s="6"/>
    </row>
    <row r="6" spans="1:18">
      <c r="A6" s="5" t="s">
        <v>4</v>
      </c>
      <c r="B6" s="8" t="s">
        <v>136</v>
      </c>
      <c r="C6" s="4"/>
      <c r="D6" s="4"/>
      <c r="E6" s="4"/>
      <c r="F6" s="4"/>
      <c r="G6" s="4"/>
      <c r="H6" s="4"/>
      <c r="I6" s="4"/>
      <c r="J6" s="4"/>
      <c r="K6" s="4"/>
      <c r="L6" s="4"/>
      <c r="M6" s="7"/>
      <c r="N6" s="7"/>
      <c r="O6" s="7"/>
      <c r="P6" s="7"/>
      <c r="Q6" s="7"/>
      <c r="R6" s="7"/>
    </row>
    <row r="7" spans="1:18">
      <c r="A7" s="6"/>
      <c r="B7" s="6"/>
      <c r="C7" s="6"/>
      <c r="D7" s="6"/>
      <c r="E7" s="6"/>
      <c r="F7" s="6"/>
      <c r="G7" s="6"/>
      <c r="H7" s="6"/>
      <c r="I7" s="6"/>
      <c r="J7" s="6"/>
      <c r="K7" s="6"/>
      <c r="L7" s="6"/>
      <c r="M7" s="6"/>
    </row>
    <row r="8" spans="1:18">
      <c r="A8" s="6" t="s">
        <v>1</v>
      </c>
      <c r="B8" s="6"/>
      <c r="C8" s="6"/>
      <c r="D8" s="6"/>
      <c r="E8" s="6"/>
      <c r="F8" s="6"/>
      <c r="G8" s="6"/>
      <c r="H8" s="6"/>
      <c r="I8" s="6"/>
      <c r="J8" s="6"/>
      <c r="K8" s="6"/>
      <c r="L8" s="6"/>
      <c r="M8" s="6"/>
      <c r="N8" s="7"/>
    </row>
    <row r="9" spans="1:18">
      <c r="A9" s="6"/>
      <c r="B9" s="6"/>
      <c r="C9" s="6"/>
      <c r="D9" s="6"/>
      <c r="E9" s="6"/>
      <c r="F9" s="6"/>
      <c r="G9" s="6"/>
      <c r="H9" s="6"/>
      <c r="I9" s="6"/>
      <c r="J9" s="6"/>
      <c r="K9" s="6"/>
      <c r="L9" s="6"/>
      <c r="M9" s="6"/>
      <c r="N9" s="7"/>
    </row>
    <row r="10" spans="1:18">
      <c r="A10" s="6" t="s">
        <v>367</v>
      </c>
      <c r="B10" s="6"/>
      <c r="C10" s="6"/>
      <c r="D10" s="6"/>
      <c r="E10" s="6"/>
      <c r="F10" s="6"/>
      <c r="G10" s="6"/>
      <c r="H10" s="6"/>
      <c r="I10" s="6"/>
      <c r="J10" s="6"/>
      <c r="K10" s="6"/>
      <c r="L10" s="6"/>
      <c r="M10" s="6"/>
      <c r="N10" s="7"/>
    </row>
    <row r="11" spans="1:18">
      <c r="A11" s="6" t="s">
        <v>368</v>
      </c>
      <c r="M11" s="7"/>
      <c r="N11" s="7"/>
    </row>
    <row r="12" spans="1:18">
      <c r="M12" s="7"/>
      <c r="N12" s="7"/>
    </row>
    <row r="14" spans="1:18">
      <c r="A14" s="5" t="s">
        <v>5</v>
      </c>
      <c r="B14" s="118" t="s">
        <v>196</v>
      </c>
      <c r="C14" s="118"/>
      <c r="D14" s="118"/>
      <c r="E14" s="118"/>
      <c r="F14" s="118"/>
      <c r="G14" s="118"/>
      <c r="H14" s="118"/>
      <c r="I14" s="118"/>
      <c r="J14" s="118"/>
      <c r="K14" s="118"/>
      <c r="L14" s="118"/>
    </row>
    <row r="15" spans="1:18">
      <c r="A15" s="3"/>
      <c r="B15" s="118"/>
      <c r="C15" s="118"/>
      <c r="D15" s="118"/>
      <c r="E15" s="118"/>
      <c r="F15" s="118"/>
      <c r="G15" s="118"/>
      <c r="H15" s="118"/>
      <c r="I15" s="118"/>
      <c r="J15" s="118"/>
      <c r="K15" s="118"/>
      <c r="L15" s="118"/>
    </row>
    <row r="16" spans="1:18">
      <c r="A16" s="6"/>
      <c r="B16" s="6"/>
      <c r="C16" s="6"/>
      <c r="D16" s="6"/>
      <c r="E16" s="6"/>
      <c r="F16" s="6"/>
      <c r="G16" s="6"/>
      <c r="H16" s="6"/>
      <c r="I16" s="6"/>
      <c r="J16" s="6"/>
      <c r="K16" s="6"/>
      <c r="L16" s="6"/>
    </row>
    <row r="17" spans="1:13">
      <c r="A17" s="6" t="s">
        <v>1</v>
      </c>
      <c r="B17" s="6"/>
      <c r="C17" s="6"/>
      <c r="D17" s="6"/>
      <c r="E17" s="6"/>
      <c r="F17" s="6"/>
      <c r="G17" s="6"/>
      <c r="H17" s="6"/>
      <c r="I17" s="6"/>
      <c r="J17" s="6"/>
      <c r="K17" s="6"/>
      <c r="L17" s="6"/>
    </row>
    <row r="18" spans="1:13">
      <c r="A18" s="6"/>
      <c r="B18" s="6"/>
      <c r="C18" s="6"/>
      <c r="D18" s="6"/>
      <c r="E18" s="6"/>
      <c r="F18" s="6"/>
      <c r="G18" s="6"/>
      <c r="H18" s="6"/>
      <c r="I18" s="6"/>
      <c r="J18" s="6"/>
      <c r="K18" s="6"/>
      <c r="L18" s="6"/>
    </row>
    <row r="19" spans="1:13" s="150" customFormat="1">
      <c r="A19" s="148" t="s">
        <v>351</v>
      </c>
      <c r="B19" s="149"/>
      <c r="C19" s="149"/>
      <c r="D19" s="149"/>
      <c r="E19" s="149"/>
      <c r="F19" s="149"/>
      <c r="G19" s="149"/>
      <c r="H19" s="149"/>
      <c r="I19" s="149"/>
      <c r="J19" s="149"/>
      <c r="K19" s="149"/>
      <c r="L19" s="149"/>
    </row>
    <row r="20" spans="1:13" s="150" customFormat="1">
      <c r="A20" s="169" t="s">
        <v>369</v>
      </c>
      <c r="M20" s="149"/>
    </row>
    <row r="21" spans="1:13" s="150" customFormat="1">
      <c r="A21" s="169" t="s">
        <v>370</v>
      </c>
      <c r="M21" s="149"/>
    </row>
    <row r="22" spans="1:13" s="150" customFormat="1">
      <c r="A22" s="169" t="s">
        <v>371</v>
      </c>
    </row>
    <row r="23" spans="1:13" s="150" customFormat="1">
      <c r="A23" s="169" t="s">
        <v>372</v>
      </c>
    </row>
    <row r="24" spans="1:13" s="150" customFormat="1">
      <c r="A24" s="169" t="s">
        <v>373</v>
      </c>
    </row>
    <row r="25" spans="1:13" s="150" customFormat="1">
      <c r="A25" s="169" t="s">
        <v>374</v>
      </c>
    </row>
    <row r="27" spans="1:13">
      <c r="A27" s="32" t="s">
        <v>137</v>
      </c>
      <c r="B27" s="8"/>
      <c r="C27" s="8"/>
      <c r="D27" s="8"/>
      <c r="E27" s="8"/>
      <c r="F27" s="8"/>
      <c r="G27" s="8"/>
      <c r="H27" s="4"/>
      <c r="I27" s="4"/>
      <c r="J27" s="4"/>
      <c r="K27" s="4"/>
      <c r="L27" s="4"/>
    </row>
    <row r="28" spans="1:13">
      <c r="A28" s="8" t="s">
        <v>138</v>
      </c>
      <c r="B28" s="8"/>
      <c r="C28" s="8"/>
      <c r="D28" s="8"/>
      <c r="E28" s="8"/>
      <c r="F28" s="8"/>
      <c r="G28" s="8"/>
      <c r="H28" s="4"/>
      <c r="I28" s="4"/>
      <c r="J28" s="4"/>
      <c r="K28" s="4"/>
      <c r="L28" s="4"/>
    </row>
    <row r="29" spans="1:13">
      <c r="A29" s="8"/>
      <c r="B29" s="8"/>
      <c r="C29" s="8"/>
      <c r="D29" s="8"/>
      <c r="E29" s="8"/>
      <c r="F29" s="8"/>
      <c r="G29" s="8"/>
      <c r="H29" s="4"/>
      <c r="I29" s="4"/>
      <c r="J29" s="4"/>
      <c r="K29" s="4"/>
      <c r="L29" s="4"/>
    </row>
    <row r="30" spans="1:13">
      <c r="A30" s="8"/>
      <c r="B30" s="48" t="s">
        <v>139</v>
      </c>
      <c r="C30" s="127" t="s">
        <v>141</v>
      </c>
      <c r="D30" s="8"/>
      <c r="E30" s="8"/>
      <c r="F30" s="8"/>
      <c r="G30" s="8"/>
      <c r="H30" s="4"/>
      <c r="I30" s="4"/>
      <c r="J30" s="4"/>
      <c r="K30" s="4"/>
      <c r="L30" s="4"/>
    </row>
    <row r="31" spans="1:13">
      <c r="A31" s="8"/>
      <c r="B31" s="49" t="s">
        <v>140</v>
      </c>
      <c r="C31" s="127"/>
      <c r="D31" s="8"/>
      <c r="E31" s="8"/>
      <c r="F31" s="8"/>
      <c r="G31" s="8"/>
      <c r="H31" s="4"/>
      <c r="I31" s="4"/>
      <c r="J31" s="4"/>
      <c r="K31" s="4"/>
      <c r="L31" s="4"/>
    </row>
    <row r="32" spans="1:13">
      <c r="A32" s="8"/>
      <c r="B32" s="45">
        <v>2019</v>
      </c>
      <c r="C32" s="43">
        <v>5331195</v>
      </c>
      <c r="D32" s="8"/>
      <c r="E32" s="8"/>
      <c r="F32" s="8"/>
      <c r="G32" s="8"/>
      <c r="H32" s="4"/>
      <c r="I32" s="4"/>
      <c r="J32" s="4"/>
      <c r="K32" s="4"/>
      <c r="L32" s="4"/>
    </row>
    <row r="33" spans="1:12">
      <c r="A33" s="8"/>
      <c r="B33" s="42">
        <v>2020</v>
      </c>
      <c r="C33" s="43">
        <v>4622596</v>
      </c>
      <c r="D33" s="8"/>
      <c r="E33" s="8"/>
      <c r="F33" s="8"/>
      <c r="G33" s="8"/>
      <c r="H33" s="4"/>
      <c r="I33" s="4"/>
      <c r="J33" s="4"/>
      <c r="K33" s="4"/>
      <c r="L33" s="4"/>
    </row>
    <row r="34" spans="1:12">
      <c r="A34" s="8"/>
      <c r="B34" s="42">
        <v>2021</v>
      </c>
      <c r="C34" s="43">
        <v>5116924</v>
      </c>
      <c r="D34" s="8"/>
      <c r="E34" s="8"/>
      <c r="F34" s="8"/>
      <c r="G34" s="8"/>
      <c r="H34" s="4"/>
      <c r="I34" s="4"/>
      <c r="J34" s="4"/>
      <c r="K34" s="4"/>
      <c r="L34" s="4"/>
    </row>
    <row r="35" spans="1:12">
      <c r="A35" s="8"/>
      <c r="B35" s="42">
        <v>2022</v>
      </c>
      <c r="C35" s="43">
        <v>5524846</v>
      </c>
      <c r="D35" s="8"/>
      <c r="E35" s="8"/>
      <c r="F35" s="8"/>
      <c r="G35" s="8"/>
      <c r="H35" s="4"/>
      <c r="I35" s="4"/>
      <c r="J35" s="4"/>
      <c r="K35" s="4"/>
      <c r="L35" s="4"/>
    </row>
    <row r="36" spans="1:12">
      <c r="A36" s="8"/>
      <c r="B36" s="42">
        <v>2023</v>
      </c>
      <c r="C36" s="43">
        <v>6060412</v>
      </c>
      <c r="D36" s="8"/>
      <c r="E36" s="8"/>
      <c r="F36" s="8"/>
      <c r="G36" s="8"/>
      <c r="H36" s="4"/>
      <c r="I36" s="4"/>
      <c r="J36" s="4"/>
      <c r="K36" s="4"/>
      <c r="L36" s="4"/>
    </row>
    <row r="37" spans="1:12">
      <c r="A37" s="8"/>
      <c r="B37" s="8"/>
      <c r="C37" s="8"/>
      <c r="D37" s="8"/>
      <c r="E37" s="8"/>
      <c r="F37" s="8"/>
      <c r="G37" s="8"/>
      <c r="H37" s="4"/>
      <c r="I37" s="4"/>
      <c r="J37" s="4"/>
      <c r="K37" s="4"/>
      <c r="L37" s="4"/>
    </row>
    <row r="38" spans="1:12" ht="46.8">
      <c r="A38" s="8"/>
      <c r="B38" s="29" t="s">
        <v>142</v>
      </c>
      <c r="C38" s="29" t="s">
        <v>143</v>
      </c>
      <c r="D38" s="8"/>
      <c r="E38" s="8"/>
      <c r="F38" s="8"/>
      <c r="G38" s="8"/>
      <c r="H38" s="4"/>
      <c r="I38" s="4"/>
      <c r="J38" s="4"/>
      <c r="K38" s="4"/>
      <c r="L38" s="4"/>
    </row>
    <row r="39" spans="1:12">
      <c r="A39" s="8"/>
      <c r="B39" s="42">
        <v>12</v>
      </c>
      <c r="C39" s="44">
        <v>3.5049999999999999</v>
      </c>
      <c r="D39" s="8"/>
      <c r="E39" s="8"/>
      <c r="F39" s="8"/>
      <c r="G39" s="8"/>
      <c r="H39" s="4"/>
      <c r="I39" s="4"/>
      <c r="J39" s="4"/>
      <c r="K39" s="4"/>
      <c r="L39" s="4"/>
    </row>
    <row r="40" spans="1:12">
      <c r="A40" s="8"/>
      <c r="B40" s="42">
        <v>24</v>
      </c>
      <c r="C40" s="44">
        <v>2.02</v>
      </c>
      <c r="D40" s="8"/>
      <c r="E40" s="8"/>
      <c r="F40" s="8"/>
      <c r="G40" s="8"/>
      <c r="H40" s="4"/>
      <c r="I40" s="4"/>
      <c r="J40" s="4"/>
      <c r="K40" s="4"/>
      <c r="L40" s="4"/>
    </row>
    <row r="41" spans="1:12">
      <c r="A41" s="8"/>
      <c r="B41" s="42">
        <v>36</v>
      </c>
      <c r="C41" s="44">
        <v>1.7649999999999999</v>
      </c>
      <c r="D41" s="8"/>
      <c r="E41" s="8"/>
      <c r="F41" s="8"/>
      <c r="G41" s="8"/>
      <c r="H41" s="4"/>
      <c r="I41" s="4"/>
      <c r="J41" s="4"/>
      <c r="K41" s="4"/>
      <c r="L41" s="4"/>
    </row>
    <row r="42" spans="1:12">
      <c r="A42" s="8"/>
      <c r="B42" s="42">
        <v>48</v>
      </c>
      <c r="C42" s="44">
        <v>1.42</v>
      </c>
      <c r="D42" s="8"/>
      <c r="E42" s="8"/>
      <c r="F42" s="8"/>
      <c r="G42" s="8"/>
      <c r="H42" s="4"/>
      <c r="I42" s="4"/>
      <c r="J42" s="4"/>
      <c r="K42" s="4"/>
      <c r="L42" s="4"/>
    </row>
    <row r="43" spans="1:12">
      <c r="A43" s="8"/>
      <c r="B43" s="42">
        <v>60</v>
      </c>
      <c r="C43" s="44">
        <v>1.165</v>
      </c>
      <c r="D43" s="8"/>
      <c r="E43" s="8"/>
      <c r="F43" s="8"/>
      <c r="G43" s="8"/>
      <c r="H43" s="4"/>
      <c r="I43" s="4"/>
      <c r="J43" s="4"/>
      <c r="K43" s="4"/>
      <c r="L43" s="4"/>
    </row>
    <row r="44" spans="1:12">
      <c r="A44" s="8"/>
      <c r="B44" s="8"/>
      <c r="C44" s="8"/>
      <c r="D44" s="8"/>
      <c r="E44" s="8"/>
      <c r="F44" s="8"/>
      <c r="G44" s="8"/>
      <c r="H44" s="4"/>
      <c r="I44" s="4"/>
      <c r="J44" s="4"/>
      <c r="K44" s="4"/>
      <c r="L44" s="4"/>
    </row>
    <row r="45" spans="1:12">
      <c r="A45" s="8"/>
      <c r="B45" s="46" t="s">
        <v>144</v>
      </c>
      <c r="C45" s="127" t="s">
        <v>145</v>
      </c>
      <c r="D45" s="125" t="s">
        <v>146</v>
      </c>
      <c r="E45" s="8"/>
      <c r="F45" s="8"/>
      <c r="G45" s="8"/>
      <c r="H45" s="4"/>
      <c r="I45" s="4"/>
      <c r="J45" s="4"/>
      <c r="K45" s="4"/>
      <c r="L45" s="4"/>
    </row>
    <row r="46" spans="1:12">
      <c r="A46" s="8"/>
      <c r="B46" s="47" t="s">
        <v>140</v>
      </c>
      <c r="C46" s="127"/>
      <c r="D46" s="125"/>
      <c r="E46" s="8"/>
      <c r="F46" s="8"/>
      <c r="G46" s="8"/>
      <c r="H46" s="4"/>
      <c r="I46" s="4"/>
      <c r="J46" s="4"/>
      <c r="K46" s="4"/>
      <c r="L46" s="4"/>
    </row>
    <row r="47" spans="1:12">
      <c r="A47" s="8"/>
      <c r="B47" s="45">
        <v>2019</v>
      </c>
      <c r="C47" s="43">
        <v>278480</v>
      </c>
      <c r="D47" s="43">
        <v>991462</v>
      </c>
      <c r="E47" s="8"/>
      <c r="F47" s="8"/>
      <c r="G47" s="8"/>
      <c r="H47" s="4"/>
      <c r="I47" s="4"/>
      <c r="J47" s="4"/>
      <c r="K47" s="4"/>
      <c r="L47" s="4"/>
    </row>
    <row r="48" spans="1:12">
      <c r="A48" s="8"/>
      <c r="B48" s="42">
        <v>2020</v>
      </c>
      <c r="C48" s="43">
        <v>323800</v>
      </c>
      <c r="D48" s="43">
        <v>1170742</v>
      </c>
      <c r="E48" s="8"/>
      <c r="F48" s="8"/>
      <c r="G48" s="8"/>
      <c r="H48" s="4"/>
      <c r="I48" s="4"/>
      <c r="J48" s="4"/>
      <c r="K48" s="4"/>
      <c r="L48" s="4"/>
    </row>
    <row r="49" spans="1:12">
      <c r="A49" s="8"/>
      <c r="B49" s="42">
        <v>2021</v>
      </c>
      <c r="C49" s="43">
        <v>369200</v>
      </c>
      <c r="D49" s="43">
        <v>1573118</v>
      </c>
      <c r="E49" s="8"/>
      <c r="F49" s="8"/>
      <c r="G49" s="8"/>
      <c r="H49" s="4"/>
      <c r="I49" s="4"/>
      <c r="J49" s="4"/>
      <c r="K49" s="4"/>
      <c r="L49" s="4"/>
    </row>
    <row r="50" spans="1:12">
      <c r="A50" s="8"/>
      <c r="B50" s="42">
        <v>2022</v>
      </c>
      <c r="C50" s="43">
        <v>448080</v>
      </c>
      <c r="D50" s="43">
        <v>2346706</v>
      </c>
      <c r="E50" s="8"/>
      <c r="F50" s="8"/>
      <c r="G50" s="8"/>
      <c r="H50" s="4"/>
      <c r="I50" s="4"/>
      <c r="J50" s="4"/>
      <c r="K50" s="4"/>
      <c r="L50" s="4"/>
    </row>
    <row r="51" spans="1:12">
      <c r="A51" s="8"/>
      <c r="B51" s="42">
        <v>2023</v>
      </c>
      <c r="C51" s="43">
        <v>675994</v>
      </c>
      <c r="D51" s="43">
        <v>3297712</v>
      </c>
      <c r="E51" s="8"/>
      <c r="F51" s="8"/>
      <c r="G51" s="8"/>
      <c r="H51" s="4"/>
      <c r="I51" s="4"/>
      <c r="J51" s="4"/>
      <c r="K51" s="4"/>
      <c r="L51" s="4"/>
    </row>
    <row r="53" spans="1:12">
      <c r="A53" s="5" t="s">
        <v>0</v>
      </c>
      <c r="B53" s="8" t="s">
        <v>197</v>
      </c>
      <c r="C53" s="4"/>
      <c r="D53" s="4"/>
      <c r="E53" s="4"/>
      <c r="F53" s="4"/>
      <c r="G53" s="4"/>
      <c r="H53" s="4"/>
      <c r="I53" s="4"/>
      <c r="J53" s="4"/>
      <c r="K53" s="4"/>
      <c r="L53" s="4"/>
    </row>
    <row r="54" spans="1:12">
      <c r="A54" s="6"/>
      <c r="B54" s="6"/>
      <c r="C54" s="6"/>
      <c r="D54" s="6"/>
      <c r="E54" s="6"/>
      <c r="F54" s="6"/>
      <c r="G54" s="6"/>
      <c r="H54" s="6"/>
      <c r="I54" s="6"/>
      <c r="J54" s="6"/>
      <c r="K54" s="6"/>
      <c r="L54" s="6"/>
    </row>
    <row r="55" spans="1:12">
      <c r="A55" s="6" t="s">
        <v>1</v>
      </c>
      <c r="B55" s="6"/>
      <c r="C55" s="6"/>
      <c r="D55" s="6"/>
      <c r="E55" s="6"/>
      <c r="F55" s="6"/>
      <c r="G55" s="6"/>
      <c r="H55" s="6"/>
      <c r="I55" s="6"/>
      <c r="J55" s="6"/>
      <c r="K55" s="6"/>
      <c r="L55" s="6"/>
    </row>
    <row r="56" spans="1:12">
      <c r="A56" s="6"/>
      <c r="B56" s="6"/>
      <c r="C56" s="6"/>
      <c r="D56" s="6"/>
      <c r="E56" s="6"/>
      <c r="F56" s="6"/>
      <c r="G56" s="6"/>
      <c r="H56" s="6"/>
      <c r="I56" s="6"/>
      <c r="J56" s="6"/>
      <c r="K56" s="6"/>
      <c r="L56" s="6"/>
    </row>
    <row r="57" spans="1:12">
      <c r="A57" s="6"/>
      <c r="B57" s="6"/>
      <c r="C57" s="151" t="s">
        <v>142</v>
      </c>
      <c r="D57" s="151"/>
      <c r="E57" s="151"/>
      <c r="F57" s="151"/>
      <c r="G57" s="151"/>
      <c r="H57" s="6"/>
      <c r="I57" s="6"/>
      <c r="J57" s="6"/>
      <c r="K57" s="6"/>
      <c r="L57" s="6"/>
    </row>
    <row r="58" spans="1:12">
      <c r="A58" s="6"/>
      <c r="B58" s="6"/>
      <c r="C58" s="152">
        <v>12</v>
      </c>
      <c r="D58" s="152">
        <f>C58+12</f>
        <v>24</v>
      </c>
      <c r="E58" s="152">
        <f t="shared" ref="E58:G58" si="0">D58+12</f>
        <v>36</v>
      </c>
      <c r="F58" s="152">
        <f t="shared" si="0"/>
        <v>48</v>
      </c>
      <c r="G58" s="152">
        <f t="shared" si="0"/>
        <v>60</v>
      </c>
      <c r="H58" s="6"/>
      <c r="I58" s="6"/>
      <c r="J58" s="6"/>
      <c r="K58" s="6"/>
      <c r="L58" s="6"/>
    </row>
    <row r="59" spans="1:12">
      <c r="A59" s="6" t="s">
        <v>352</v>
      </c>
      <c r="B59" s="6"/>
      <c r="C59" s="70">
        <f>C39</f>
        <v>3.5049999999999999</v>
      </c>
      <c r="D59" s="70">
        <f>C40</f>
        <v>2.02</v>
      </c>
      <c r="E59" s="70">
        <f>C41</f>
        <v>1.7649999999999999</v>
      </c>
      <c r="F59" s="70">
        <f>C42</f>
        <v>1.42</v>
      </c>
      <c r="G59" s="70">
        <f>C43</f>
        <v>1.165</v>
      </c>
      <c r="H59" s="6"/>
      <c r="I59" s="6"/>
      <c r="J59" s="6"/>
      <c r="K59" s="6"/>
      <c r="L59" s="6"/>
    </row>
    <row r="60" spans="1:12">
      <c r="A60" s="6" t="s">
        <v>353</v>
      </c>
      <c r="B60" s="6"/>
      <c r="C60" s="153">
        <f>1/C59</f>
        <v>0.28530670470756064</v>
      </c>
      <c r="D60" s="153">
        <f t="shared" ref="D60:G60" si="1">1/D59</f>
        <v>0.49504950495049505</v>
      </c>
      <c r="E60" s="153">
        <f t="shared" si="1"/>
        <v>0.56657223796033995</v>
      </c>
      <c r="F60" s="153">
        <f t="shared" si="1"/>
        <v>0.70422535211267612</v>
      </c>
      <c r="G60" s="153">
        <f t="shared" si="1"/>
        <v>0.85836909871244638</v>
      </c>
      <c r="H60" s="6"/>
      <c r="I60" s="6"/>
      <c r="J60" s="6"/>
      <c r="K60" s="6"/>
      <c r="L60" s="6"/>
    </row>
    <row r="61" spans="1:12">
      <c r="A61" s="6" t="s">
        <v>354</v>
      </c>
      <c r="B61" s="6"/>
      <c r="C61" s="74">
        <f>C60</f>
        <v>0.28530670470756064</v>
      </c>
      <c r="D61" s="74">
        <f>D60-C60</f>
        <v>0.2097428002429344</v>
      </c>
      <c r="E61" s="74">
        <f t="shared" ref="E61:G61" si="2">E60-D60</f>
        <v>7.1522733009844908E-2</v>
      </c>
      <c r="F61" s="74">
        <f t="shared" si="2"/>
        <v>0.13765311415233616</v>
      </c>
      <c r="G61" s="74">
        <f t="shared" si="2"/>
        <v>0.15414374659977026</v>
      </c>
      <c r="H61" s="6"/>
      <c r="I61" s="6"/>
      <c r="J61" s="6"/>
      <c r="K61" s="6"/>
      <c r="L61" s="6"/>
    </row>
    <row r="62" spans="1:12">
      <c r="A62" s="6"/>
      <c r="B62" s="6"/>
      <c r="C62" s="70"/>
      <c r="D62" s="70"/>
      <c r="E62" s="70"/>
      <c r="F62" s="70"/>
      <c r="G62" s="70"/>
      <c r="H62" s="6"/>
      <c r="I62" s="6"/>
      <c r="J62" s="6"/>
      <c r="K62" s="6"/>
      <c r="L62" s="6"/>
    </row>
    <row r="63" spans="1:12">
      <c r="A63" s="6"/>
      <c r="B63" s="67" t="s">
        <v>355</v>
      </c>
      <c r="C63" s="153"/>
      <c r="D63" s="153"/>
      <c r="E63" s="153"/>
      <c r="F63" s="153"/>
      <c r="G63" s="153"/>
      <c r="H63" s="6"/>
      <c r="I63" s="6"/>
      <c r="J63" s="6"/>
      <c r="K63" s="6"/>
      <c r="L63" s="6"/>
    </row>
    <row r="64" spans="1:12">
      <c r="A64" s="67" t="s">
        <v>240</v>
      </c>
      <c r="B64" s="67" t="s">
        <v>73</v>
      </c>
      <c r="C64" s="151" t="s">
        <v>356</v>
      </c>
      <c r="D64" s="151"/>
      <c r="E64" s="151"/>
      <c r="F64" s="151"/>
      <c r="G64" s="151"/>
      <c r="H64" s="6"/>
      <c r="I64" s="6"/>
      <c r="J64" s="6"/>
      <c r="K64" s="6"/>
      <c r="L64" s="6"/>
    </row>
    <row r="65" spans="1:12">
      <c r="A65" s="154" t="s">
        <v>140</v>
      </c>
      <c r="B65" s="68" t="s">
        <v>244</v>
      </c>
      <c r="C65" s="68">
        <f>A67</f>
        <v>2019</v>
      </c>
      <c r="D65" s="68">
        <f t="shared" ref="D65:G65" si="3">C65+1</f>
        <v>2020</v>
      </c>
      <c r="E65" s="68">
        <f t="shared" si="3"/>
        <v>2021</v>
      </c>
      <c r="F65" s="68">
        <f t="shared" si="3"/>
        <v>2022</v>
      </c>
      <c r="G65" s="68">
        <f t="shared" si="3"/>
        <v>2023</v>
      </c>
      <c r="H65" s="6"/>
      <c r="I65" s="6"/>
      <c r="J65" s="6"/>
      <c r="K65" s="6"/>
      <c r="L65" s="6"/>
    </row>
    <row r="66" spans="1:12">
      <c r="A66" s="162" t="s">
        <v>357</v>
      </c>
      <c r="B66" s="67"/>
      <c r="C66" s="67"/>
      <c r="D66" s="67"/>
      <c r="E66" s="67"/>
      <c r="F66" s="67"/>
      <c r="G66" s="67"/>
      <c r="H66" s="6"/>
      <c r="I66" s="6"/>
      <c r="J66" s="6"/>
      <c r="K66" s="6"/>
      <c r="L66" s="6"/>
    </row>
    <row r="67" spans="1:12">
      <c r="A67" s="155">
        <f t="shared" ref="A67:A69" si="4">A68-1</f>
        <v>2019</v>
      </c>
      <c r="B67" s="81">
        <f>C32</f>
        <v>5331195</v>
      </c>
      <c r="C67" s="81">
        <f>$B67*C61</f>
        <v>1521025.6776034238</v>
      </c>
      <c r="D67" s="81">
        <f>$B67*D61</f>
        <v>1118179.7679411306</v>
      </c>
      <c r="E67" s="81">
        <f>$B67*E61</f>
        <v>381301.63660842011</v>
      </c>
      <c r="F67" s="81">
        <f>$B67*F61</f>
        <v>733855.5939033638</v>
      </c>
      <c r="G67" s="81">
        <f>$B67*G61</f>
        <v>821770.37115396222</v>
      </c>
      <c r="H67" s="6"/>
      <c r="I67" s="6"/>
      <c r="J67" s="6"/>
      <c r="K67" s="6"/>
      <c r="L67" s="6"/>
    </row>
    <row r="68" spans="1:12">
      <c r="A68" s="155">
        <f t="shared" si="4"/>
        <v>2020</v>
      </c>
      <c r="B68" s="81">
        <f t="shared" ref="B68:B71" si="5">C33</f>
        <v>4622596</v>
      </c>
      <c r="C68" s="81"/>
      <c r="D68" s="81">
        <f>$B68*C61</f>
        <v>1318857.631954351</v>
      </c>
      <c r="E68" s="81">
        <f>$B68*D61</f>
        <v>969556.22943178762</v>
      </c>
      <c r="F68" s="81">
        <f>$B68*E61</f>
        <v>330620.69952037703</v>
      </c>
      <c r="G68" s="81">
        <f>$B68*F61</f>
        <v>636314.73486813251</v>
      </c>
      <c r="H68" s="6"/>
      <c r="I68" s="6"/>
      <c r="J68" s="6"/>
      <c r="K68" s="6"/>
      <c r="L68" s="6"/>
    </row>
    <row r="69" spans="1:12">
      <c r="A69" s="155">
        <f t="shared" si="4"/>
        <v>2021</v>
      </c>
      <c r="B69" s="81">
        <f t="shared" si="5"/>
        <v>5116924</v>
      </c>
      <c r="C69" s="81"/>
      <c r="D69" s="81"/>
      <c r="E69" s="81">
        <f>$B69*C61</f>
        <v>1459892.72467903</v>
      </c>
      <c r="F69" s="81">
        <f>$B69*D61</f>
        <v>1073237.9683902769</v>
      </c>
      <c r="G69" s="81">
        <f>$B69*E61</f>
        <v>365976.38908366766</v>
      </c>
      <c r="H69" s="6"/>
      <c r="I69" s="6"/>
      <c r="J69" s="6"/>
      <c r="K69" s="6"/>
      <c r="L69" s="6"/>
    </row>
    <row r="70" spans="1:12">
      <c r="A70" s="155">
        <f>A71-1</f>
        <v>2022</v>
      </c>
      <c r="B70" s="81">
        <f t="shared" si="5"/>
        <v>5524846</v>
      </c>
      <c r="C70" s="81"/>
      <c r="D70" s="81"/>
      <c r="E70" s="81"/>
      <c r="F70" s="81">
        <f>$B70*C61</f>
        <v>1576275.6062767475</v>
      </c>
      <c r="G70" s="81">
        <f>$B70*D61</f>
        <v>1158796.6709509753</v>
      </c>
      <c r="H70" s="6"/>
      <c r="I70" s="6"/>
      <c r="J70" s="6"/>
      <c r="K70" s="6"/>
      <c r="L70" s="6"/>
    </row>
    <row r="71" spans="1:12">
      <c r="A71" s="154">
        <v>2023</v>
      </c>
      <c r="B71" s="84">
        <f t="shared" si="5"/>
        <v>6060412</v>
      </c>
      <c r="C71" s="84"/>
      <c r="D71" s="84"/>
      <c r="E71" s="84"/>
      <c r="F71" s="84"/>
      <c r="G71" s="84">
        <f>B71*C61</f>
        <v>1729076.1768901569</v>
      </c>
      <c r="H71" s="6"/>
      <c r="I71" s="6"/>
      <c r="J71" s="6"/>
      <c r="K71" s="6"/>
      <c r="L71" s="6"/>
    </row>
    <row r="72" spans="1:12">
      <c r="A72" s="67" t="s">
        <v>220</v>
      </c>
      <c r="B72" s="81">
        <f t="shared" ref="B72:G72" si="6">SUM(B67:B71)</f>
        <v>26655973</v>
      </c>
      <c r="C72" s="81">
        <f t="shared" si="6"/>
        <v>1521025.6776034238</v>
      </c>
      <c r="D72" s="81">
        <f t="shared" si="6"/>
        <v>2437037.3998954818</v>
      </c>
      <c r="E72" s="81">
        <f t="shared" si="6"/>
        <v>2810750.5907192379</v>
      </c>
      <c r="F72" s="81">
        <f t="shared" si="6"/>
        <v>3713989.8680907656</v>
      </c>
      <c r="G72" s="81">
        <f t="shared" si="6"/>
        <v>4711934.3429468945</v>
      </c>
      <c r="H72" s="6"/>
      <c r="I72" s="6"/>
      <c r="J72" s="6"/>
      <c r="K72" s="6"/>
      <c r="L72" s="6"/>
    </row>
    <row r="73" spans="1:12">
      <c r="A73" s="6"/>
      <c r="B73" s="6"/>
      <c r="C73" s="6"/>
      <c r="D73" s="6"/>
      <c r="E73" s="6"/>
      <c r="F73" s="6"/>
      <c r="G73" s="6"/>
      <c r="H73" s="6"/>
      <c r="I73" s="6"/>
      <c r="J73" s="6"/>
      <c r="K73" s="6"/>
      <c r="L73" s="6"/>
    </row>
    <row r="74" spans="1:12">
      <c r="A74" s="147" t="s">
        <v>358</v>
      </c>
      <c r="B74" s="6"/>
      <c r="C74" s="6"/>
      <c r="D74" s="6"/>
      <c r="E74" s="6"/>
      <c r="F74" s="6"/>
      <c r="G74" s="6"/>
      <c r="H74" s="6"/>
      <c r="I74" s="6"/>
      <c r="J74" s="6"/>
      <c r="K74" s="6"/>
      <c r="L74" s="6"/>
    </row>
    <row r="75" spans="1:12" ht="31.2">
      <c r="A75" s="6"/>
      <c r="B75" s="6"/>
      <c r="C75" s="6"/>
      <c r="D75" s="6"/>
      <c r="E75" s="161" t="s">
        <v>359</v>
      </c>
      <c r="G75" s="6"/>
      <c r="H75" s="6"/>
      <c r="I75" s="6"/>
      <c r="J75" s="6"/>
      <c r="K75" s="6"/>
      <c r="L75" s="6"/>
    </row>
    <row r="76" spans="1:12">
      <c r="A76" s="67" t="s">
        <v>144</v>
      </c>
      <c r="B76" s="67" t="s">
        <v>360</v>
      </c>
      <c r="C76" s="156" t="s">
        <v>361</v>
      </c>
      <c r="D76" s="157"/>
      <c r="E76" s="67" t="s">
        <v>364</v>
      </c>
      <c r="G76" s="6"/>
      <c r="H76" s="6"/>
      <c r="I76" s="6"/>
      <c r="J76" s="6"/>
      <c r="K76" s="6"/>
      <c r="L76" s="6"/>
    </row>
    <row r="77" spans="1:12">
      <c r="A77" s="68" t="s">
        <v>140</v>
      </c>
      <c r="B77" s="68" t="s">
        <v>362</v>
      </c>
      <c r="C77" s="68" t="s">
        <v>360</v>
      </c>
      <c r="D77" s="68" t="s">
        <v>241</v>
      </c>
      <c r="E77" s="68" t="s">
        <v>363</v>
      </c>
      <c r="G77" s="6"/>
      <c r="H77" s="6"/>
      <c r="I77" s="6"/>
      <c r="J77" s="6"/>
      <c r="K77" s="6"/>
      <c r="L77" s="6"/>
    </row>
    <row r="78" spans="1:12">
      <c r="A78" s="155">
        <f t="shared" ref="A78:A80" si="7">A79-1</f>
        <v>2019</v>
      </c>
      <c r="B78" s="158">
        <v>278480</v>
      </c>
      <c r="C78" s="81">
        <f>D47</f>
        <v>991462</v>
      </c>
      <c r="D78" s="81">
        <f>C72</f>
        <v>1521025.6776034238</v>
      </c>
      <c r="E78" s="153">
        <f>B78/AVERAGE(C78:D78)</f>
        <v>0.22167670908987908</v>
      </c>
      <c r="G78" s="6"/>
      <c r="H78" s="6"/>
      <c r="I78" s="6"/>
      <c r="J78" s="6"/>
      <c r="K78" s="6"/>
      <c r="L78" s="6"/>
    </row>
    <row r="79" spans="1:12">
      <c r="A79" s="155">
        <f t="shared" si="7"/>
        <v>2020</v>
      </c>
      <c r="B79" s="158">
        <v>323800</v>
      </c>
      <c r="C79" s="81">
        <f t="shared" ref="C79:C82" si="8">D48</f>
        <v>1170742</v>
      </c>
      <c r="D79" s="81">
        <f>D72</f>
        <v>2437037.3998954818</v>
      </c>
      <c r="E79" s="153">
        <f>B79/AVERAGE(C79:D79)</f>
        <v>0.17950099721140408</v>
      </c>
      <c r="G79" s="6"/>
      <c r="H79" s="6"/>
      <c r="I79" s="6"/>
      <c r="J79" s="6"/>
      <c r="K79" s="6"/>
      <c r="L79" s="6"/>
    </row>
    <row r="80" spans="1:12">
      <c r="A80" s="155">
        <f t="shared" si="7"/>
        <v>2021</v>
      </c>
      <c r="B80" s="158">
        <v>369200</v>
      </c>
      <c r="C80" s="81">
        <f t="shared" si="8"/>
        <v>1573118</v>
      </c>
      <c r="D80" s="81">
        <f>E72</f>
        <v>2810750.5907192379</v>
      </c>
      <c r="E80" s="153">
        <f>B80/AVERAGE(C80:D80)</f>
        <v>0.16843570575158473</v>
      </c>
      <c r="G80" s="6"/>
      <c r="H80" s="6"/>
      <c r="I80" s="6"/>
      <c r="J80" s="6"/>
      <c r="K80" s="6"/>
      <c r="L80" s="6"/>
    </row>
    <row r="81" spans="1:12">
      <c r="A81" s="155">
        <f>A82-1</f>
        <v>2022</v>
      </c>
      <c r="B81" s="158">
        <v>448080</v>
      </c>
      <c r="C81" s="81">
        <f t="shared" si="8"/>
        <v>2346706</v>
      </c>
      <c r="D81" s="81">
        <f>F72</f>
        <v>3713989.8680907656</v>
      </c>
      <c r="E81" s="153">
        <f>B81/AVERAGE(C81:D81)</f>
        <v>0.14786420891340774</v>
      </c>
      <c r="G81" s="6"/>
      <c r="H81" s="6"/>
      <c r="I81" s="6"/>
      <c r="J81" s="6"/>
      <c r="K81" s="6"/>
      <c r="L81" s="6"/>
    </row>
    <row r="82" spans="1:12">
      <c r="A82" s="154">
        <f>A71</f>
        <v>2023</v>
      </c>
      <c r="B82" s="159">
        <v>675994</v>
      </c>
      <c r="C82" s="84">
        <f t="shared" si="8"/>
        <v>3297712</v>
      </c>
      <c r="D82" s="84">
        <f>G72</f>
        <v>4711934.3429468945</v>
      </c>
      <c r="E82" s="160">
        <f>B82/AVERAGE(C82:D82)</f>
        <v>0.16879496823109158</v>
      </c>
      <c r="G82" s="6"/>
      <c r="H82" s="6"/>
      <c r="I82" s="6"/>
      <c r="J82" s="6"/>
      <c r="K82" s="6"/>
      <c r="L82" s="6"/>
    </row>
    <row r="83" spans="1:12">
      <c r="A83" s="67" t="s">
        <v>220</v>
      </c>
      <c r="B83" s="81">
        <f>SUM(B79:B82)</f>
        <v>1817074</v>
      </c>
      <c r="C83" s="81">
        <f>SUM(C79:C82)</f>
        <v>8388278</v>
      </c>
      <c r="D83" s="81">
        <f>SUM(D79:D82)</f>
        <v>13673712.20165238</v>
      </c>
      <c r="E83" s="153">
        <f>B83/AVERAGE(C83:D83)</f>
        <v>0.16472439552293033</v>
      </c>
      <c r="G83" s="6"/>
      <c r="H83" s="6"/>
      <c r="I83" s="6"/>
      <c r="J83" s="6"/>
      <c r="K83" s="6"/>
      <c r="L83" s="6"/>
    </row>
    <row r="85" spans="1:12">
      <c r="A85" s="5" t="s">
        <v>2</v>
      </c>
      <c r="B85" s="8" t="s">
        <v>198</v>
      </c>
      <c r="C85" s="4"/>
      <c r="D85" s="4"/>
      <c r="E85" s="4"/>
      <c r="F85" s="4"/>
      <c r="G85" s="4"/>
      <c r="H85" s="4"/>
      <c r="I85" s="4"/>
      <c r="J85" s="4"/>
      <c r="K85" s="4"/>
      <c r="L85" s="4"/>
    </row>
    <row r="86" spans="1:12">
      <c r="A86" s="6"/>
      <c r="B86" s="6"/>
      <c r="C86" s="6"/>
      <c r="D86" s="6"/>
      <c r="E86" s="6"/>
      <c r="F86" s="6"/>
      <c r="G86" s="6"/>
      <c r="H86" s="6"/>
      <c r="I86" s="6"/>
      <c r="J86" s="6"/>
      <c r="K86" s="6"/>
      <c r="L86" s="6"/>
    </row>
    <row r="87" spans="1:12">
      <c r="A87" s="6" t="s">
        <v>1</v>
      </c>
      <c r="B87" s="6"/>
      <c r="C87" s="6"/>
      <c r="D87" s="6"/>
      <c r="E87" s="6"/>
      <c r="F87" s="6"/>
      <c r="G87" s="6"/>
      <c r="H87" s="6"/>
      <c r="I87" s="6"/>
      <c r="J87" s="6"/>
      <c r="K87" s="6"/>
      <c r="L87" s="6"/>
    </row>
    <row r="88" spans="1:12">
      <c r="A88" s="6"/>
      <c r="B88" s="6"/>
      <c r="C88" s="6"/>
      <c r="D88" s="6"/>
      <c r="E88" s="6"/>
      <c r="F88" s="6"/>
      <c r="G88" s="6"/>
      <c r="H88" s="6"/>
      <c r="I88" s="6"/>
      <c r="J88" s="6"/>
      <c r="K88" s="6"/>
      <c r="L88" s="6"/>
    </row>
    <row r="89" spans="1:12">
      <c r="A89" s="6" t="s">
        <v>365</v>
      </c>
      <c r="B89" s="6"/>
      <c r="C89" s="6"/>
      <c r="D89" s="6"/>
      <c r="E89" s="6"/>
      <c r="F89" s="6"/>
      <c r="G89" s="6"/>
      <c r="H89" s="6"/>
      <c r="I89" s="6"/>
      <c r="J89" s="6"/>
      <c r="K89" s="6"/>
      <c r="L89" s="6"/>
    </row>
    <row r="91" spans="1:12">
      <c r="A91" s="32" t="s">
        <v>147</v>
      </c>
      <c r="B91" s="8"/>
      <c r="C91" s="8"/>
      <c r="D91" s="8"/>
      <c r="E91" s="8"/>
      <c r="F91" s="8"/>
      <c r="G91" s="8"/>
      <c r="H91" s="4"/>
      <c r="I91" s="4"/>
      <c r="J91" s="4"/>
      <c r="K91" s="4"/>
      <c r="L91" s="4"/>
    </row>
    <row r="92" spans="1:12">
      <c r="A92" s="8"/>
      <c r="B92" s="8"/>
      <c r="C92" s="8"/>
      <c r="D92" s="8"/>
      <c r="E92" s="8"/>
      <c r="F92" s="8"/>
      <c r="G92" s="8"/>
      <c r="H92" s="4"/>
      <c r="I92" s="4"/>
      <c r="J92" s="4"/>
      <c r="K92" s="4"/>
      <c r="L92" s="4"/>
    </row>
    <row r="93" spans="1:12">
      <c r="A93" s="8"/>
      <c r="B93" s="21" t="s">
        <v>199</v>
      </c>
      <c r="C93" s="8"/>
      <c r="D93" s="8"/>
      <c r="E93" s="8"/>
      <c r="F93" s="8"/>
      <c r="G93" s="8"/>
      <c r="H93" s="4"/>
      <c r="I93" s="4"/>
      <c r="J93" s="4"/>
      <c r="K93" s="4"/>
      <c r="L93" s="4"/>
    </row>
    <row r="94" spans="1:12">
      <c r="A94" s="8"/>
      <c r="B94" s="21" t="s">
        <v>148</v>
      </c>
      <c r="C94" s="8"/>
      <c r="D94" s="8"/>
      <c r="E94" s="35">
        <v>5750000</v>
      </c>
      <c r="F94" s="8"/>
      <c r="G94" s="8"/>
      <c r="H94" s="4"/>
      <c r="I94" s="4"/>
      <c r="J94" s="4"/>
      <c r="K94" s="4"/>
      <c r="L94" s="4"/>
    </row>
    <row r="95" spans="1:12">
      <c r="A95" s="8"/>
      <c r="B95" s="21" t="s">
        <v>149</v>
      </c>
      <c r="C95" s="8"/>
      <c r="D95" s="8"/>
      <c r="E95" s="35">
        <v>3250000</v>
      </c>
      <c r="F95" s="8"/>
      <c r="G95" s="8"/>
      <c r="H95" s="4"/>
      <c r="I95" s="4"/>
      <c r="J95" s="4"/>
      <c r="K95" s="4"/>
      <c r="L95" s="4"/>
    </row>
    <row r="97" spans="1:12">
      <c r="A97" s="5" t="s">
        <v>3</v>
      </c>
      <c r="B97" s="8" t="s">
        <v>150</v>
      </c>
      <c r="C97" s="4"/>
      <c r="D97" s="4"/>
      <c r="E97" s="4"/>
      <c r="F97" s="4"/>
      <c r="G97" s="4"/>
      <c r="H97" s="4"/>
      <c r="I97" s="4"/>
      <c r="J97" s="4"/>
      <c r="K97" s="4"/>
      <c r="L97" s="4"/>
    </row>
    <row r="98" spans="1:12">
      <c r="A98" s="6"/>
      <c r="B98" s="6"/>
      <c r="C98" s="6"/>
      <c r="D98" s="6"/>
      <c r="E98" s="6"/>
      <c r="F98" s="6"/>
      <c r="G98" s="6"/>
      <c r="H98" s="6"/>
      <c r="I98" s="6"/>
      <c r="J98" s="6"/>
      <c r="K98" s="6"/>
      <c r="L98" s="6"/>
    </row>
    <row r="99" spans="1:12">
      <c r="A99" s="6" t="s">
        <v>1</v>
      </c>
      <c r="B99" s="6"/>
      <c r="C99" s="6"/>
      <c r="D99" s="6"/>
      <c r="E99" s="6"/>
      <c r="F99" s="6"/>
      <c r="G99" s="6"/>
      <c r="H99" s="6"/>
      <c r="I99" s="6"/>
      <c r="J99" s="6"/>
      <c r="K99" s="6"/>
      <c r="L99" s="6"/>
    </row>
    <row r="100" spans="1:12">
      <c r="A100" s="6"/>
      <c r="B100" s="6"/>
      <c r="C100" s="6"/>
      <c r="D100" s="6"/>
      <c r="E100" s="6"/>
      <c r="F100" s="6"/>
      <c r="G100" s="6"/>
      <c r="H100" s="6"/>
      <c r="I100" s="6"/>
      <c r="J100" s="6"/>
      <c r="K100" s="6"/>
      <c r="L100" s="6"/>
    </row>
    <row r="101" spans="1:12">
      <c r="A101" s="163" t="s">
        <v>366</v>
      </c>
      <c r="B101" s="164"/>
      <c r="C101" s="164"/>
      <c r="D101" s="165">
        <v>0.3</v>
      </c>
      <c r="E101" s="6"/>
      <c r="F101" s="6"/>
      <c r="G101" s="6"/>
      <c r="H101" s="6"/>
      <c r="I101" s="6"/>
      <c r="J101" s="6"/>
      <c r="K101" s="6"/>
      <c r="L101" s="6"/>
    </row>
    <row r="102" spans="1:12" s="133" customFormat="1">
      <c r="A102" s="164"/>
      <c r="B102" s="164"/>
      <c r="C102" s="164"/>
      <c r="D102" s="164"/>
      <c r="E102" s="164"/>
      <c r="F102" s="164"/>
      <c r="G102" s="164"/>
      <c r="H102" s="164"/>
      <c r="I102" s="164"/>
      <c r="J102" s="164"/>
      <c r="K102" s="164"/>
      <c r="L102" s="164"/>
    </row>
    <row r="103" spans="1:12" s="133" customFormat="1">
      <c r="A103" s="164" t="str">
        <f>"IBNR = "&amp;TEXT(E94,"0,000")&amp;" - "&amp;TEXT(E95,"0,000")&amp;" ="</f>
        <v>IBNR = 5,750,000 - 3,250,000 =</v>
      </c>
      <c r="B103" s="164"/>
      <c r="C103" s="164"/>
      <c r="D103" s="166">
        <f>E94-E95</f>
        <v>2500000</v>
      </c>
      <c r="E103" s="164"/>
      <c r="F103" s="164"/>
      <c r="G103" s="164"/>
      <c r="H103" s="164"/>
      <c r="I103" s="164"/>
      <c r="J103" s="164"/>
      <c r="K103" s="164"/>
      <c r="L103" s="164"/>
    </row>
    <row r="104" spans="1:12" s="133" customFormat="1">
      <c r="A104" s="164"/>
      <c r="B104" s="164"/>
      <c r="C104" s="164"/>
      <c r="D104" s="164"/>
      <c r="E104" s="164"/>
      <c r="F104" s="164"/>
      <c r="G104" s="164"/>
      <c r="H104" s="164"/>
      <c r="I104" s="164"/>
      <c r="J104" s="164"/>
      <c r="K104" s="164"/>
      <c r="L104" s="164"/>
    </row>
    <row r="105" spans="1:12" s="133" customFormat="1">
      <c r="A105" s="133" t="str">
        <f>"Unpaid ULAE = "&amp;TEXT(100*E83,"0.0")&amp;"%×"&amp;TEXT(E95,"#,###")&amp;"×(1 – "&amp;TEXT(D101,"0.00")&amp;") + "&amp;TEXT(100*E83,"0.0")&amp;"%×"&amp;TEXT(D103,"#,###")&amp;" ="</f>
        <v>Unpaid ULAE = 16.5%×3,250,000×(1 – 0.30) + 16.5%×2,500,000 =</v>
      </c>
      <c r="F105" s="167">
        <f>E83*(E95*(1-D101)+D103)</f>
        <v>786558.98862199229</v>
      </c>
    </row>
    <row r="106" spans="1:12" s="133" customFormat="1"/>
    <row r="107" spans="1:12" s="133" customFormat="1"/>
  </sheetData>
  <mergeCells count="5">
    <mergeCell ref="A3:L4"/>
    <mergeCell ref="C30:C31"/>
    <mergeCell ref="C45:C46"/>
    <mergeCell ref="D45:D46"/>
    <mergeCell ref="B14:L15"/>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463CE-4D78-49DD-ABBD-E6BDDE8BDF77}">
  <dimension ref="A1:L4"/>
  <sheetViews>
    <sheetView zoomScaleNormal="100" workbookViewId="0"/>
  </sheetViews>
  <sheetFormatPr defaultRowHeight="15.6"/>
  <cols>
    <col min="1" max="6" width="8.88671875" style="1" customWidth="1"/>
    <col min="7" max="7" width="8.88671875" style="1"/>
    <col min="8" max="8" width="8.88671875" style="1" customWidth="1"/>
    <col min="9" max="16384" width="8.88671875" style="1"/>
  </cols>
  <sheetData>
    <row r="1" spans="1:12" ht="17.399999999999999">
      <c r="A1" s="2" t="s">
        <v>151</v>
      </c>
      <c r="B1" s="4"/>
      <c r="C1" s="8" t="s">
        <v>108</v>
      </c>
      <c r="D1" s="4"/>
      <c r="E1" s="4"/>
      <c r="F1" s="4"/>
      <c r="G1" s="4"/>
      <c r="H1" s="4"/>
      <c r="I1" s="4"/>
      <c r="J1" s="4"/>
      <c r="K1" s="4"/>
      <c r="L1" s="3"/>
    </row>
    <row r="2" spans="1:12">
      <c r="A2" s="4"/>
      <c r="B2" s="4"/>
      <c r="C2" s="4"/>
      <c r="D2" s="4"/>
      <c r="E2" s="4"/>
      <c r="F2" s="4"/>
      <c r="G2" s="4"/>
      <c r="H2" s="4"/>
      <c r="I2" s="4"/>
      <c r="J2" s="4"/>
      <c r="K2" s="4"/>
      <c r="L2" s="3"/>
    </row>
    <row r="3" spans="1:12" ht="16.2">
      <c r="A3" s="10" t="s">
        <v>152</v>
      </c>
      <c r="B3" s="4"/>
      <c r="C3" s="4"/>
      <c r="D3" s="4"/>
      <c r="E3" s="4"/>
      <c r="F3" s="4"/>
      <c r="G3" s="4"/>
      <c r="H3" s="8"/>
      <c r="I3" s="8"/>
      <c r="J3" s="8"/>
      <c r="K3" s="8"/>
      <c r="L3" s="8"/>
    </row>
    <row r="4" spans="1:12">
      <c r="A4" s="4"/>
      <c r="B4" s="4"/>
      <c r="C4" s="4"/>
      <c r="D4" s="4"/>
      <c r="E4" s="4"/>
      <c r="F4" s="4"/>
      <c r="G4" s="4"/>
      <c r="H4" s="8"/>
      <c r="I4" s="8"/>
      <c r="J4" s="8"/>
      <c r="K4" s="8"/>
      <c r="L4" s="8"/>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Question 1</vt:lpstr>
      <vt:lpstr>Question 2</vt:lpstr>
      <vt:lpstr>Question 3</vt:lpstr>
      <vt:lpstr>Question 4</vt:lpstr>
      <vt:lpstr>Question 5</vt:lpstr>
      <vt:lpstr>Question 6</vt:lpstr>
      <vt:lpstr>Question 7</vt:lpstr>
      <vt:lpstr>Question 8</vt:lpstr>
      <vt:lpstr>Question 9</vt:lpstr>
      <vt:lpstr>Question 10</vt:lpstr>
      <vt:lpstr>Question 11</vt:lpstr>
      <vt:lpstr>Question 12</vt:lpstr>
      <vt:lpstr>Question 13</vt:lpstr>
      <vt:lpstr>'Question 1'!OLE_LINK1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Scott Lennox</cp:lastModifiedBy>
  <cp:lastPrinted>2018-12-31T14:01:19Z</cp:lastPrinted>
  <dcterms:created xsi:type="dcterms:W3CDTF">2016-11-07T18:30:57Z</dcterms:created>
  <dcterms:modified xsi:type="dcterms:W3CDTF">2024-07-31T20:45:40Z</dcterms:modified>
</cp:coreProperties>
</file>