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Q:\Aleshia\Spring 2023 solutions\"/>
    </mc:Choice>
  </mc:AlternateContent>
  <xr:revisionPtr revIDLastSave="0" documentId="8_{39ADE155-0A42-40BC-9863-35E393E1D7C0}" xr6:coauthVersionLast="47" xr6:coauthVersionMax="47" xr10:uidLastSave="{00000000-0000-0000-0000-000000000000}"/>
  <bookViews>
    <workbookView xWindow="6195" yWindow="3480" windowWidth="14400" windowHeight="7545" tabRatio="784" xr2:uid="{00000000-000D-0000-FFFF-FFFF00000000}"/>
  </bookViews>
  <sheets>
    <sheet name="Question 1" sheetId="37" r:id="rId1"/>
    <sheet name="Question 2" sheetId="40" r:id="rId2"/>
    <sheet name="Question 3" sheetId="41" r:id="rId3"/>
    <sheet name="Question 4" sheetId="42" r:id="rId4"/>
    <sheet name="Question 5" sheetId="43" r:id="rId5"/>
    <sheet name="Question 6" sheetId="44" r:id="rId6"/>
    <sheet name="Question 7" sheetId="46" r:id="rId7"/>
    <sheet name="Question 8" sheetId="47" r:id="rId8"/>
    <sheet name="Question 9" sheetId="48" r:id="rId9"/>
    <sheet name="Question 10" sheetId="49" r:id="rId10"/>
    <sheet name="Question 11" sheetId="50" r:id="rId11"/>
    <sheet name="Question 12" sheetId="51" r:id="rId12"/>
    <sheet name="Question 13" sheetId="52" r:id="rId13"/>
    <sheet name="Question 14" sheetId="36" r:id="rId1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2" i="43" l="1"/>
  <c r="C51" i="43"/>
  <c r="C50" i="43"/>
  <c r="D51" i="43"/>
  <c r="C49" i="43"/>
  <c r="C48" i="43"/>
  <c r="D49" i="43"/>
  <c r="C47" i="43"/>
  <c r="D48" i="43"/>
  <c r="C46" i="43"/>
  <c r="D47" i="43"/>
  <c r="C45" i="43"/>
  <c r="D52" i="43"/>
  <c r="C42" i="42"/>
  <c r="D54" i="36"/>
  <c r="D53" i="36"/>
  <c r="D52" i="36"/>
  <c r="D51" i="36"/>
  <c r="D50" i="36"/>
  <c r="C55" i="36"/>
  <c r="E55" i="36"/>
  <c r="B55" i="36"/>
  <c r="B60" i="36"/>
  <c r="C54" i="36"/>
  <c r="C53" i="36"/>
  <c r="C52" i="36"/>
  <c r="C51" i="36"/>
  <c r="C50" i="36"/>
  <c r="B42" i="36"/>
  <c r="B47" i="36"/>
  <c r="D26" i="36"/>
  <c r="C26" i="36"/>
  <c r="B26" i="36"/>
  <c r="B25" i="36"/>
  <c r="B24" i="36"/>
  <c r="B23" i="36"/>
  <c r="B22" i="36"/>
  <c r="B21" i="36"/>
  <c r="D25" i="36"/>
  <c r="C25" i="36"/>
  <c r="D24" i="36"/>
  <c r="C24" i="36"/>
  <c r="D23" i="36"/>
  <c r="C23" i="36"/>
  <c r="D22" i="36"/>
  <c r="C22" i="36"/>
  <c r="D21" i="36"/>
  <c r="C21" i="36"/>
  <c r="D50" i="43"/>
  <c r="D46" i="43"/>
  <c r="B56" i="36"/>
  <c r="E54" i="36"/>
  <c r="B43" i="36"/>
  <c r="B41" i="36"/>
  <c r="B40" i="36"/>
  <c r="B39" i="36"/>
  <c r="B38" i="36"/>
  <c r="B37" i="36"/>
  <c r="B54" i="36"/>
  <c r="B53" i="36"/>
  <c r="B52" i="36"/>
  <c r="B51" i="36"/>
  <c r="B50" i="36"/>
  <c r="E26" i="36"/>
  <c r="D42" i="36"/>
  <c r="E24" i="36"/>
  <c r="E21" i="36"/>
  <c r="E25" i="36"/>
  <c r="E22" i="36"/>
  <c r="E23" i="36"/>
  <c r="F23" i="36"/>
  <c r="E53" i="36"/>
  <c r="F26" i="36"/>
  <c r="F22" i="36"/>
  <c r="F24" i="36"/>
  <c r="F27" i="36"/>
  <c r="F29" i="36"/>
  <c r="F25" i="36"/>
  <c r="C41" i="36"/>
  <c r="E52" i="36"/>
  <c r="E58" i="36"/>
  <c r="E60" i="36"/>
  <c r="C40" i="36"/>
  <c r="D41" i="36"/>
  <c r="F52" i="36"/>
  <c r="F53" i="36"/>
  <c r="F51" i="36"/>
  <c r="F55" i="36"/>
  <c r="F54" i="36"/>
  <c r="E50" i="36"/>
  <c r="E57" i="36"/>
  <c r="E51" i="36"/>
  <c r="E59" i="36"/>
  <c r="C39" i="36"/>
  <c r="D40" i="36"/>
  <c r="F50" i="36"/>
  <c r="C38" i="36"/>
  <c r="D39" i="36"/>
  <c r="D45" i="36"/>
  <c r="C37" i="36"/>
  <c r="D37" i="36"/>
  <c r="D38" i="36"/>
  <c r="D46" i="36"/>
  <c r="D47" i="36"/>
  <c r="D44" i="36"/>
  <c r="E41" i="36"/>
  <c r="G54" i="36"/>
  <c r="E39" i="36"/>
  <c r="G52" i="36"/>
  <c r="E37" i="36"/>
  <c r="G50" i="36"/>
  <c r="E40" i="36"/>
  <c r="G53" i="36"/>
  <c r="E38" i="36"/>
  <c r="G51" i="36"/>
  <c r="E42" i="36"/>
  <c r="G55" i="36"/>
  <c r="G56" i="36"/>
  <c r="D126" i="52"/>
  <c r="E126" i="52"/>
  <c r="F126" i="52"/>
  <c r="G126" i="52"/>
  <c r="C123" i="52"/>
  <c r="D122" i="52"/>
  <c r="C122" i="52"/>
  <c r="B122" i="52"/>
  <c r="B131" i="52"/>
  <c r="E121" i="52"/>
  <c r="E129" i="52"/>
  <c r="D121" i="52"/>
  <c r="D129" i="52"/>
  <c r="C121" i="52"/>
  <c r="F120" i="52"/>
  <c r="E120" i="52"/>
  <c r="D120" i="52"/>
  <c r="C120" i="52"/>
  <c r="C128" i="52"/>
  <c r="G119" i="52"/>
  <c r="F119" i="52"/>
  <c r="F127" i="52"/>
  <c r="E119" i="52"/>
  <c r="D119" i="52"/>
  <c r="C119" i="52"/>
  <c r="H118" i="52"/>
  <c r="G118" i="52"/>
  <c r="F118" i="52"/>
  <c r="E118" i="52"/>
  <c r="D118" i="52"/>
  <c r="C118" i="52"/>
  <c r="D117" i="52"/>
  <c r="E117" i="52"/>
  <c r="F117" i="52"/>
  <c r="G117" i="52"/>
  <c r="H117" i="52"/>
  <c r="D81" i="52"/>
  <c r="E81" i="52"/>
  <c r="F81" i="52"/>
  <c r="G81" i="52"/>
  <c r="C78" i="52"/>
  <c r="D77" i="52"/>
  <c r="C77" i="52"/>
  <c r="B77" i="52"/>
  <c r="B86" i="52"/>
  <c r="E76" i="52"/>
  <c r="D76" i="52"/>
  <c r="C76" i="52"/>
  <c r="F75" i="52"/>
  <c r="E75" i="52"/>
  <c r="D75" i="52"/>
  <c r="C75" i="52"/>
  <c r="G74" i="52"/>
  <c r="F74" i="52"/>
  <c r="E74" i="52"/>
  <c r="D74" i="52"/>
  <c r="C74" i="52"/>
  <c r="H73" i="52"/>
  <c r="G73" i="52"/>
  <c r="F73" i="52"/>
  <c r="E73" i="52"/>
  <c r="D73" i="52"/>
  <c r="C73" i="52"/>
  <c r="D72" i="52"/>
  <c r="E72" i="52"/>
  <c r="F72" i="52"/>
  <c r="G72" i="52"/>
  <c r="H72" i="52"/>
  <c r="D63" i="52"/>
  <c r="E63" i="52"/>
  <c r="F63" i="52"/>
  <c r="G63" i="52"/>
  <c r="C60" i="52"/>
  <c r="D59" i="52"/>
  <c r="C59" i="52"/>
  <c r="B59" i="52"/>
  <c r="B68" i="52"/>
  <c r="E58" i="52"/>
  <c r="D58" i="52"/>
  <c r="C58" i="52"/>
  <c r="F57" i="52"/>
  <c r="E57" i="52"/>
  <c r="D57" i="52"/>
  <c r="C57" i="52"/>
  <c r="G56" i="52"/>
  <c r="F56" i="52"/>
  <c r="E56" i="52"/>
  <c r="D56" i="52"/>
  <c r="C56" i="52"/>
  <c r="H55" i="52"/>
  <c r="G55" i="52"/>
  <c r="F55" i="52"/>
  <c r="E55" i="52"/>
  <c r="D55" i="52"/>
  <c r="C55" i="52"/>
  <c r="D54" i="52"/>
  <c r="E54" i="52"/>
  <c r="F54" i="52"/>
  <c r="G54" i="52"/>
  <c r="H54" i="52"/>
  <c r="E127" i="52"/>
  <c r="C130" i="52"/>
  <c r="D67" i="52"/>
  <c r="D128" i="52"/>
  <c r="D130" i="52"/>
  <c r="E65" i="52"/>
  <c r="E83" i="52"/>
  <c r="E128" i="52"/>
  <c r="C131" i="52"/>
  <c r="C64" i="52"/>
  <c r="C127" i="52"/>
  <c r="D127" i="52"/>
  <c r="B121" i="52"/>
  <c r="B120" i="52"/>
  <c r="B129" i="52"/>
  <c r="C129" i="52"/>
  <c r="F82" i="52"/>
  <c r="C65" i="52"/>
  <c r="C67" i="52"/>
  <c r="C85" i="52"/>
  <c r="D65" i="52"/>
  <c r="D83" i="52"/>
  <c r="D85" i="52"/>
  <c r="C82" i="52"/>
  <c r="F83" i="52"/>
  <c r="B76" i="52"/>
  <c r="B85" i="52"/>
  <c r="E82" i="52"/>
  <c r="C84" i="52"/>
  <c r="C86" i="52"/>
  <c r="D64" i="52"/>
  <c r="C66" i="52"/>
  <c r="D82" i="52"/>
  <c r="D84" i="52"/>
  <c r="E64" i="52"/>
  <c r="D66" i="52"/>
  <c r="G82" i="52"/>
  <c r="E84" i="52"/>
  <c r="F64" i="52"/>
  <c r="E66" i="52"/>
  <c r="C83" i="52"/>
  <c r="C68" i="52"/>
  <c r="B58" i="52"/>
  <c r="B75" i="52"/>
  <c r="B130" i="52"/>
  <c r="B119" i="52"/>
  <c r="B128" i="52"/>
  <c r="B84" i="52"/>
  <c r="B74" i="52"/>
  <c r="B57" i="52"/>
  <c r="B67" i="52"/>
  <c r="B118" i="52"/>
  <c r="B127" i="52"/>
  <c r="B56" i="52"/>
  <c r="B66" i="52"/>
  <c r="B73" i="52"/>
  <c r="B82" i="52"/>
  <c r="B83" i="52"/>
  <c r="B65" i="52"/>
  <c r="B55" i="52"/>
  <c r="B64" i="52"/>
  <c r="C63" i="51"/>
  <c r="D63" i="51"/>
  <c r="C62" i="51"/>
  <c r="C61" i="51"/>
  <c r="C60" i="51"/>
  <c r="D60" i="51"/>
  <c r="C59" i="51"/>
  <c r="C58" i="51"/>
  <c r="G31" i="51"/>
  <c r="E31" i="51"/>
  <c r="D31" i="51"/>
  <c r="C31" i="51"/>
  <c r="B31" i="51"/>
  <c r="B30" i="51"/>
  <c r="B29" i="51"/>
  <c r="B28" i="51"/>
  <c r="B27" i="51"/>
  <c r="B26" i="51"/>
  <c r="G30" i="51"/>
  <c r="E30" i="51"/>
  <c r="D30" i="51"/>
  <c r="C30" i="51"/>
  <c r="G29" i="51"/>
  <c r="E29" i="51"/>
  <c r="D29" i="51"/>
  <c r="C29" i="51"/>
  <c r="G28" i="51"/>
  <c r="E28" i="51"/>
  <c r="D28" i="51"/>
  <c r="C28" i="51"/>
  <c r="G27" i="51"/>
  <c r="E27" i="51"/>
  <c r="D27" i="51"/>
  <c r="C27" i="51"/>
  <c r="G26" i="51"/>
  <c r="E26" i="51"/>
  <c r="D26" i="51"/>
  <c r="C26" i="51"/>
  <c r="E21" i="51"/>
  <c r="F30" i="51"/>
  <c r="F29" i="51"/>
  <c r="B21" i="51"/>
  <c r="E83" i="51"/>
  <c r="C74" i="51"/>
  <c r="D59" i="51"/>
  <c r="C70" i="51"/>
  <c r="C71" i="51"/>
  <c r="D61" i="51"/>
  <c r="C72" i="51"/>
  <c r="D62" i="51"/>
  <c r="C73" i="51"/>
  <c r="D58" i="51"/>
  <c r="H30" i="51"/>
  <c r="I30" i="51"/>
  <c r="H29" i="51"/>
  <c r="F28" i="51"/>
  <c r="I29" i="51"/>
  <c r="C69" i="51"/>
  <c r="F27" i="51"/>
  <c r="H28" i="51"/>
  <c r="H37" i="51"/>
  <c r="I28" i="51"/>
  <c r="I37" i="51"/>
  <c r="H27" i="51"/>
  <c r="F26" i="51"/>
  <c r="I27" i="51"/>
  <c r="H39" i="51"/>
  <c r="J30" i="51"/>
  <c r="K30" i="51"/>
  <c r="J26" i="51"/>
  <c r="K26" i="51"/>
  <c r="J31" i="51"/>
  <c r="K31" i="51"/>
  <c r="J28" i="51"/>
  <c r="K28" i="51"/>
  <c r="J29" i="51"/>
  <c r="K29" i="51"/>
  <c r="J27" i="51"/>
  <c r="K27" i="51"/>
  <c r="I26" i="51"/>
  <c r="H26" i="51"/>
  <c r="E61" i="51"/>
  <c r="D72" i="51"/>
  <c r="E72" i="51"/>
  <c r="E60" i="51"/>
  <c r="D71" i="51"/>
  <c r="E71" i="51"/>
  <c r="E63" i="51"/>
  <c r="D74" i="51"/>
  <c r="E74" i="51"/>
  <c r="E59" i="51"/>
  <c r="D70" i="51"/>
  <c r="E70" i="51"/>
  <c r="E58" i="51"/>
  <c r="D69" i="51"/>
  <c r="E69" i="51"/>
  <c r="E62" i="51"/>
  <c r="D73" i="51"/>
  <c r="E73" i="51"/>
  <c r="I36" i="51"/>
  <c r="I35" i="51"/>
  <c r="I34" i="51"/>
  <c r="H34" i="51"/>
  <c r="H36" i="51"/>
  <c r="H35" i="51"/>
  <c r="E75" i="51"/>
  <c r="E82" i="51"/>
  <c r="E84" i="51"/>
  <c r="G82" i="50"/>
  <c r="F83" i="50"/>
  <c r="F82" i="50"/>
  <c r="E84" i="50"/>
  <c r="E83" i="50"/>
  <c r="E82" i="50"/>
  <c r="D85" i="50"/>
  <c r="D84" i="50"/>
  <c r="D83" i="50"/>
  <c r="D82" i="50"/>
  <c r="C85" i="50"/>
  <c r="C84" i="50"/>
  <c r="C83" i="50"/>
  <c r="C82" i="50"/>
  <c r="C86" i="50"/>
  <c r="C95" i="50"/>
  <c r="H82" i="50"/>
  <c r="G83" i="50"/>
  <c r="F84" i="50"/>
  <c r="E85" i="50"/>
  <c r="D86" i="50"/>
  <c r="C87" i="50"/>
  <c r="C78" i="50"/>
  <c r="C96" i="50"/>
  <c r="D77" i="50"/>
  <c r="C77" i="50"/>
  <c r="E76" i="50"/>
  <c r="E94" i="50"/>
  <c r="D76" i="50"/>
  <c r="C76" i="50"/>
  <c r="F75" i="50"/>
  <c r="E75" i="50"/>
  <c r="D75" i="50"/>
  <c r="C75" i="50"/>
  <c r="G74" i="50"/>
  <c r="F74" i="50"/>
  <c r="E74" i="50"/>
  <c r="D74" i="50"/>
  <c r="C74" i="50"/>
  <c r="H73" i="50"/>
  <c r="G73" i="50"/>
  <c r="F73" i="50"/>
  <c r="E73" i="50"/>
  <c r="D73" i="50"/>
  <c r="C73" i="50"/>
  <c r="D90" i="50"/>
  <c r="E90" i="50"/>
  <c r="F90" i="50"/>
  <c r="G90" i="50"/>
  <c r="H90" i="50"/>
  <c r="D81" i="50"/>
  <c r="E81" i="50"/>
  <c r="F81" i="50"/>
  <c r="G81" i="50"/>
  <c r="H81" i="50"/>
  <c r="D95" i="50"/>
  <c r="D94" i="50"/>
  <c r="F93" i="50"/>
  <c r="G92" i="50"/>
  <c r="F92" i="50"/>
  <c r="D72" i="50"/>
  <c r="E72" i="50"/>
  <c r="F72" i="50"/>
  <c r="G72" i="50"/>
  <c r="H72" i="50"/>
  <c r="H69" i="50"/>
  <c r="G69" i="50"/>
  <c r="F69" i="50"/>
  <c r="E69" i="50"/>
  <c r="D69" i="50"/>
  <c r="C69" i="50"/>
  <c r="E68" i="50"/>
  <c r="F68" i="50"/>
  <c r="G68" i="50"/>
  <c r="H68" i="50"/>
  <c r="D68" i="50"/>
  <c r="C39" i="50"/>
  <c r="D38" i="50"/>
  <c r="C38" i="50"/>
  <c r="E37" i="50"/>
  <c r="D37" i="50"/>
  <c r="D49" i="50"/>
  <c r="C37" i="50"/>
  <c r="F36" i="50"/>
  <c r="E36" i="50"/>
  <c r="D36" i="50"/>
  <c r="C36" i="50"/>
  <c r="G35" i="50"/>
  <c r="F35" i="50"/>
  <c r="E35" i="50"/>
  <c r="D35" i="50"/>
  <c r="C35" i="50"/>
  <c r="H34" i="50"/>
  <c r="G34" i="50"/>
  <c r="F34" i="50"/>
  <c r="E34" i="50"/>
  <c r="D34" i="50"/>
  <c r="C34" i="50"/>
  <c r="B50" i="50"/>
  <c r="B49" i="50"/>
  <c r="B48" i="50"/>
  <c r="B47" i="50"/>
  <c r="B46" i="50"/>
  <c r="D45" i="50"/>
  <c r="E45" i="50"/>
  <c r="F45" i="50"/>
  <c r="G45" i="50"/>
  <c r="D33" i="50"/>
  <c r="E33" i="50"/>
  <c r="F33" i="50"/>
  <c r="G33" i="50"/>
  <c r="H33" i="50"/>
  <c r="C94" i="50"/>
  <c r="D92" i="50"/>
  <c r="E93" i="50"/>
  <c r="D93" i="50"/>
  <c r="E46" i="50"/>
  <c r="C48" i="50"/>
  <c r="C50" i="50"/>
  <c r="D47" i="50"/>
  <c r="F46" i="50"/>
  <c r="E48" i="50"/>
  <c r="C49" i="50"/>
  <c r="C47" i="50"/>
  <c r="G46" i="50"/>
  <c r="F47" i="50"/>
  <c r="C46" i="50"/>
  <c r="D46" i="50"/>
  <c r="D48" i="50"/>
  <c r="E47" i="50"/>
  <c r="E92" i="50"/>
  <c r="C92" i="50"/>
  <c r="C93" i="50"/>
  <c r="E45" i="49"/>
  <c r="E44" i="49"/>
  <c r="E42" i="49"/>
  <c r="E46" i="49"/>
  <c r="E62" i="48"/>
  <c r="E61" i="48"/>
  <c r="D64" i="48"/>
  <c r="D63" i="48"/>
  <c r="D62" i="48"/>
  <c r="D61" i="48"/>
  <c r="C64" i="48"/>
  <c r="C63" i="48"/>
  <c r="C62" i="48"/>
  <c r="C61" i="48"/>
  <c r="B55" i="48"/>
  <c r="B54" i="48"/>
  <c r="B53" i="48"/>
  <c r="B52" i="48"/>
  <c r="B51" i="48"/>
  <c r="B50" i="48"/>
  <c r="C55" i="48"/>
  <c r="C54" i="48"/>
  <c r="C53" i="48"/>
  <c r="C52" i="48"/>
  <c r="C51" i="48"/>
  <c r="C50" i="48"/>
  <c r="H44" i="48"/>
  <c r="H45" i="48"/>
  <c r="G44" i="48"/>
  <c r="G45" i="48"/>
  <c r="F44" i="48"/>
  <c r="F45" i="48"/>
  <c r="E44" i="48"/>
  <c r="E45" i="48"/>
  <c r="D44" i="48"/>
  <c r="D45" i="48"/>
  <c r="D46" i="48"/>
  <c r="B64" i="48"/>
  <c r="E43" i="48"/>
  <c r="F43" i="48"/>
  <c r="G43" i="48"/>
  <c r="H43" i="48"/>
  <c r="F62" i="48"/>
  <c r="D54" i="48"/>
  <c r="F46" i="48"/>
  <c r="D52" i="48"/>
  <c r="G46" i="48"/>
  <c r="E52" i="48"/>
  <c r="D65" i="48"/>
  <c r="H46" i="48"/>
  <c r="E51" i="48"/>
  <c r="E55" i="48"/>
  <c r="C65" i="48"/>
  <c r="E46" i="48"/>
  <c r="E54" i="48"/>
  <c r="F61" i="48"/>
  <c r="D50" i="48"/>
  <c r="E53" i="48"/>
  <c r="E56" i="48"/>
  <c r="E64" i="48"/>
  <c r="F64" i="48"/>
  <c r="D51" i="48"/>
  <c r="B63" i="48"/>
  <c r="D53" i="48"/>
  <c r="D56" i="48"/>
  <c r="E63" i="48"/>
  <c r="F63" i="48"/>
  <c r="D70" i="48"/>
  <c r="B62" i="48"/>
  <c r="D84" i="48"/>
  <c r="E65" i="48"/>
  <c r="F65" i="48"/>
  <c r="B61" i="48"/>
  <c r="I31" i="47"/>
  <c r="I32" i="47"/>
  <c r="I30" i="47"/>
  <c r="I33" i="47"/>
  <c r="I34" i="47"/>
  <c r="I35" i="47"/>
  <c r="I36" i="47"/>
  <c r="H33" i="44"/>
  <c r="H32" i="44"/>
  <c r="H34" i="44"/>
  <c r="H35" i="44"/>
  <c r="G36" i="44"/>
  <c r="G35" i="44"/>
  <c r="G34" i="44"/>
  <c r="G33" i="44"/>
  <c r="G32" i="44"/>
  <c r="F37" i="44"/>
  <c r="I37" i="44"/>
  <c r="C37" i="44"/>
  <c r="D37" i="44"/>
  <c r="B37" i="44"/>
  <c r="A37" i="44"/>
  <c r="F36" i="44"/>
  <c r="C36" i="44"/>
  <c r="D36" i="44"/>
  <c r="B36" i="44"/>
  <c r="A36" i="44"/>
  <c r="F35" i="44"/>
  <c r="C35" i="44"/>
  <c r="D35" i="44"/>
  <c r="B35" i="44"/>
  <c r="A35" i="44"/>
  <c r="F34" i="44"/>
  <c r="C34" i="44"/>
  <c r="D34" i="44"/>
  <c r="B34" i="44"/>
  <c r="A34" i="44"/>
  <c r="F33" i="44"/>
  <c r="C33" i="44"/>
  <c r="D33" i="44"/>
  <c r="B33" i="44"/>
  <c r="A33" i="44"/>
  <c r="F32" i="44"/>
  <c r="C32" i="44"/>
  <c r="D32" i="44"/>
  <c r="B32" i="44"/>
  <c r="A32" i="44"/>
  <c r="E119" i="43"/>
  <c r="E120" i="43"/>
  <c r="F90" i="43"/>
  <c r="F89" i="43"/>
  <c r="E97" i="43"/>
  <c r="E96" i="43"/>
  <c r="E95" i="43"/>
  <c r="E94" i="43"/>
  <c r="E93" i="43"/>
  <c r="E86" i="43"/>
  <c r="E85" i="43"/>
  <c r="H97" i="43"/>
  <c r="H96" i="43"/>
  <c r="H95" i="43"/>
  <c r="H94" i="43"/>
  <c r="H93" i="43"/>
  <c r="C97" i="43"/>
  <c r="B97" i="43"/>
  <c r="E82" i="43"/>
  <c r="C96" i="43"/>
  <c r="B96" i="43"/>
  <c r="C95" i="43"/>
  <c r="B95" i="43"/>
  <c r="C94" i="43"/>
  <c r="B94" i="43"/>
  <c r="C93" i="43"/>
  <c r="B93" i="43"/>
  <c r="B25" i="43"/>
  <c r="B46" i="43"/>
  <c r="B26" i="43"/>
  <c r="B47" i="43"/>
  <c r="B27" i="43"/>
  <c r="B48" i="43"/>
  <c r="B28" i="43"/>
  <c r="B49" i="43"/>
  <c r="B29" i="43"/>
  <c r="B50" i="43"/>
  <c r="B30" i="43"/>
  <c r="B51" i="43"/>
  <c r="B31" i="43"/>
  <c r="B52" i="43"/>
  <c r="B24" i="43"/>
  <c r="B45" i="43"/>
  <c r="C31" i="43"/>
  <c r="C30" i="43"/>
  <c r="C29" i="43"/>
  <c r="C28" i="43"/>
  <c r="C27" i="43"/>
  <c r="C26" i="43"/>
  <c r="C25" i="43"/>
  <c r="C24" i="43"/>
  <c r="A25" i="42"/>
  <c r="E33" i="44"/>
  <c r="E36" i="44"/>
  <c r="E34" i="44"/>
  <c r="E32" i="44"/>
  <c r="E37" i="44"/>
  <c r="E35" i="44"/>
  <c r="I36" i="44"/>
  <c r="I34" i="44"/>
  <c r="F38" i="44"/>
  <c r="I35" i="44"/>
  <c r="D30" i="43"/>
  <c r="D31" i="43"/>
  <c r="F86" i="43"/>
  <c r="F85" i="43"/>
  <c r="D29" i="43"/>
  <c r="D27" i="43"/>
  <c r="D28" i="43"/>
  <c r="D26" i="43"/>
  <c r="D25" i="43"/>
  <c r="B38" i="42"/>
  <c r="B37" i="42"/>
  <c r="C37" i="42"/>
  <c r="B36" i="42"/>
  <c r="C36" i="42"/>
  <c r="B35" i="42"/>
  <c r="C35" i="42"/>
  <c r="B34" i="42"/>
  <c r="C34" i="42"/>
  <c r="D25" i="42"/>
  <c r="D27" i="42"/>
  <c r="D24" i="42"/>
  <c r="D23" i="42"/>
  <c r="D22" i="42"/>
  <c r="D21" i="42"/>
  <c r="B25" i="42"/>
  <c r="C25" i="42"/>
  <c r="C27" i="42"/>
  <c r="B24" i="42"/>
  <c r="C24" i="42"/>
  <c r="B23" i="42"/>
  <c r="C23" i="42"/>
  <c r="B22" i="42"/>
  <c r="C22" i="42"/>
  <c r="B21" i="42"/>
  <c r="C21" i="42"/>
  <c r="A24" i="42"/>
  <c r="A37" i="42"/>
  <c r="A23" i="42"/>
  <c r="A36" i="42"/>
  <c r="A22" i="42"/>
  <c r="A35" i="42"/>
  <c r="A21" i="42"/>
  <c r="A34" i="42"/>
  <c r="A38" i="42"/>
  <c r="B69" i="41"/>
  <c r="B68" i="41"/>
  <c r="B67" i="41"/>
  <c r="B66" i="41"/>
  <c r="B65" i="41"/>
  <c r="B64" i="41"/>
  <c r="B63" i="41"/>
  <c r="D62" i="41"/>
  <c r="L57" i="41"/>
  <c r="L56" i="41"/>
  <c r="M55" i="41"/>
  <c r="L55" i="41"/>
  <c r="N55" i="41"/>
  <c r="H55" i="41"/>
  <c r="H57" i="41"/>
  <c r="M56" i="41"/>
  <c r="N56" i="41"/>
  <c r="G55" i="41"/>
  <c r="G57" i="41"/>
  <c r="F55" i="41"/>
  <c r="F57" i="41"/>
  <c r="E55" i="41"/>
  <c r="E57" i="41"/>
  <c r="D55" i="41"/>
  <c r="D57" i="41"/>
  <c r="C55" i="41"/>
  <c r="C57" i="41"/>
  <c r="H54" i="41"/>
  <c r="G54" i="41"/>
  <c r="F54" i="41"/>
  <c r="E54" i="41"/>
  <c r="D54" i="41"/>
  <c r="C54" i="41"/>
  <c r="H53" i="41"/>
  <c r="G53" i="41"/>
  <c r="F53" i="41"/>
  <c r="E53" i="41"/>
  <c r="D53" i="41"/>
  <c r="C53" i="41"/>
  <c r="C49" i="41"/>
  <c r="D48" i="41"/>
  <c r="C48" i="41"/>
  <c r="E47" i="41"/>
  <c r="D47" i="41"/>
  <c r="C47" i="41"/>
  <c r="F46" i="41"/>
  <c r="E46" i="41"/>
  <c r="D46" i="41"/>
  <c r="C46" i="41"/>
  <c r="G45" i="41"/>
  <c r="F45" i="41"/>
  <c r="E45" i="41"/>
  <c r="D45" i="41"/>
  <c r="C45" i="41"/>
  <c r="H44" i="41"/>
  <c r="H51" i="41"/>
  <c r="G44" i="41"/>
  <c r="F44" i="41"/>
  <c r="E44" i="41"/>
  <c r="D44" i="41"/>
  <c r="C44" i="41"/>
  <c r="I43" i="41"/>
  <c r="E38" i="44"/>
  <c r="I33" i="44"/>
  <c r="I32" i="44"/>
  <c r="F87" i="43"/>
  <c r="D97" i="43"/>
  <c r="I97" i="43"/>
  <c r="J97" i="43"/>
  <c r="D33" i="43"/>
  <c r="D32" i="43"/>
  <c r="C38" i="42"/>
  <c r="C40" i="42"/>
  <c r="C46" i="42"/>
  <c r="E27" i="42"/>
  <c r="F51" i="41"/>
  <c r="D52" i="41"/>
  <c r="C52" i="41"/>
  <c r="C51" i="41"/>
  <c r="D51" i="41"/>
  <c r="F52" i="41"/>
  <c r="G52" i="41"/>
  <c r="E52" i="41"/>
  <c r="G51" i="41"/>
  <c r="H52" i="41"/>
  <c r="E51" i="41"/>
  <c r="M57" i="41"/>
  <c r="N57" i="41"/>
  <c r="N58" i="41"/>
  <c r="I57" i="41"/>
  <c r="I58" i="41"/>
  <c r="B70" i="41"/>
  <c r="E111" i="40"/>
  <c r="E93" i="40"/>
  <c r="D93" i="40"/>
  <c r="C93" i="40"/>
  <c r="B93" i="40"/>
  <c r="D94" i="40"/>
  <c r="C95" i="40"/>
  <c r="C94" i="40"/>
  <c r="B96" i="40"/>
  <c r="B95" i="40"/>
  <c r="B94" i="40"/>
  <c r="F92" i="40"/>
  <c r="E92" i="40"/>
  <c r="D92" i="40"/>
  <c r="C92" i="40"/>
  <c r="B92" i="40"/>
  <c r="G91" i="40"/>
  <c r="F91" i="40"/>
  <c r="E91" i="40"/>
  <c r="D91" i="40"/>
  <c r="C91" i="40"/>
  <c r="B91" i="40"/>
  <c r="B87" i="40"/>
  <c r="C86" i="40"/>
  <c r="B86" i="40"/>
  <c r="D85" i="40"/>
  <c r="C85" i="40"/>
  <c r="B85" i="40"/>
  <c r="F83" i="40"/>
  <c r="E83" i="40"/>
  <c r="D83" i="40"/>
  <c r="C83" i="40"/>
  <c r="B83" i="40"/>
  <c r="G82" i="40"/>
  <c r="F82" i="40"/>
  <c r="E82" i="40"/>
  <c r="D82" i="40"/>
  <c r="C82" i="40"/>
  <c r="B82" i="40"/>
  <c r="D76" i="40"/>
  <c r="E76" i="40"/>
  <c r="F76" i="40"/>
  <c r="G76" i="40"/>
  <c r="E75" i="40"/>
  <c r="F75" i="40"/>
  <c r="G75" i="40"/>
  <c r="D70" i="40"/>
  <c r="E69" i="40"/>
  <c r="F69" i="40"/>
  <c r="G69" i="40"/>
  <c r="E68" i="40"/>
  <c r="F68" i="40"/>
  <c r="I38" i="44"/>
  <c r="F97" i="43"/>
  <c r="G97" i="43"/>
  <c r="K97" i="43"/>
  <c r="D96" i="43"/>
  <c r="I96" i="43"/>
  <c r="J96" i="43"/>
  <c r="H58" i="41"/>
  <c r="C63" i="41"/>
  <c r="D63" i="41"/>
  <c r="E70" i="40"/>
  <c r="D77" i="40"/>
  <c r="B84" i="40"/>
  <c r="E77" i="40"/>
  <c r="G68" i="40"/>
  <c r="G70" i="40"/>
  <c r="E84" i="40"/>
  <c r="E113" i="40"/>
  <c r="F70" i="40"/>
  <c r="G77" i="40"/>
  <c r="F77" i="40"/>
  <c r="I40" i="44"/>
  <c r="F96" i="43"/>
  <c r="G96" i="43"/>
  <c r="K96" i="43"/>
  <c r="D95" i="43"/>
  <c r="F95" i="43"/>
  <c r="G95" i="43"/>
  <c r="G58" i="41"/>
  <c r="C64" i="41"/>
  <c r="D64" i="41"/>
  <c r="D84" i="40"/>
  <c r="E114" i="40"/>
  <c r="E115" i="40"/>
  <c r="C84" i="40"/>
  <c r="J37" i="44"/>
  <c r="K37" i="44"/>
  <c r="J36" i="44"/>
  <c r="K36" i="44"/>
  <c r="J33" i="44"/>
  <c r="K33" i="44"/>
  <c r="J35" i="44"/>
  <c r="K35" i="44"/>
  <c r="J32" i="44"/>
  <c r="J34" i="44"/>
  <c r="K34" i="44"/>
  <c r="I95" i="43"/>
  <c r="J95" i="43"/>
  <c r="K95" i="43"/>
  <c r="K99" i="43"/>
  <c r="K100" i="43"/>
  <c r="D103" i="43"/>
  <c r="D94" i="43"/>
  <c r="I94" i="43"/>
  <c r="J94" i="43"/>
  <c r="F58" i="41"/>
  <c r="C65" i="41"/>
  <c r="D65" i="41"/>
  <c r="C49" i="37"/>
  <c r="C35" i="37"/>
  <c r="C34" i="37"/>
  <c r="C50" i="37"/>
  <c r="E44" i="37"/>
  <c r="D51" i="37"/>
  <c r="D50" i="37"/>
  <c r="D49" i="37"/>
  <c r="D34" i="37"/>
  <c r="D33" i="37"/>
  <c r="Q42" i="37"/>
  <c r="U42" i="37"/>
  <c r="Y42" i="37"/>
  <c r="E28" i="37"/>
  <c r="E29" i="37"/>
  <c r="Q26" i="37"/>
  <c r="U26" i="37"/>
  <c r="Y26" i="37"/>
  <c r="J38" i="44"/>
  <c r="K32" i="44"/>
  <c r="K38" i="44"/>
  <c r="D93" i="43"/>
  <c r="F93" i="43"/>
  <c r="F94" i="43"/>
  <c r="G94" i="43"/>
  <c r="K94" i="43"/>
  <c r="C66" i="41"/>
  <c r="D66" i="41"/>
  <c r="E58" i="41"/>
  <c r="C36" i="37"/>
  <c r="C51" i="37"/>
  <c r="D52" i="37"/>
  <c r="D35" i="37"/>
  <c r="D36" i="37"/>
  <c r="I93" i="43"/>
  <c r="J93" i="43"/>
  <c r="G93" i="43"/>
  <c r="C67" i="41"/>
  <c r="D67" i="41"/>
  <c r="D58" i="41"/>
  <c r="C52" i="37"/>
  <c r="D54" i="37"/>
  <c r="C37" i="37"/>
  <c r="C53" i="37"/>
  <c r="D55" i="37"/>
  <c r="D56" i="37"/>
  <c r="D38" i="37"/>
  <c r="D39" i="37"/>
  <c r="D40" i="37"/>
  <c r="K93" i="43"/>
  <c r="K98" i="43"/>
  <c r="C58" i="41"/>
  <c r="C69" i="41"/>
  <c r="D69" i="41"/>
  <c r="C68" i="41"/>
  <c r="D68" i="41"/>
  <c r="F58" i="37"/>
  <c r="D70" i="41"/>
  <c r="C91" i="50"/>
  <c r="G91" i="50"/>
  <c r="F91" i="50"/>
  <c r="D91" i="50"/>
  <c r="H91" i="50"/>
  <c r="E91" i="50"/>
</calcChain>
</file>

<file path=xl/sharedStrings.xml><?xml version="1.0" encoding="utf-8"?>
<sst xmlns="http://schemas.openxmlformats.org/spreadsheetml/2006/main" count="722" uniqueCount="456">
  <si>
    <t>(c)</t>
  </si>
  <si>
    <t>ANSWER:</t>
  </si>
  <si>
    <t>(d)</t>
  </si>
  <si>
    <t>(e)</t>
  </si>
  <si>
    <t>(a)</t>
  </si>
  <si>
    <t>(b)</t>
  </si>
  <si>
    <t>(f)</t>
  </si>
  <si>
    <t>The response for part (a) is to be provided in the Word document.</t>
  </si>
  <si>
    <r>
      <t>(</t>
    </r>
    <r>
      <rPr>
        <i/>
        <sz val="12"/>
        <color rgb="FF002060"/>
        <rFont val="Times New Roman"/>
        <family val="1"/>
      </rPr>
      <t>4 points</t>
    </r>
    <r>
      <rPr>
        <sz val="12"/>
        <color rgb="FF002060"/>
        <rFont val="Times New Roman"/>
        <family val="1"/>
      </rPr>
      <t>)</t>
    </r>
  </si>
  <si>
    <t>Question 1</t>
  </si>
  <si>
    <r>
      <t>(</t>
    </r>
    <r>
      <rPr>
        <i/>
        <sz val="12"/>
        <color rgb="FF002060"/>
        <rFont val="Times New Roman"/>
        <family val="1"/>
      </rPr>
      <t>5 points</t>
    </r>
    <r>
      <rPr>
        <sz val="12"/>
        <color rgb="FF002060"/>
        <rFont val="Times New Roman"/>
        <family val="1"/>
      </rPr>
      <t>)</t>
    </r>
  </si>
  <si>
    <t>You may choose to draw on this diagram to assist you in responding to this question. Use of this diagram is not required for full credit.</t>
  </si>
  <si>
    <t>HIJ Insurance writes both 6-month and 12-month policies for a line of business.  You are given the following: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</si>
  <si>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On January 1, 2020, the following policies were in-force: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</si>
  <si>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There were no new policies written in 2020, but all in-force policies were renewed upon expiry.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</si>
  <si>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There have been no additional rate changes since July 1, 2021.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</si>
  <si>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It is assumed that the key assumptions of the parallelogram method are valid.</t>
    </r>
  </si>
  <si>
    <t xml:space="preserve">6-month policies with an average premium of </t>
  </si>
  <si>
    <t xml:space="preserve">12-month policies with an average premium of 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</si>
  <si>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All premiums were increased by </t>
    </r>
  </si>
  <si>
    <t>for policies renewed on or after January 1, 2020.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</si>
  <si>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Due to COVID-19, there was a </t>
    </r>
  </si>
  <si>
    <t>for policies written or renewed on or after July 1, 2021.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</si>
  <si>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State the two key assumptions of the parallelogram method.</t>
    </r>
  </si>
  <si>
    <r>
      <t>(</t>
    </r>
    <r>
      <rPr>
        <i/>
        <sz val="12"/>
        <color rgb="FF002060"/>
        <rFont val="Times New Roman"/>
        <family val="1"/>
      </rPr>
      <t>3.5 points</t>
    </r>
    <r>
      <rPr>
        <sz val="12"/>
        <color rgb="FF002060"/>
        <rFont val="Times New Roman"/>
        <family val="1"/>
      </rPr>
      <t>)  Calculate the calendar year 2020 on-level premium to be used for a ratemaking analysis.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</si>
  <si>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Provide two examples of general insurance policies where exposures are not usually earned evenly throughout the policy term.</t>
    </r>
  </si>
  <si>
    <t>Question 2</t>
  </si>
  <si>
    <t>You are constructing claims data files for a ratemaking analysis.</t>
  </si>
  <si>
    <t>The response for part (b) is to be provided in the Word document.</t>
  </si>
  <si>
    <t>You are given the following claims data aggregated by accident year:</t>
  </si>
  <si>
    <t>Accident</t>
  </si>
  <si>
    <t>Reported Claims</t>
  </si>
  <si>
    <t>Year</t>
  </si>
  <si>
    <t>Paid Claims</t>
  </si>
  <si>
    <t>Reported Counts</t>
  </si>
  <si>
    <t>Closed Counts</t>
  </si>
  <si>
    <t>Original</t>
  </si>
  <si>
    <t>Corrected</t>
  </si>
  <si>
    <t>Transaction</t>
  </si>
  <si>
    <t>Date</t>
  </si>
  <si>
    <t>Amount</t>
  </si>
  <si>
    <t>Accident Date</t>
  </si>
  <si>
    <t>n/a</t>
  </si>
  <si>
    <t>Claim reported to company, case estimate established</t>
  </si>
  <si>
    <t>Claim Payment</t>
  </si>
  <si>
    <t>Change in case estimate</t>
  </si>
  <si>
    <r>
      <t>(</t>
    </r>
    <r>
      <rPr>
        <i/>
        <sz val="12"/>
        <color rgb="FF002060"/>
        <rFont val="Times New Roman"/>
        <family val="1"/>
      </rPr>
      <t>2.5 points</t>
    </r>
    <r>
      <rPr>
        <sz val="12"/>
        <color rgb="FF002060"/>
        <rFont val="Times New Roman"/>
        <family val="1"/>
      </rPr>
      <t>)  Construct new data triangles with corrections for this claim file.</t>
    </r>
  </si>
  <si>
    <t>The calendar year 2022 changes for accident years 2016 and prior were:</t>
  </si>
  <si>
    <t>in paid claims</t>
  </si>
  <si>
    <t>in case estimates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</si>
  <si>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calendar year 2022 reported claims, based on corrected data.</t>
    </r>
  </si>
  <si>
    <t>Question 3</t>
  </si>
  <si>
    <t>You are estimating ultimate claims as of December 31, 2022 for reserving purposes.</t>
  </si>
  <si>
    <t>The response for part (c) is to be provided in the Word document.</t>
  </si>
  <si>
    <t>The response for part (d) is to be provided in the Word document.</t>
  </si>
  <si>
    <t>The response for part (e) is to be provided in the Word document.</t>
  </si>
  <si>
    <t>You are given the following:</t>
  </si>
  <si>
    <t>Cumulative Paid Claims</t>
  </si>
  <si>
    <t>Accident Year</t>
  </si>
  <si>
    <t>Projected Ultimate Claims from Reported Development Method</t>
  </si>
  <si>
    <t>Question 4</t>
  </si>
  <si>
    <t>Calendar Year</t>
  </si>
  <si>
    <t>Earned Exposures</t>
  </si>
  <si>
    <t>Direct Written Premiums</t>
  </si>
  <si>
    <t>Direct Earned Premiums</t>
  </si>
  <si>
    <t>Total Commission Expenses and Premium Taxes</t>
  </si>
  <si>
    <t>General Expenses</t>
  </si>
  <si>
    <t>2023 Budget</t>
  </si>
  <si>
    <r>
      <t>(</t>
    </r>
    <r>
      <rPr>
        <i/>
        <sz val="12"/>
        <color rgb="FF002060"/>
        <rFont val="Times New Roman"/>
        <family val="1"/>
      </rPr>
      <t>2.5 points</t>
    </r>
    <r>
      <rPr>
        <sz val="12"/>
        <color rgb="FF002060"/>
        <rFont val="Times New Roman"/>
        <family val="1"/>
      </rPr>
      <t>)  Recommend the total variable expense ratio to use in ratemaking.  Justify your recommendation.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</si>
  <si>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Recommend the fixed expense per exposure to use in ratemaking.  Justify your recommendation.</t>
    </r>
  </si>
  <si>
    <t>Question 5</t>
  </si>
  <si>
    <r>
      <t>(</t>
    </r>
    <r>
      <rPr>
        <i/>
        <sz val="12"/>
        <color rgb="FF002060"/>
        <rFont val="Times New Roman"/>
        <family val="1"/>
      </rPr>
      <t>8 points</t>
    </r>
    <r>
      <rPr>
        <sz val="12"/>
        <color rgb="FF002060"/>
        <rFont val="Times New Roman"/>
        <family val="1"/>
      </rPr>
      <t>)</t>
    </r>
  </si>
  <si>
    <t>You are trending earned premiums for ratemaking purposes and are given the following:</t>
  </si>
  <si>
    <t>Experience Period</t>
  </si>
  <si>
    <t>Earned Exposures by Policy Limits</t>
  </si>
  <si>
    <t>Current Increased Limits Factors</t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</si>
  <si>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Recommend the annual premium trend due to the shift in policy limits to use for ratemaking.  Justify your recommendation.</t>
    </r>
  </si>
  <si>
    <t>You are given the following additional information: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</si>
  <si>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New rates are to be effective September 1, 2023 for one year.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</si>
  <si>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Premiums are written evenly throughout the year.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</si>
  <si>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Premiums are earned evenly throughout the policy term.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</si>
  <si>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Prior to January 1, 2020, all policies were written for 12-month terms.</t>
    </r>
  </si>
  <si>
    <t>Earned Premiums</t>
  </si>
  <si>
    <t>Ultimate Claims</t>
  </si>
  <si>
    <t>Premium On-Level Factors</t>
  </si>
  <si>
    <r>
      <t>(</t>
    </r>
    <r>
      <rPr>
        <i/>
        <sz val="12"/>
        <color rgb="FF002060"/>
        <rFont val="Times New Roman"/>
        <family val="1"/>
      </rPr>
      <t>4 points</t>
    </r>
    <r>
      <rPr>
        <sz val="12"/>
        <color rgb="FF002060"/>
        <rFont val="Times New Roman"/>
        <family val="1"/>
      </rPr>
      <t>)  Calculate the indicated rate level change for this line of business using a claims ratio approach.  Justify any selection(s).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</si>
  <si>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profit and contingencies to premium ratio implied by a 3% rate increase using your colleague’s indicated rate change.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</si>
  <si>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State two actions the company can take that could help achieve the target profit, given the 3% rate increase.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</si>
  <si>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Since January 1, 2020, </t>
    </r>
  </si>
  <si>
    <t xml:space="preserve">of all policies have been written for 12-month terms and </t>
  </si>
  <si>
    <t xml:space="preserve"> of all policies have been written for 6-month terms.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</si>
  <si>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annual trend due to a shift in deductibles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</si>
  <si>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annual claim severity trend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</si>
  <si>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annual claim frequency trend is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</si>
  <si>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ratio of ULAE to claims is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</si>
  <si>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ratio of fixed expenses to premiums at current rates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</si>
  <si>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ratio of variable expenses to premiums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</si>
  <si>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ratio of profit and contingencies to premiums is</t>
    </r>
  </si>
  <si>
    <t xml:space="preserve">The company’s management decided to increase rates by </t>
  </si>
  <si>
    <t xml:space="preserve">Your colleague calculated the indicated rate change for this line of business to be </t>
  </si>
  <si>
    <t>Question 6</t>
  </si>
  <si>
    <t>You are estimating ultimate claims as of December 31, 2022 using the Cape Cod method.</t>
  </si>
  <si>
    <t>On-Level Earned Premiums</t>
  </si>
  <si>
    <t>Paid Cumulative Development Factors</t>
  </si>
  <si>
    <t>You are given the following for a liability line of business: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</si>
  <si>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annual claim trend is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</si>
  <si>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Tort reform reduced claim costs by </t>
    </r>
  </si>
  <si>
    <r>
      <t xml:space="preserve"> </t>
    </r>
    <r>
      <rPr>
        <sz val="12"/>
        <color rgb="FF002060"/>
        <rFont val="Times New Roman"/>
        <family val="1"/>
      </rPr>
      <t>for all accidents occurring on or after</t>
    </r>
  </si>
  <si>
    <r>
      <t>(</t>
    </r>
    <r>
      <rPr>
        <i/>
        <sz val="12"/>
        <color rgb="FF002060"/>
        <rFont val="Times New Roman"/>
        <family val="1"/>
      </rPr>
      <t>3.5 points</t>
    </r>
    <r>
      <rPr>
        <sz val="12"/>
        <color rgb="FF002060"/>
        <rFont val="Times New Roman"/>
        <family val="1"/>
      </rPr>
      <t>)  Calculate projected ultimate claims using the Cape Cod method applied to paid claims.</t>
    </r>
  </si>
  <si>
    <r>
      <t xml:space="preserve">Projected ultimate claims using the Cape Cod method applied to </t>
    </r>
    <r>
      <rPr>
        <b/>
        <i/>
        <sz val="12"/>
        <color rgb="FF002060"/>
        <rFont val="Times New Roman"/>
        <family val="1"/>
      </rPr>
      <t>reported</t>
    </r>
    <r>
      <rPr>
        <sz val="12"/>
        <color rgb="FF002060"/>
        <rFont val="Times New Roman"/>
        <family val="1"/>
      </rPr>
      <t xml:space="preserve"> claims are significantly less than those calculated in part (b).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</si>
  <si>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two situations that could result in such a difference in Cape Cod projections.</t>
    </r>
  </si>
  <si>
    <t>Question 7</t>
  </si>
  <si>
    <t>Question 8</t>
  </si>
  <si>
    <t>You are estimating an earthquake catastrophe loading to use in a ratemaking analysis that was determined from a catastrophe model.  You are given the following:</t>
  </si>
  <si>
    <t>Date of modeled expected claims cost level</t>
  </si>
  <si>
    <t>Date of in-force exposures reflected in catastrophe model</t>
  </si>
  <si>
    <t>Calendar year 2022 trended earned premium at current rate level</t>
  </si>
  <si>
    <t>Annual exposure trend</t>
  </si>
  <si>
    <t>Effective date of new rates</t>
  </si>
  <si>
    <t>All policies are written for 12-month terms and new rates will be in effect for one year.</t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</si>
  <si>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the catastrophe loading to be used for ratemaking, as a claim ratio.</t>
    </r>
  </si>
  <si>
    <t>Claims following a catastrophe are often subject to demand surge.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</si>
  <si>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how you would consider the effect of a demand surge in the calculation of the catastrophe loading for ratemaking.</t>
    </r>
  </si>
  <si>
    <t>Question 9</t>
  </si>
  <si>
    <t>You are estimating unpaid ULAE as of December 31, 2022 for a line of business that has experienced significant inflation over the past five years.  You are given the following:</t>
  </si>
  <si>
    <t>Report Year</t>
  </si>
  <si>
    <t>Estimated Ultimate Claims</t>
  </si>
  <si>
    <t>Maturity Age in months</t>
  </si>
  <si>
    <t>Reported Age-to-Ultimate Development Factors</t>
  </si>
  <si>
    <t>Paid ULAE</t>
  </si>
  <si>
    <t>Expected Paid Claims</t>
  </si>
  <si>
    <t>Expected Reported Claims</t>
  </si>
  <si>
    <t>?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</si>
  <si>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Explain why the classical paid-to-paid method may not be appropriate for estimating unpaid ULAE in this case.</t>
    </r>
  </si>
  <si>
    <t>You are provided with the following additional information:</t>
  </si>
  <si>
    <r>
      <t>·</t>
    </r>
    <r>
      <rPr>
        <sz val="7"/>
        <color rgb="FF002060"/>
        <rFont val="Times New Roman"/>
        <family val="1"/>
      </rPr>
      <t xml:space="preserve">       </t>
    </r>
  </si>
  <si>
    <t xml:space="preserve"> of ULAE is associated with opening a claim file and 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</si>
  <si>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unpaid ULAE as of December 31, 2022 using the recommended ratio from part (c).</t>
    </r>
  </si>
  <si>
    <t>Question 10</t>
  </si>
  <si>
    <t>You are given the following estimates of ultimate claims as of December 31, 2022 using various projection methods:</t>
  </si>
  <si>
    <t>Ultimate Claims Derived from Paid Claims</t>
  </si>
  <si>
    <t>Accident Year (AY)</t>
  </si>
  <si>
    <t>Development Method</t>
  </si>
  <si>
    <t>Frequency- Severity Method</t>
  </si>
  <si>
    <t>Expected Method</t>
  </si>
  <si>
    <t>Bornhuetter Ferguson Method</t>
  </si>
  <si>
    <t>Total</t>
  </si>
  <si>
    <t>Ultimate Claims Derived from Reported Claims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</si>
  <si>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Investigative testing indicated that case outstanding adequacy was strengthened in 2022.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</si>
  <si>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claims manager stated that the settlement of claims has slowed in the most recent two years, but investigative testing did not indicate </t>
    </r>
  </si>
  <si>
    <t>You are evaluating these various methods for selecting estimates of ultimate claims.</t>
  </si>
  <si>
    <r>
      <t>(</t>
    </r>
    <r>
      <rPr>
        <i/>
        <sz val="12"/>
        <color rgb="FF002060"/>
        <rFont val="Times New Roman"/>
        <family val="1"/>
      </rPr>
      <t>0.5 point</t>
    </r>
    <r>
      <rPr>
        <sz val="12"/>
        <color rgb="FF002060"/>
        <rFont val="Times New Roman"/>
        <family val="1"/>
      </rPr>
      <t>)  Calculate the case estimate and IBNR for AY 2020, based on your recommendation in part (b).</t>
    </r>
  </si>
  <si>
    <t>Question 11</t>
  </si>
  <si>
    <t>Ultimate</t>
  </si>
  <si>
    <t>Counts</t>
  </si>
  <si>
    <t>The claims department manager has advised you that there is currently a delay in claims processing.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</si>
  <si>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Ultimate counts were based on the development method.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</si>
  <si>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Identify two possible reasons for a delay in claims processing.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</si>
  <si>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disposal ratio triangle for this line of business.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</si>
  <si>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Interpret the results from part (b).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</si>
  <si>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the adjusted paid claims triangle.</t>
    </r>
  </si>
  <si>
    <t>Question 12</t>
  </si>
  <si>
    <t>You are estimating claim liabilities as of December 31, 2022.  You are given the following:</t>
  </si>
  <si>
    <t>Projected Ultimate Claims from the Development Method </t>
  </si>
  <si>
    <t>To 2022 Cost Level</t>
  </si>
  <si>
    <t>To Current Rate Level</t>
  </si>
  <si>
    <t>Based on Paid Claims</t>
  </si>
  <si>
    <t>Based on Reported Claims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</si>
  <si>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annual claim severity trend is </t>
    </r>
  </si>
  <si>
    <r>
      <t>(</t>
    </r>
    <r>
      <rPr>
        <i/>
        <sz val="12"/>
        <color rgb="FF002060"/>
        <rFont val="Times New Roman"/>
        <family val="1"/>
      </rPr>
      <t>2.5 points</t>
    </r>
    <r>
      <rPr>
        <sz val="12"/>
        <color rgb="FF002060"/>
        <rFont val="Times New Roman"/>
        <family val="1"/>
      </rPr>
      <t>)  Calculate expected claims for each accident year using the expected method.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</si>
  <si>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projected ultimate claims using the Bornhuetter Ferguson method with reported claims and your results from part (a).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</si>
  <si>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Assess the reasonableness of the inputs to the Bornhuetter Ferguson method in part (b).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</si>
  <si>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Calculate total IBNR using your results from part (b).</t>
    </r>
  </si>
  <si>
    <t>Question 13</t>
  </si>
  <si>
    <t>You are estimating ultimate claims for a medium-tailed line of business evaluated as of December 31, 2022. Your reserving software produces the following preliminary estimates based on a simple application of the development method:</t>
  </si>
  <si>
    <t>Claims</t>
  </si>
  <si>
    <t>Your colleague reviewed the triangle of reported claim ratios for this line of business.  The most recent diagonal showed a significant increase and your colleague concluded that this is clear evidence of an increase in case outstanding adequacy.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</si>
  <si>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Critique your colleague’s conclusion.</t>
    </r>
  </si>
  <si>
    <t>The ratios of paid to reported claims is one investigative test used to determine if there is evidence of a change in claim settlement patterns.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</si>
  <si>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Analyze this data for evidence of a change in claim settlement patterns, using an investigative test other than the test described in part (c).  Justify your conclusion.</t>
    </r>
  </si>
  <si>
    <t>Question 14</t>
  </si>
  <si>
    <r>
      <t>(</t>
    </r>
    <r>
      <rPr>
        <i/>
        <sz val="12"/>
        <color rgb="FF002060"/>
        <rFont val="Times New Roman"/>
        <family val="1"/>
      </rPr>
      <t>6 points</t>
    </r>
    <r>
      <rPr>
        <sz val="12"/>
        <color rgb="FF002060"/>
        <rFont val="Times New Roman"/>
        <family val="1"/>
      </rPr>
      <t>)</t>
    </r>
  </si>
  <si>
    <t>You are estimating ultimate claims as of December 31, 2022 using the development-based frequency-severity method.  You are given the following:</t>
  </si>
  <si>
    <t>Ultimate Counts Based on Development Method</t>
  </si>
  <si>
    <t>Ultimate Severity Based on Development Method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</si>
  <si>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earned exposures are not inflation sensitive. </t>
    </r>
  </si>
  <si>
    <r>
      <t>(</t>
    </r>
    <r>
      <rPr>
        <i/>
        <sz val="12"/>
        <color rgb="FF002060"/>
        <rFont val="Times New Roman"/>
        <family val="1"/>
      </rPr>
      <t>3.5 points</t>
    </r>
    <r>
      <rPr>
        <sz val="12"/>
        <color rgb="FF002060"/>
        <rFont val="Times New Roman"/>
        <family val="1"/>
      </rPr>
      <t>)  Estimate ultimate claims for all accident years using the development-based frequency-severity method.</t>
    </r>
  </si>
  <si>
    <t>There are times when projections from the frequency-severity method are preferred over the development method when used as inputs to the expected method.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</si>
  <si>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two scenarios when projections from the frequency-severity method are preferred.</t>
    </r>
  </si>
  <si>
    <t>The response for question 7 is to be provided in the Word document.</t>
  </si>
  <si>
    <t xml:space="preserve">rate reduction effective for all new, renewal, and in-force </t>
  </si>
  <si>
    <t>policies on April 1, 2020.</t>
  </si>
  <si>
    <t>It was subsequently discovered that a claim file was miscoded in the system as follows:</t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</si>
  <si>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projected ultimate claims for all accident years using the paid development method.</t>
    </r>
  </si>
  <si>
    <t>You are conducting an analysis of expenses for ratemaking purposes and are given the following:</t>
  </si>
  <si>
    <t xml:space="preserve"> to implement in 2023, and the cost will be spread over four years.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</si>
  <si>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why the Cape Cod method may not be appropriate for coverages such as property or automobile collision.</t>
    </r>
  </si>
  <si>
    <t>Annual claim severity trend</t>
  </si>
  <si>
    <t>Modeled expected earthquake claims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</si>
  <si>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Explain why two trend adjustments must be made to the modeled expected earthquake claims to calculate the catastrophe loading for ratemaking.</t>
    </r>
  </si>
  <si>
    <r>
      <t>(</t>
    </r>
    <r>
      <rPr>
        <i/>
        <sz val="12"/>
        <color rgb="FF002060"/>
        <rFont val="Times New Roman"/>
        <family val="1"/>
      </rPr>
      <t>2.5 points</t>
    </r>
    <r>
      <rPr>
        <sz val="12"/>
        <color rgb="FF002060"/>
        <rFont val="Times New Roman"/>
        <family val="1"/>
      </rPr>
      <t xml:space="preserve">)  Calculate the ULAE ratio for each year using the Mango and Allen smoothing adjustment based on paid </t>
    </r>
    <r>
      <rPr>
        <u/>
        <sz val="12"/>
        <color rgb="FF002060"/>
        <rFont val="Times New Roman"/>
        <family val="1"/>
      </rPr>
      <t>and</t>
    </r>
    <r>
      <rPr>
        <sz val="12"/>
        <color rgb="FF002060"/>
        <rFont val="Times New Roman"/>
        <family val="1"/>
      </rPr>
      <t xml:space="preserve"> reported claim data.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</si>
  <si>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IBNR is</t>
    </r>
  </si>
  <si>
    <t xml:space="preserve"> relates to maintaining and closing a claim file</t>
  </si>
  <si>
    <t>a change in the pattern of claim settlement for the most recent two years.</t>
  </si>
  <si>
    <t>You are estimating ultimate claims for a line of business as of December 31, 2022 and are given the following:</t>
  </si>
  <si>
    <t>You have decided to use a Berquist-Sherman approach to adjust for changing settlement rates.  The average paid claim varies only by accident year trend.  You are given the following:</t>
  </si>
  <si>
    <t>Average Paid Claim for Calendar Year 2022</t>
  </si>
  <si>
    <t>As part of your claims analysis, you are conducting various investigative tests for evaluating potential changes in case reserve adequacy and/or claim settlement patterns.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</si>
  <si>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Recommend an annual claim frequency trend to use for the development-based frequency-severity method.  Justify your recommendation.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</si>
  <si>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one reason why an indicated rate change using a pure premium approach may not result in the same result as part (b).</t>
    </r>
  </si>
  <si>
    <r>
      <t>(</t>
    </r>
    <r>
      <rPr>
        <i/>
        <sz val="12"/>
        <color rgb="FF002060"/>
        <rFont val="Times New Roman"/>
        <family val="1"/>
      </rPr>
      <t>2.5 points</t>
    </r>
    <r>
      <rPr>
        <sz val="12"/>
        <color rgb="FF002060"/>
        <rFont val="Times New Roman"/>
        <family val="1"/>
      </rPr>
      <t>)  Analyze this data for evidence of a change in case reserve adequacy, using two different investigative tests.  Justify your conclusion.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</si>
  <si>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Recommend a ULAE ratio to use for this line of business.  Justify your recommendation.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</si>
  <si>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Case estimate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</si>
  <si>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annual claim frequency trend is</t>
    </r>
  </si>
  <si>
    <t>The annual claim severity trend for this line of business is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</si>
  <si>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an additional step or approach that would increase your confidence in the estimate of expected earthquake claims.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</si>
  <si>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An unbudgeted system update will cost</t>
    </r>
  </si>
  <si>
    <r>
      <t>·</t>
    </r>
    <r>
      <rPr>
        <sz val="7"/>
        <color rgb="FF002060"/>
        <rFont val="Times New Roman"/>
        <family val="1"/>
      </rPr>
      <t>       </t>
    </r>
    <r>
      <rPr>
        <sz val="12"/>
        <color rgb="FF002060"/>
        <rFont val="Times New Roman"/>
        <family val="1"/>
      </rPr>
      <t xml:space="preserve">Fixed expenses are </t>
    </r>
  </si>
  <si>
    <t xml:space="preserve"> of general expenses.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</si>
  <si>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why an increase in the most recent diagonal of the ratios of paid to reported claims triangle may not give a clear indication of such a change.</t>
    </r>
  </si>
  <si>
    <t>Policies are written evenly over the experience period</t>
  </si>
  <si>
    <t>Exposures are earned evenly over the policy term</t>
  </si>
  <si>
    <t>6-month policies:</t>
  </si>
  <si>
    <t xml:space="preserve"> - in force premium on Jan 1, 2020:</t>
  </si>
  <si>
    <t xml:space="preserve"> - annualized premium:</t>
  </si>
  <si>
    <t>A</t>
  </si>
  <si>
    <t xml:space="preserve">   B</t>
  </si>
  <si>
    <t>C</t>
  </si>
  <si>
    <t>D</t>
  </si>
  <si>
    <t>-10%</t>
  </si>
  <si>
    <t xml:space="preserve">    8%</t>
  </si>
  <si>
    <t xml:space="preserve">    5%</t>
  </si>
  <si>
    <t>Section</t>
  </si>
  <si>
    <t>Rate Level Index</t>
  </si>
  <si>
    <t>Percent Premium Earned in CY2020 at Rate Level</t>
  </si>
  <si>
    <t>B</t>
  </si>
  <si>
    <t>E</t>
  </si>
  <si>
    <t>12-month policies:</t>
  </si>
  <si>
    <t>Total CY2020 EP at current rate level for ratemaking:</t>
  </si>
  <si>
    <t>On-level factor:</t>
  </si>
  <si>
    <t>On-level earned premium:</t>
  </si>
  <si>
    <t>Average rate level:</t>
  </si>
  <si>
    <t>Any two of the following are acceptable:</t>
  </si>
  <si>
    <t xml:space="preserve"> - Policies covering seasonal risks</t>
  </si>
  <si>
    <t xml:space="preserve"> - Warranty</t>
  </si>
  <si>
    <t xml:space="preserve"> - Financial guarantee</t>
  </si>
  <si>
    <t xml:space="preserve"> - Property catastrophe and aggregate stop-loss reinsurance</t>
  </si>
  <si>
    <t xml:space="preserve"> - Retrospectively-rated policies</t>
  </si>
  <si>
    <t xml:space="preserve"> - Policies with reinstatement premium</t>
  </si>
  <si>
    <t>AY</t>
  </si>
  <si>
    <t>Cumulative paid claims</t>
  </si>
  <si>
    <t>Case estimate</t>
  </si>
  <si>
    <t>What should have been in the data:</t>
  </si>
  <si>
    <t>Revised Reported Claims</t>
  </si>
  <si>
    <t>Revised Reported Counts</t>
  </si>
  <si>
    <t>What was in the data:</t>
  </si>
  <si>
    <t>Sum of latest diagonal:</t>
  </si>
  <si>
    <t>Sum of previous diagonal:</t>
  </si>
  <si>
    <t>CY 2022 reported claims:</t>
  </si>
  <si>
    <t>Change in reported for accident years 2016 and prior:</t>
  </si>
  <si>
    <t>There is no change to paid claims and no change to closed counts.</t>
  </si>
  <si>
    <t>Paid Claims Age-to-age factors</t>
  </si>
  <si>
    <t>12-24</t>
  </si>
  <si>
    <t>24-36</t>
  </si>
  <si>
    <t>36-48</t>
  </si>
  <si>
    <t>48-60</t>
  </si>
  <si>
    <t>60-72</t>
  </si>
  <si>
    <t>72-84</t>
  </si>
  <si>
    <t>Simple 3</t>
  </si>
  <si>
    <t>Simple All</t>
  </si>
  <si>
    <t>Vol Wtd 3</t>
  </si>
  <si>
    <t>Vol Wtd 5</t>
  </si>
  <si>
    <t>Vol Wtd All</t>
  </si>
  <si>
    <t>Selected:</t>
  </si>
  <si>
    <t>Age-to-Ult</t>
  </si>
  <si>
    <t>Algebraic Method for Paid Claims Tail Factor:</t>
  </si>
  <si>
    <t>Implied</t>
  </si>
  <si>
    <t>Tail Factor</t>
  </si>
  <si>
    <t>Average</t>
  </si>
  <si>
    <t>CDF</t>
  </si>
  <si>
    <t>Reported</t>
  </si>
  <si>
    <t>Developed</t>
  </si>
  <si>
    <t>to 84 months</t>
  </si>
  <si>
    <t>Recommend volume-weighted average of all years to address the variability.</t>
  </si>
  <si>
    <t>Variable</t>
  </si>
  <si>
    <t>As a % of Earned Premiums</t>
  </si>
  <si>
    <t>Commission and Premium Tax Expense Ratio</t>
  </si>
  <si>
    <t>Total Variable Expense Ratio</t>
  </si>
  <si>
    <t>Recommended:</t>
  </si>
  <si>
    <t>Fixed General Expense (000)</t>
  </si>
  <si>
    <t>Fixed General Expense Per Exposure</t>
  </si>
  <si>
    <t>Selection:</t>
  </si>
  <si>
    <t>Total:</t>
  </si>
  <si>
    <t xml:space="preserve"> (amortize over 4 years)</t>
  </si>
  <si>
    <t>Provision for new system:</t>
  </si>
  <si>
    <t>Weighted</t>
  </si>
  <si>
    <t>ILF</t>
  </si>
  <si>
    <t>Average:</t>
  </si>
  <si>
    <t>Annual Trend</t>
  </si>
  <si>
    <t>Due to Shift</t>
  </si>
  <si>
    <t>in ILF</t>
  </si>
  <si>
    <t>Experience</t>
  </si>
  <si>
    <t>Period</t>
  </si>
  <si>
    <t>Trending Period (months)</t>
  </si>
  <si>
    <t>Premium Trend Factors</t>
  </si>
  <si>
    <t>Earned Premiums Trended at Current Rates</t>
  </si>
  <si>
    <t>Claim Trend Factors</t>
  </si>
  <si>
    <t>Trended Ultimate Claims</t>
  </si>
  <si>
    <t>Claim Ratio</t>
  </si>
  <si>
    <t>Selected</t>
  </si>
  <si>
    <t>Average earned premium dates in future rating period:</t>
  </si>
  <si>
    <t xml:space="preserve">   for 12-month policies</t>
  </si>
  <si>
    <t xml:space="preserve">   for 6-month policies</t>
  </si>
  <si>
    <t>Indicated rate change:</t>
  </si>
  <si>
    <t>Effective date of new rates:</t>
  </si>
  <si>
    <t>Average earned premium dates in 2022:</t>
  </si>
  <si>
    <t>Average latest 3 years:</t>
  </si>
  <si>
    <t>The premium on-level factors are an approximation used to restate historical earned premiums as if they were at the current rate level for the forecast period.</t>
  </si>
  <si>
    <t xml:space="preserve"> - decrease expenses</t>
  </si>
  <si>
    <t>Average excluding high &amp; low:</t>
  </si>
  <si>
    <t>Recommended trend:</t>
  </si>
  <si>
    <t>Justification: average excluding high and low removes the outliers, especially 2022.</t>
  </si>
  <si>
    <t># of months trending period:</t>
  </si>
  <si>
    <t>Justification for selected claim ratio: Increasing in most recent years, so give more weight to more recent 3 years.</t>
  </si>
  <si>
    <t>Annual premium trend:</t>
  </si>
  <si>
    <t>Annual pure premium trend:</t>
  </si>
  <si>
    <t>Claim ratio implied by the 6% rate indication:</t>
  </si>
  <si>
    <t>Profit margin implied by a 3% rate change:</t>
  </si>
  <si>
    <t xml:space="preserve"> - decrease claims (e.g., changing mix of business, better risk selection)</t>
  </si>
  <si>
    <t>Paid CDFs</t>
  </si>
  <si>
    <t>Expected % Paid</t>
  </si>
  <si>
    <t>Used-Up On-Level Earned Premiums</t>
  </si>
  <si>
    <t>Actual Paid Claims</t>
  </si>
  <si>
    <t>Tort Reform Factors</t>
  </si>
  <si>
    <t>Adjusted Claims</t>
  </si>
  <si>
    <t>Expected Claims</t>
  </si>
  <si>
    <t>Adjusted Expected Claim Ratio:</t>
  </si>
  <si>
    <t xml:space="preserve"> - Decrease in the adequacy of case reserves in the latest diagonal</t>
  </si>
  <si>
    <t xml:space="preserve"> - Change in the settlement rates resulting in higher paid claims than in past</t>
  </si>
  <si>
    <t xml:space="preserve"> - Unusual payment of large claims where the case is low</t>
  </si>
  <si>
    <t xml:space="preserve"> - Change in environment (internal or external) that is reflected in case estimates but not yet seen in paid claims that lag the reporting of claims</t>
  </si>
  <si>
    <t>The development factor may be less than 1, which will result in used-up exposures that are greater than the original exposures.</t>
  </si>
  <si>
    <t>Exposure trend period (months): February 1, 2022 to July 1, 2022</t>
  </si>
  <si>
    <t>Severity trend period (months): July 1, 2022 to October 1, 2024</t>
  </si>
  <si>
    <t xml:space="preserve">Exposure trend </t>
  </si>
  <si>
    <t xml:space="preserve">Severity trend </t>
  </si>
  <si>
    <t>Trended modeled catastrophe claims</t>
  </si>
  <si>
    <t>Catastrophe loading, as a claim ratio</t>
  </si>
  <si>
    <t>Past adjustment: modeled catastrophe claims must be trended from February 1, 2022 to July 1, 2022 for exposure trend to reflect in-force exposures as of July 1, 2022</t>
  </si>
  <si>
    <t>Future adjustment: modeled catastrophe claims must be trended from July 1, 2022 to mid-point of future rating period for severity trend to reflect the cost level in the future rating period</t>
  </si>
  <si>
    <t>Running alternative catastrophe models would increase confidence in the estimate of expected earthquake claims.</t>
  </si>
  <si>
    <t>Demand surge can result in a trend rate that is higher post-catastrophe than pre-catastrophe.</t>
  </si>
  <si>
    <t>Therefore, could recognize a demand surge by selecting a higher post event claim severity trend rate.</t>
  </si>
  <si>
    <t>Midpoint of future rating period:</t>
  </si>
  <si>
    <t>First need to calculate the CY2021 &amp; CY2022 expected reported claims:</t>
  </si>
  <si>
    <t>Maturity Age in months</t>
    <phoneticPr fontId="2" type="noConversion"/>
  </si>
  <si>
    <t>Reported CDF</t>
    <phoneticPr fontId="2" type="noConversion"/>
  </si>
  <si>
    <t xml:space="preserve"> % Cumulative Reported</t>
  </si>
  <si>
    <t xml:space="preserve"> % Incremental Reported</t>
  </si>
  <si>
    <t>Expected reported in Calendar Years</t>
    <phoneticPr fontId="2" type="noConversion"/>
  </si>
  <si>
    <t>Report Year</t>
    <phoneticPr fontId="2" type="noConversion"/>
  </si>
  <si>
    <t>Selected Ultimate Claims</t>
    <phoneticPr fontId="2" type="noConversion"/>
  </si>
  <si>
    <t>Paid</t>
  </si>
  <si>
    <t>ULAE</t>
  </si>
  <si>
    <t>Ratio of Paid ULAE to</t>
  </si>
  <si>
    <t>Average of Paid</t>
  </si>
  <si>
    <t>and Reported Claims</t>
  </si>
  <si>
    <t>Recommended ratio:</t>
  </si>
  <si>
    <t>Justification: using the average of the latest 3 years to reflect the increasing trend and remove the 2019 low outlier value.</t>
  </si>
  <si>
    <t xml:space="preserve">Calculated unpaid ULAE = </t>
  </si>
  <si>
    <t>Recommended ultimate claims from part (b):</t>
  </si>
  <si>
    <t>Unpaid claims</t>
  </si>
  <si>
    <t>Case:</t>
  </si>
  <si>
    <t>IBNR:</t>
  </si>
  <si>
    <t xml:space="preserve">  - an increase in volume that creates a backlog of processing</t>
  </si>
  <si>
    <t xml:space="preserve">  - a change in claims personnel</t>
  </si>
  <si>
    <t xml:space="preserve">  - a recent change in the claims processing system</t>
  </si>
  <si>
    <t>Disposal Ratios (closed counts / ultimate counts)</t>
  </si>
  <si>
    <t>Change in disposal ratios</t>
  </si>
  <si>
    <t>There appears to be a noticeable decrease in the most recent diagonal.</t>
  </si>
  <si>
    <t>Selected disposal ratios:</t>
  </si>
  <si>
    <t>Adjusted Closed Counts</t>
  </si>
  <si>
    <t>Average Claim Cost</t>
  </si>
  <si>
    <t>Adjusted Paid Claims = Adjusted Closed Counts × Average Claim Cost</t>
  </si>
  <si>
    <t>The ratios down the column should show noticeable decrease if there is a slowing in settlement patterns.</t>
  </si>
  <si>
    <t>Projected Ultimate</t>
  </si>
  <si>
    <t>Premium</t>
  </si>
  <si>
    <t>Trended On-Level</t>
  </si>
  <si>
    <t>Earned</t>
  </si>
  <si>
    <t>Claims Based on</t>
  </si>
  <si>
    <t>Claim Trend at</t>
  </si>
  <si>
    <t>On-Level</t>
  </si>
  <si>
    <t>Claim Ratio based on</t>
  </si>
  <si>
    <t>at Each AY</t>
  </si>
  <si>
    <t>Expected</t>
  </si>
  <si>
    <t>Premiums</t>
  </si>
  <si>
    <t>Factors</t>
  </si>
  <si>
    <t>Cost Level</t>
  </si>
  <si>
    <t>Average Trended On-Level Claim Ratio at AY2022 Cost and Rate Level (excl. 2022)</t>
  </si>
  <si>
    <t>All Years</t>
  </si>
  <si>
    <t>Latest 5 Years</t>
  </si>
  <si>
    <t>Latest 5 Years Excluding High and Low</t>
  </si>
  <si>
    <t>Latest 3 Years</t>
  </si>
  <si>
    <t>Selected Expected Claim Ratio AY2022</t>
  </si>
  <si>
    <t>Rationale: There is no indication of a significant the difference between reported and paid, so the average of paid and reported. Use the more recent 3 years average to reflect more recent experience.</t>
  </si>
  <si>
    <t>Cumulative Development Factors</t>
  </si>
  <si>
    <t>Projected Ultimate Claims</t>
  </si>
  <si>
    <t>Percent Reported</t>
  </si>
  <si>
    <t>Expected Reported</t>
  </si>
  <si>
    <t>Actual and Expected Difference</t>
  </si>
  <si>
    <t>Assessment: overall it appears reasonable, but there are some accident years that might not be reasonable (e.g., 2017, 2019 &amp; 2022) that should be investigated.</t>
  </si>
  <si>
    <t>Total ultimate claims</t>
  </si>
  <si>
    <t>Total reported claims</t>
  </si>
  <si>
    <t>IBNR = Ultimate Claims - Reported Claims</t>
  </si>
  <si>
    <t>Change in average case estimates:</t>
  </si>
  <si>
    <t>Average Case Estimates = Case Estimates / Open Counts</t>
  </si>
  <si>
    <t>Average Reported Claims</t>
  </si>
  <si>
    <t>Change in average reported:</t>
  </si>
  <si>
    <t>Change in average reported claims:</t>
  </si>
  <si>
    <t>Based on the significant increase in the most recent diagonal of both triangles, there is an indication of a strengthening of case estimates.</t>
  </si>
  <si>
    <t>The case strengthening could cause the most recent diagonal to increase, but a deterioration in claims experience could also cause the increase.</t>
  </si>
  <si>
    <t>A decrease in the overall adequacy of case estimates, which would decrease the reported claims, could also be driving the increase in the ratios of paid to reported claims.</t>
  </si>
  <si>
    <t>Change in ratios of closed to reported counts:</t>
  </si>
  <si>
    <t>Closed to Reported Counts</t>
  </si>
  <si>
    <t>Based on the significant increase in the most recent diagonal there is an indication of an increase in claim settlement patterns.</t>
  </si>
  <si>
    <t>Indicated Frequency</t>
  </si>
  <si>
    <t>Year-to-Year Change</t>
  </si>
  <si>
    <t>Selected frequency trend:</t>
  </si>
  <si>
    <t>Justification: The year-to-year changes are quite erratic, with an overall decrease over the period. The average of all years provides a reasonable measure of the overall trend.</t>
  </si>
  <si>
    <t>Trended Frequency</t>
  </si>
  <si>
    <t>Calculated Ultimate Counts</t>
  </si>
  <si>
    <t xml:space="preserve">  - all years</t>
  </si>
  <si>
    <t xml:space="preserve">  - latest 3 years</t>
  </si>
  <si>
    <t xml:space="preserve">  - excl. hi-lo</t>
  </si>
  <si>
    <t>Ultimate Severity</t>
  </si>
  <si>
    <t>Trended Severity</t>
  </si>
  <si>
    <t>Calculated Ultimate Severity</t>
  </si>
  <si>
    <t>Justification: Latest 3 years gives more consideration to the increasing more recent experience.</t>
  </si>
  <si>
    <t>Following the introduction of new GI products when limited or no historical experience is available</t>
  </si>
  <si>
    <t>Following entry into a new geographical area for which limited or no historical data exists</t>
  </si>
  <si>
    <t>If there have been wide-ranging changes, either internally at the insurer or in the external environment, such that historical relationships and development patterns are not a reliable guide to the future</t>
  </si>
  <si>
    <t>For immature periods (i.e., most recent accident years)</t>
  </si>
  <si>
    <t>Severity Trend</t>
  </si>
  <si>
    <t>Frequency Trend</t>
  </si>
  <si>
    <t>Commnentary on Question:</t>
  </si>
  <si>
    <t>Exposures</t>
  </si>
  <si>
    <t>Annual Change</t>
  </si>
  <si>
    <t>in Weighted</t>
  </si>
  <si>
    <t>It is incorrect to use the year-to-year change in exposures weighted by ILF factors.</t>
  </si>
  <si>
    <t xml:space="preserve">The significant inflation in this case will cause a relatively higher increase in the calendar paid ULAE than the calendar paid claims, since inflation can more quickly affect the underlying costs of ULAE, </t>
  </si>
  <si>
    <t>including the salaries of claims adjusters, rent, and utilities.  This will overstate the paid ULAE to paid claims ratio, thus overestimating the unpaid ULAE.</t>
  </si>
  <si>
    <t>Commentary on Question:</t>
  </si>
  <si>
    <t>It is recommended to solve this part of the question by displaying the details of the how the expected reported claims for CY 2021 &amp; 2022 are determined to ensure that no report years are excluded.</t>
  </si>
  <si>
    <t>Justification: There is a significant increase expected from budget, so give more consideration to the budget.</t>
  </si>
  <si>
    <r>
      <t xml:space="preserve">The year-to-year change in </t>
    </r>
    <r>
      <rPr>
        <b/>
        <i/>
        <sz val="12"/>
        <rFont val="Times New Roman"/>
        <family val="1"/>
      </rPr>
      <t>average</t>
    </r>
    <r>
      <rPr>
        <i/>
        <sz val="12"/>
        <rFont val="Times New Roman"/>
        <family val="1"/>
      </rPr>
      <t xml:space="preserve"> increased limit factor (ILF) needs to be analyzed for the trend due to shift in policy limits.</t>
    </r>
  </si>
  <si>
    <t>Justification: Average excluding high and low values excludes the outlier value in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</si>
</sst>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_-;\-* #,##0.00_-;_-* &quot;-&quot;??_-;_-@_-"/>
    <numFmt numFmtId="165" formatCode="mmm\.\ d\,\ yyyy"/>
    <numFmt numFmtId="166" formatCode="0.0%"/>
    <numFmt numFmtId="167" formatCode="mmmm\ d\,\ yyyy"/>
    <numFmt numFmtId="168" formatCode="0.000"/>
    <numFmt numFmtId="169" formatCode="0.00000"/>
    <numFmt numFmtId="170" formatCode="0.00%;\-;\-"/>
    <numFmt numFmtId="171" formatCode="0.0000"/>
    <numFmt numFmtId="172" formatCode="#,##0.000"/>
    <numFmt numFmtId="173" formatCode="#,##0_ ;\-#,##0\ "/>
    <numFmt numFmtId="174" formatCode="0.000%"/>
    <numFmt numFmtId="175" formatCode="#;\(#\);\-"/>
    <numFmt numFmtId="176" formatCode="0.000_ "/>
    <numFmt numFmtId="177" formatCode="0.0000%"/>
  </numFmts>
  <fonts count="23" x14ac:knownFonts="1">
    <font>
      <sz val="11"/>
      <color theme="1"/>
      <name val="Calibri"/>
      <family val="2"/>
      <scheme val="minor"/>
    </font>
    <font>
      <sz val="12"/>
      <color rgb="FF002060"/>
      <name val="Times New Roman"/>
      <family val="1"/>
    </font>
    <font>
      <sz val="12"/>
      <color theme="1"/>
      <name val="Times New Roman"/>
      <family val="1"/>
    </font>
    <font>
      <b/>
      <sz val="14"/>
      <color rgb="FF002060"/>
      <name val="Times New Roman"/>
      <family val="1"/>
    </font>
    <font>
      <i/>
      <sz val="12"/>
      <color rgb="FF002060"/>
      <name val="Times New Roman"/>
      <family val="1"/>
    </font>
    <font>
      <sz val="12"/>
      <name val="Times New Roman"/>
      <family val="1"/>
    </font>
    <font>
      <b/>
      <i/>
      <sz val="12"/>
      <color rgb="FF002060"/>
      <name val="Times New Roman"/>
      <family val="1"/>
    </font>
    <font>
      <sz val="12"/>
      <color rgb="FF002060"/>
      <name val="Symbol"/>
      <family val="1"/>
      <charset val="2"/>
    </font>
    <font>
      <sz val="7"/>
      <color rgb="FF002060"/>
      <name val="Times New Roman"/>
      <family val="1"/>
    </font>
    <font>
      <b/>
      <sz val="12"/>
      <color rgb="FF002060"/>
      <name val="Times New Roman"/>
      <family val="1"/>
    </font>
    <font>
      <u/>
      <sz val="12"/>
      <color rgb="FF002060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rgb="FF00B050"/>
      <name val="Times New Roman"/>
      <family val="1"/>
    </font>
    <font>
      <sz val="12"/>
      <color rgb="FF7030A0"/>
      <name val="Times New Roman"/>
      <family val="1"/>
    </font>
    <font>
      <u/>
      <sz val="12"/>
      <color theme="1"/>
      <name val="Times New Roman"/>
      <family val="1"/>
    </font>
    <font>
      <sz val="11"/>
      <color theme="1"/>
      <name val="Calibri"/>
      <family val="2"/>
    </font>
    <font>
      <i/>
      <sz val="12"/>
      <color theme="1"/>
      <name val="Times New Roman"/>
      <family val="1"/>
    </font>
    <font>
      <u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/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4" fillId="3" borderId="0" xfId="0" applyFont="1" applyFill="1"/>
    <xf numFmtId="0" fontId="1" fillId="3" borderId="0" xfId="0" quotePrefix="1" applyFont="1" applyFill="1" applyAlignment="1">
      <alignment vertical="center"/>
    </xf>
    <xf numFmtId="0" fontId="5" fillId="0" borderId="0" xfId="0" applyFont="1"/>
    <xf numFmtId="0" fontId="1" fillId="0" borderId="0" xfId="0" applyFont="1"/>
    <xf numFmtId="0" fontId="1" fillId="2" borderId="0" xfId="0" applyFont="1" applyFill="1"/>
    <xf numFmtId="0" fontId="1" fillId="3" borderId="0" xfId="0" quotePrefix="1" applyFont="1" applyFill="1"/>
    <xf numFmtId="0" fontId="6" fillId="3" borderId="0" xfId="0" applyFont="1" applyFill="1"/>
    <xf numFmtId="0" fontId="6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0" xfId="0" quotePrefix="1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7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3" fontId="1" fillId="2" borderId="9" xfId="0" applyNumberFormat="1" applyFont="1" applyFill="1" applyBorder="1" applyAlignment="1">
      <alignment horizontal="center" vertical="center"/>
    </xf>
    <xf numFmtId="9" fontId="1" fillId="2" borderId="9" xfId="0" applyNumberFormat="1" applyFont="1" applyFill="1" applyBorder="1" applyAlignment="1">
      <alignment horizontal="center" vertical="center"/>
    </xf>
    <xf numFmtId="9" fontId="1" fillId="3" borderId="9" xfId="0" applyNumberFormat="1" applyFont="1" applyFill="1" applyBorder="1" applyAlignment="1">
      <alignment horizontal="center"/>
    </xf>
    <xf numFmtId="0" fontId="5" fillId="2" borderId="0" xfId="0" applyFont="1" applyFill="1"/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9" fillId="2" borderId="9" xfId="0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5" fontId="6" fillId="4" borderId="9" xfId="0" applyNumberFormat="1" applyFont="1" applyFill="1" applyBorder="1" applyAlignment="1">
      <alignment horizontal="center" vertical="center" wrapText="1"/>
    </xf>
    <xf numFmtId="3" fontId="6" fillId="4" borderId="9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9" fontId="1" fillId="2" borderId="9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wrapText="1"/>
    </xf>
    <xf numFmtId="3" fontId="1" fillId="2" borderId="9" xfId="0" applyNumberFormat="1" applyFont="1" applyFill="1" applyBorder="1" applyAlignment="1">
      <alignment horizont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1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" fillId="2" borderId="3" xfId="0" applyFont="1" applyFill="1" applyBorder="1"/>
    <xf numFmtId="0" fontId="9" fillId="2" borderId="8" xfId="0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wrapText="1"/>
    </xf>
    <xf numFmtId="166" fontId="1" fillId="2" borderId="9" xfId="0" applyNumberFormat="1" applyFont="1" applyFill="1" applyBorder="1" applyAlignment="1">
      <alignment horizontal="center"/>
    </xf>
    <xf numFmtId="167" fontId="1" fillId="3" borderId="9" xfId="0" applyNumberFormat="1" applyFont="1" applyFill="1" applyBorder="1" applyAlignment="1">
      <alignment horizontal="center"/>
    </xf>
    <xf numFmtId="167" fontId="1" fillId="2" borderId="9" xfId="0" applyNumberFormat="1" applyFont="1" applyFill="1" applyBorder="1" applyAlignment="1">
      <alignment horizontal="left"/>
    </xf>
    <xf numFmtId="3" fontId="1" fillId="2" borderId="9" xfId="0" applyNumberFormat="1" applyFont="1" applyFill="1" applyBorder="1" applyAlignment="1">
      <alignment horizontal="left" vertical="center"/>
    </xf>
    <xf numFmtId="9" fontId="1" fillId="2" borderId="9" xfId="0" applyNumberFormat="1" applyFont="1" applyFill="1" applyBorder="1" applyAlignment="1">
      <alignment horizontal="left"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/>
    <xf numFmtId="0" fontId="1" fillId="2" borderId="12" xfId="0" applyFont="1" applyFill="1" applyBorder="1"/>
    <xf numFmtId="9" fontId="7" fillId="2" borderId="9" xfId="0" applyNumberFormat="1" applyFont="1" applyFill="1" applyBorder="1" applyAlignment="1">
      <alignment horizontal="center" vertical="center"/>
    </xf>
    <xf numFmtId="3" fontId="6" fillId="4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/>
    </xf>
    <xf numFmtId="168" fontId="1" fillId="2" borderId="9" xfId="0" applyNumberFormat="1" applyFont="1" applyFill="1" applyBorder="1" applyAlignment="1">
      <alignment horizontal="center" vertical="center"/>
    </xf>
    <xf numFmtId="9" fontId="1" fillId="3" borderId="0" xfId="0" applyNumberFormat="1" applyFont="1" applyFill="1" applyAlignment="1">
      <alignment horizontal="center"/>
    </xf>
    <xf numFmtId="0" fontId="2" fillId="0" borderId="0" xfId="0" quotePrefix="1" applyFont="1"/>
    <xf numFmtId="3" fontId="2" fillId="0" borderId="0" xfId="0" applyNumberFormat="1" applyFont="1"/>
    <xf numFmtId="9" fontId="2" fillId="0" borderId="0" xfId="0" quotePrefix="1" applyNumberFormat="1" applyFont="1"/>
    <xf numFmtId="0" fontId="2" fillId="0" borderId="7" xfId="0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169" fontId="5" fillId="0" borderId="0" xfId="0" applyNumberFormat="1" applyFont="1" applyAlignment="1">
      <alignment horizontal="center"/>
    </xf>
    <xf numFmtId="170" fontId="5" fillId="0" borderId="0" xfId="1" applyNumberFormat="1" applyFont="1" applyFill="1" applyAlignment="1">
      <alignment horizontal="center"/>
    </xf>
    <xf numFmtId="15" fontId="5" fillId="0" borderId="0" xfId="0" applyNumberFormat="1" applyFont="1" applyAlignment="1">
      <alignment horizontal="center" vertical="center" wrapText="1"/>
    </xf>
    <xf numFmtId="15" fontId="5" fillId="0" borderId="7" xfId="0" applyNumberFormat="1" applyFont="1" applyBorder="1" applyAlignment="1">
      <alignment horizontal="center" vertical="center" wrapText="1"/>
    </xf>
    <xf numFmtId="169" fontId="5" fillId="0" borderId="7" xfId="0" applyNumberFormat="1" applyFont="1" applyBorder="1" applyAlignment="1">
      <alignment horizontal="center"/>
    </xf>
    <xf numFmtId="170" fontId="5" fillId="0" borderId="7" xfId="1" applyNumberFormat="1" applyFont="1" applyFill="1" applyBorder="1" applyAlignment="1">
      <alignment horizontal="center"/>
    </xf>
    <xf numFmtId="171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quotePrefix="1" applyFont="1"/>
    <xf numFmtId="0" fontId="12" fillId="0" borderId="0" xfId="0" applyFont="1"/>
    <xf numFmtId="3" fontId="5" fillId="0" borderId="0" xfId="0" applyNumberFormat="1" applyFont="1"/>
    <xf numFmtId="0" fontId="2" fillId="0" borderId="7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4" fillId="0" borderId="9" xfId="0" applyNumberFormat="1" applyFont="1" applyBorder="1" applyAlignment="1">
      <alignment horizontal="center"/>
    </xf>
    <xf numFmtId="0" fontId="0" fillId="0" borderId="4" xfId="0" applyBorder="1"/>
    <xf numFmtId="0" fontId="2" fillId="0" borderId="7" xfId="0" applyFont="1" applyBorder="1" applyAlignment="1">
      <alignment horizontal="centerContinuous"/>
    </xf>
    <xf numFmtId="166" fontId="2" fillId="0" borderId="7" xfId="1" applyNumberFormat="1" applyFont="1" applyFill="1" applyBorder="1" applyAlignment="1">
      <alignment horizontal="centerContinuous"/>
    </xf>
    <xf numFmtId="0" fontId="2" fillId="0" borderId="14" xfId="0" applyFont="1" applyBorder="1" applyAlignment="1">
      <alignment horizontal="center"/>
    </xf>
    <xf numFmtId="172" fontId="5" fillId="0" borderId="0" xfId="1" applyNumberFormat="1" applyFont="1" applyFill="1" applyBorder="1" applyAlignment="1">
      <alignment horizontal="center"/>
    </xf>
    <xf numFmtId="166" fontId="15" fillId="0" borderId="7" xfId="1" applyNumberFormat="1" applyFont="1" applyFill="1" applyBorder="1" applyAlignment="1">
      <alignment horizontal="center"/>
    </xf>
    <xf numFmtId="166" fontId="2" fillId="0" borderId="7" xfId="1" applyNumberFormat="1" applyFont="1" applyFill="1" applyBorder="1" applyAlignment="1">
      <alignment horizontal="center"/>
    </xf>
    <xf numFmtId="172" fontId="2" fillId="0" borderId="0" xfId="0" applyNumberFormat="1" applyFont="1" applyAlignment="1">
      <alignment horizontal="center"/>
    </xf>
    <xf numFmtId="172" fontId="5" fillId="0" borderId="7" xfId="1" applyNumberFormat="1" applyFont="1" applyFill="1" applyBorder="1" applyAlignment="1">
      <alignment horizontal="center"/>
    </xf>
    <xf numFmtId="0" fontId="14" fillId="0" borderId="0" xfId="0" applyFont="1"/>
    <xf numFmtId="0" fontId="5" fillId="0" borderId="0" xfId="0" applyFont="1" applyAlignment="1">
      <alignment horizontal="center"/>
    </xf>
    <xf numFmtId="3" fontId="5" fillId="0" borderId="0" xfId="1" applyNumberFormat="1" applyFont="1" applyFill="1" applyBorder="1" applyAlignment="1">
      <alignment horizontal="center"/>
    </xf>
    <xf numFmtId="3" fontId="5" fillId="0" borderId="7" xfId="1" applyNumberFormat="1" applyFont="1" applyFill="1" applyBorder="1" applyAlignment="1">
      <alignment horizontal="center"/>
    </xf>
    <xf numFmtId="172" fontId="5" fillId="0" borderId="0" xfId="1" applyNumberFormat="1" applyFont="1" applyFill="1" applyBorder="1" applyAlignment="1">
      <alignment horizontal="left"/>
    </xf>
    <xf numFmtId="173" fontId="5" fillId="0" borderId="0" xfId="2" applyNumberFormat="1" applyFont="1" applyFill="1" applyBorder="1" applyAlignment="1">
      <alignment horizontal="center"/>
    </xf>
    <xf numFmtId="172" fontId="5" fillId="0" borderId="0" xfId="0" applyNumberFormat="1" applyFont="1" applyAlignment="1">
      <alignment horizontal="center"/>
    </xf>
    <xf numFmtId="173" fontId="5" fillId="0" borderId="0" xfId="2" applyNumberFormat="1" applyFont="1" applyFill="1" applyAlignment="1">
      <alignment horizontal="center"/>
    </xf>
    <xf numFmtId="173" fontId="5" fillId="0" borderId="7" xfId="2" applyNumberFormat="1" applyFont="1" applyFill="1" applyBorder="1" applyAlignment="1">
      <alignment horizontal="center"/>
    </xf>
    <xf numFmtId="172" fontId="5" fillId="0" borderId="7" xfId="0" applyNumberFormat="1" applyFont="1" applyBorder="1" applyAlignment="1">
      <alignment horizontal="center"/>
    </xf>
    <xf numFmtId="173" fontId="5" fillId="0" borderId="0" xfId="0" applyNumberFormat="1" applyFont="1" applyAlignment="1">
      <alignment horizontal="center"/>
    </xf>
    <xf numFmtId="10" fontId="2" fillId="0" borderId="0" xfId="1" applyNumberFormat="1" applyFont="1" applyFill="1" applyAlignment="1">
      <alignment horizontal="center"/>
    </xf>
    <xf numFmtId="10" fontId="16" fillId="0" borderId="0" xfId="1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Continuous"/>
    </xf>
    <xf numFmtId="169" fontId="2" fillId="0" borderId="0" xfId="0" applyNumberFormat="1" applyFont="1" applyAlignment="1">
      <alignment horizontal="center"/>
    </xf>
    <xf numFmtId="169" fontId="2" fillId="0" borderId="7" xfId="0" applyNumberFormat="1" applyFont="1" applyBorder="1" applyAlignment="1">
      <alignment horizontal="center"/>
    </xf>
    <xf numFmtId="10" fontId="2" fillId="0" borderId="7" xfId="1" applyNumberFormat="1" applyFont="1" applyFill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center"/>
    </xf>
    <xf numFmtId="10" fontId="5" fillId="0" borderId="0" xfId="1" applyNumberFormat="1" applyFont="1" applyFill="1" applyAlignment="1">
      <alignment horizontal="center"/>
    </xf>
    <xf numFmtId="3" fontId="5" fillId="0" borderId="7" xfId="0" applyNumberFormat="1" applyFont="1" applyBorder="1" applyAlignment="1">
      <alignment horizontal="center"/>
    </xf>
    <xf numFmtId="168" fontId="5" fillId="0" borderId="7" xfId="0" applyNumberFormat="1" applyFont="1" applyBorder="1" applyAlignment="1">
      <alignment horizontal="center"/>
    </xf>
    <xf numFmtId="10" fontId="5" fillId="0" borderId="7" xfId="1" applyNumberFormat="1" applyFont="1" applyFill="1" applyBorder="1" applyAlignment="1">
      <alignment horizontal="center"/>
    </xf>
    <xf numFmtId="174" fontId="5" fillId="0" borderId="0" xfId="1" applyNumberFormat="1" applyFont="1" applyFill="1"/>
    <xf numFmtId="10" fontId="5" fillId="0" borderId="0" xfId="1" applyNumberFormat="1" applyFont="1" applyFill="1"/>
    <xf numFmtId="0" fontId="5" fillId="0" borderId="7" xfId="0" quotePrefix="1" applyFont="1" applyBorder="1"/>
    <xf numFmtId="10" fontId="2" fillId="0" borderId="0" xfId="0" applyNumberFormat="1" applyFont="1"/>
    <xf numFmtId="165" fontId="5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175" fontId="5" fillId="0" borderId="0" xfId="0" applyNumberFormat="1" applyFont="1" applyAlignment="1">
      <alignment horizontal="center"/>
    </xf>
    <xf numFmtId="175" fontId="5" fillId="0" borderId="0" xfId="0" quotePrefix="1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171" fontId="2" fillId="0" borderId="0" xfId="0" applyNumberFormat="1" applyFont="1" applyAlignment="1">
      <alignment horizontal="center"/>
    </xf>
    <xf numFmtId="3" fontId="2" fillId="0" borderId="7" xfId="0" applyNumberFormat="1" applyFont="1" applyBorder="1" applyAlignment="1">
      <alignment horizontal="center"/>
    </xf>
    <xf numFmtId="168" fontId="2" fillId="0" borderId="7" xfId="0" applyNumberFormat="1" applyFont="1" applyBorder="1" applyAlignment="1">
      <alignment horizontal="center"/>
    </xf>
    <xf numFmtId="171" fontId="2" fillId="0" borderId="7" xfId="0" applyNumberFormat="1" applyFont="1" applyBorder="1" applyAlignment="1">
      <alignment horizontal="center"/>
    </xf>
    <xf numFmtId="167" fontId="2" fillId="0" borderId="0" xfId="0" quotePrefix="1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10" fontId="2" fillId="0" borderId="0" xfId="1" applyNumberFormat="1" applyFont="1" applyFill="1" applyAlignment="1">
      <alignment horizontal="left"/>
    </xf>
    <xf numFmtId="17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66" fontId="2" fillId="0" borderId="0" xfId="1" applyNumberFormat="1" applyFont="1" applyFill="1" applyAlignment="1">
      <alignment horizontal="center" vertical="center"/>
    </xf>
    <xf numFmtId="166" fontId="2" fillId="0" borderId="7" xfId="1" applyNumberFormat="1" applyFont="1" applyFill="1" applyBorder="1" applyAlignment="1">
      <alignment horizontal="center" vertical="center"/>
    </xf>
    <xf numFmtId="37" fontId="2" fillId="0" borderId="0" xfId="2" applyNumberFormat="1" applyFont="1" applyFill="1" applyBorder="1" applyAlignment="1">
      <alignment horizontal="center" vertical="center"/>
    </xf>
    <xf numFmtId="37" fontId="2" fillId="0" borderId="7" xfId="2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7" fontId="5" fillId="0" borderId="0" xfId="0" applyNumberFormat="1" applyFont="1" applyAlignment="1">
      <alignment horizontal="center"/>
    </xf>
    <xf numFmtId="10" fontId="5" fillId="0" borderId="0" xfId="0" applyNumberFormat="1" applyFont="1"/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left"/>
    </xf>
    <xf numFmtId="166" fontId="2" fillId="0" borderId="0" xfId="1" applyNumberFormat="1" applyFont="1" applyFill="1" applyBorder="1" applyAlignment="1">
      <alignment horizontal="center"/>
    </xf>
    <xf numFmtId="0" fontId="18" fillId="0" borderId="0" xfId="0" applyFont="1"/>
    <xf numFmtId="177" fontId="2" fillId="0" borderId="0" xfId="0" applyNumberFormat="1" applyFont="1"/>
    <xf numFmtId="0" fontId="2" fillId="0" borderId="0" xfId="0" applyFont="1" applyAlignment="1">
      <alignment horizontal="centerContinuous"/>
    </xf>
    <xf numFmtId="0" fontId="17" fillId="0" borderId="0" xfId="0" applyFont="1"/>
    <xf numFmtId="0" fontId="17" fillId="0" borderId="0" xfId="0" applyFont="1" applyAlignment="1">
      <alignment horizontal="centerContinuous"/>
    </xf>
    <xf numFmtId="177" fontId="2" fillId="0" borderId="7" xfId="0" applyNumberFormat="1" applyFont="1" applyBorder="1" applyAlignment="1">
      <alignment horizontal="center"/>
    </xf>
    <xf numFmtId="166" fontId="2" fillId="0" borderId="0" xfId="1" applyNumberFormat="1" applyFont="1" applyFill="1" applyAlignment="1">
      <alignment horizontal="center"/>
    </xf>
    <xf numFmtId="166" fontId="2" fillId="0" borderId="0" xfId="0" applyNumberFormat="1" applyFont="1" applyAlignment="1">
      <alignment horizontal="center"/>
    </xf>
    <xf numFmtId="166" fontId="5" fillId="0" borderId="0" xfId="0" applyNumberFormat="1" applyFont="1"/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10" fontId="2" fillId="0" borderId="0" xfId="1" applyNumberFormat="1" applyFont="1" applyFill="1" applyBorder="1" applyAlignment="1">
      <alignment horizontal="center"/>
    </xf>
    <xf numFmtId="174" fontId="2" fillId="0" borderId="0" xfId="0" applyNumberFormat="1" applyFont="1" applyAlignment="1">
      <alignment horizontal="center"/>
    </xf>
    <xf numFmtId="0" fontId="19" fillId="0" borderId="0" xfId="0" applyFont="1"/>
    <xf numFmtId="174" fontId="5" fillId="0" borderId="0" xfId="0" applyNumberFormat="1" applyFont="1" applyAlignment="1">
      <alignment horizontal="center"/>
    </xf>
    <xf numFmtId="3" fontId="2" fillId="0" borderId="7" xfId="0" applyNumberFormat="1" applyFont="1" applyBorder="1" applyAlignment="1">
      <alignment horizontal="center" wrapText="1"/>
    </xf>
    <xf numFmtId="174" fontId="2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10" fontId="5" fillId="0" borderId="0" xfId="1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center" wrapText="1"/>
    </xf>
    <xf numFmtId="3" fontId="5" fillId="0" borderId="7" xfId="0" applyNumberFormat="1" applyFont="1" applyBorder="1" applyAlignment="1">
      <alignment horizontal="center" wrapText="1"/>
    </xf>
    <xf numFmtId="4" fontId="5" fillId="0" borderId="0" xfId="0" applyNumberFormat="1" applyFont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20" fillId="0" borderId="0" xfId="0" applyFont="1" applyAlignment="1">
      <alignment horizontal="left"/>
    </xf>
    <xf numFmtId="0" fontId="13" fillId="0" borderId="0" xfId="0" applyFont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3" fontId="19" fillId="0" borderId="0" xfId="0" applyNumberFormat="1" applyFont="1" applyAlignment="1">
      <alignment horizontal="center"/>
    </xf>
    <xf numFmtId="10" fontId="19" fillId="0" borderId="0" xfId="1" applyNumberFormat="1" applyFont="1" applyFill="1" applyAlignment="1">
      <alignment horizontal="center"/>
    </xf>
    <xf numFmtId="10" fontId="19" fillId="0" borderId="0" xfId="1" applyNumberFormat="1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7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168" fontId="1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26</xdr:row>
      <xdr:rowOff>20955</xdr:rowOff>
    </xdr:from>
    <xdr:to>
      <xdr:col>18</xdr:col>
      <xdr:colOff>0</xdr:colOff>
      <xdr:row>30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0CB7097-54A3-C688-6149-929B9C0EE2DA}"/>
            </a:ext>
          </a:extLst>
        </xdr:cNvPr>
        <xdr:cNvCxnSpPr/>
      </xdr:nvCxnSpPr>
      <xdr:spPr>
        <a:xfrm flipV="1">
          <a:off x="9029700" y="5250180"/>
          <a:ext cx="552450" cy="113157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266700</xdr:colOff>
      <xdr:row>25</xdr:row>
      <xdr:rowOff>188595</xdr:rowOff>
    </xdr:from>
    <xdr:to>
      <xdr:col>23</xdr:col>
      <xdr:colOff>266700</xdr:colOff>
      <xdr:row>29</xdr:row>
      <xdr:rowOff>276225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CFAFA41-7DBD-4E4F-8F02-73CD1D04B0EB}"/>
            </a:ext>
          </a:extLst>
        </xdr:cNvPr>
        <xdr:cNvCxnSpPr/>
      </xdr:nvCxnSpPr>
      <xdr:spPr>
        <a:xfrm flipV="1">
          <a:off x="10677525" y="5217795"/>
          <a:ext cx="552450" cy="114490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42</xdr:row>
      <xdr:rowOff>19050</xdr:rowOff>
    </xdr:from>
    <xdr:to>
      <xdr:col>19</xdr:col>
      <xdr:colOff>266700</xdr:colOff>
      <xdr:row>46</xdr:row>
      <xdr:rowOff>15240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11BB6FE-1EE0-46BD-BC25-8E4B02254EA3}"/>
            </a:ext>
          </a:extLst>
        </xdr:cNvPr>
        <xdr:cNvCxnSpPr/>
      </xdr:nvCxnSpPr>
      <xdr:spPr>
        <a:xfrm flipV="1">
          <a:off x="9391650" y="9782175"/>
          <a:ext cx="1095375" cy="113919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266700</xdr:colOff>
      <xdr:row>42</xdr:row>
      <xdr:rowOff>9525</xdr:rowOff>
    </xdr:from>
    <xdr:to>
      <xdr:col>25</xdr:col>
      <xdr:colOff>266700</xdr:colOff>
      <xdr:row>45</xdr:row>
      <xdr:rowOff>281940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15BF5E68-FD03-4C51-9559-CD23AF97230C}"/>
            </a:ext>
          </a:extLst>
        </xdr:cNvPr>
        <xdr:cNvCxnSpPr/>
      </xdr:nvCxnSpPr>
      <xdr:spPr>
        <a:xfrm flipV="1">
          <a:off x="11039475" y="9772650"/>
          <a:ext cx="1104900" cy="112966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DCE2F-AEC1-4A0A-9F06-F548DA5064BE}">
  <dimension ref="A1:AB71"/>
  <sheetViews>
    <sheetView tabSelected="1" zoomScaleNormal="100" workbookViewId="0"/>
  </sheetViews>
  <sheetFormatPr defaultColWidth="8.85546875" defaultRowHeight="15.75" x14ac:dyDescent="0.25"/>
  <cols>
    <col min="1" max="1" width="8.85546875" style="1" customWidth="1"/>
    <col min="2" max="3" width="11.7109375" style="1" customWidth="1"/>
    <col min="4" max="4" width="19.5703125" style="1" customWidth="1"/>
    <col min="5" max="5" width="12.28515625" style="1" customWidth="1"/>
    <col min="6" max="6" width="11.7109375" style="1" customWidth="1"/>
    <col min="7" max="7" width="8.85546875" style="1"/>
    <col min="8" max="8" width="8.85546875" style="1" customWidth="1"/>
    <col min="9" max="11" width="8.85546875" style="1"/>
    <col min="12" max="12" width="8.85546875" style="1" customWidth="1"/>
    <col min="13" max="28" width="4" style="1" customWidth="1"/>
    <col min="29" max="16384" width="8.85546875" style="1"/>
  </cols>
  <sheetData>
    <row r="1" spans="1:18" ht="18.75" x14ac:dyDescent="0.3">
      <c r="A1" s="2" t="s">
        <v>9</v>
      </c>
      <c r="B1" s="4"/>
      <c r="C1" s="9" t="s">
        <v>10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9" t="s">
        <v>12</v>
      </c>
      <c r="B3" s="9"/>
      <c r="C3" s="9"/>
      <c r="D3" s="9"/>
      <c r="E3" s="9"/>
      <c r="F3" s="4"/>
      <c r="G3" s="4"/>
      <c r="H3" s="4"/>
      <c r="I3" s="4"/>
      <c r="J3" s="4"/>
      <c r="K3" s="4"/>
      <c r="L3" s="3"/>
    </row>
    <row r="4" spans="1:18" x14ac:dyDescent="0.25">
      <c r="A4" s="21"/>
      <c r="B4" s="25" t="s">
        <v>13</v>
      </c>
      <c r="C4" s="22"/>
      <c r="D4" s="22"/>
      <c r="E4" s="9"/>
      <c r="F4" s="4"/>
      <c r="G4" s="4"/>
      <c r="H4" s="9"/>
      <c r="I4" s="9"/>
      <c r="J4" s="9"/>
      <c r="K4" s="9"/>
      <c r="L4" s="9"/>
    </row>
    <row r="5" spans="1:18" x14ac:dyDescent="0.25">
      <c r="A5" s="21"/>
      <c r="B5" s="9"/>
      <c r="C5" s="26">
        <v>7500</v>
      </c>
      <c r="D5" s="25" t="s">
        <v>17</v>
      </c>
      <c r="E5" s="9"/>
      <c r="F5" s="4"/>
      <c r="G5" s="4"/>
      <c r="H5" s="26">
        <v>400</v>
      </c>
      <c r="I5" s="23"/>
      <c r="J5" s="9"/>
      <c r="K5" s="9"/>
      <c r="L5" s="9"/>
    </row>
    <row r="6" spans="1:18" x14ac:dyDescent="0.25">
      <c r="A6" s="21"/>
      <c r="B6" s="9"/>
      <c r="C6" s="26">
        <v>12000</v>
      </c>
      <c r="D6" s="25" t="s">
        <v>18</v>
      </c>
      <c r="E6" s="9"/>
      <c r="F6" s="4"/>
      <c r="G6" s="4"/>
      <c r="H6" s="26">
        <v>750</v>
      </c>
      <c r="I6" s="23"/>
      <c r="J6" s="9"/>
      <c r="K6" s="9"/>
      <c r="L6" s="9"/>
    </row>
    <row r="7" spans="1:18" x14ac:dyDescent="0.25">
      <c r="A7" s="21"/>
      <c r="B7" s="25" t="s">
        <v>14</v>
      </c>
      <c r="C7" s="22"/>
      <c r="D7" s="22"/>
      <c r="E7" s="9"/>
      <c r="F7" s="4"/>
      <c r="G7" s="4"/>
      <c r="H7" s="9"/>
      <c r="I7" s="9"/>
      <c r="J7" s="9"/>
      <c r="K7" s="9"/>
      <c r="L7" s="9"/>
    </row>
    <row r="8" spans="1:18" x14ac:dyDescent="0.25">
      <c r="A8" s="21"/>
      <c r="B8" s="25" t="s">
        <v>19</v>
      </c>
      <c r="C8" s="22"/>
      <c r="D8" s="22"/>
      <c r="E8" s="27">
        <v>0.05</v>
      </c>
      <c r="F8" s="25" t="s">
        <v>20</v>
      </c>
      <c r="G8" s="9"/>
      <c r="H8" s="9"/>
      <c r="I8" s="9"/>
      <c r="J8" s="9"/>
      <c r="K8" s="9"/>
      <c r="L8" s="9"/>
    </row>
    <row r="9" spans="1:18" x14ac:dyDescent="0.25">
      <c r="A9" s="9"/>
      <c r="B9" s="25" t="s">
        <v>21</v>
      </c>
      <c r="C9" s="22"/>
      <c r="D9" s="22"/>
      <c r="E9" s="28">
        <v>0.1</v>
      </c>
      <c r="F9" s="25" t="s">
        <v>190</v>
      </c>
      <c r="G9" s="9"/>
      <c r="H9" s="9"/>
      <c r="I9" s="9"/>
      <c r="J9" s="9"/>
      <c r="K9" s="9"/>
      <c r="L9" s="9"/>
    </row>
    <row r="10" spans="1:18" x14ac:dyDescent="0.25">
      <c r="A10" s="9"/>
      <c r="B10" s="25"/>
      <c r="C10" s="22" t="s">
        <v>191</v>
      </c>
      <c r="D10" s="22"/>
      <c r="E10" s="71"/>
      <c r="F10" s="25"/>
      <c r="G10" s="9"/>
      <c r="H10" s="9"/>
      <c r="I10" s="9"/>
      <c r="J10" s="9"/>
      <c r="K10" s="9"/>
      <c r="L10" s="9"/>
    </row>
    <row r="11" spans="1:18" x14ac:dyDescent="0.25">
      <c r="A11" s="9"/>
      <c r="B11" s="25" t="s">
        <v>19</v>
      </c>
      <c r="C11" s="22"/>
      <c r="D11" s="22"/>
      <c r="E11" s="28">
        <v>0.08</v>
      </c>
      <c r="F11" s="25" t="s">
        <v>22</v>
      </c>
      <c r="G11" s="9"/>
      <c r="H11" s="9"/>
      <c r="I11" s="9"/>
      <c r="J11" s="9"/>
      <c r="K11" s="9"/>
      <c r="L11" s="9"/>
    </row>
    <row r="12" spans="1:18" x14ac:dyDescent="0.25">
      <c r="A12" s="21"/>
      <c r="B12" s="25" t="s">
        <v>15</v>
      </c>
      <c r="C12" s="22"/>
      <c r="D12" s="22"/>
      <c r="E12" s="9"/>
      <c r="F12" s="9"/>
      <c r="G12" s="9"/>
      <c r="H12" s="9"/>
      <c r="I12" s="9"/>
      <c r="J12" s="9"/>
      <c r="K12" s="9"/>
      <c r="L12" s="9"/>
    </row>
    <row r="13" spans="1:18" x14ac:dyDescent="0.25">
      <c r="A13" s="9"/>
      <c r="B13" s="25" t="s">
        <v>16</v>
      </c>
      <c r="C13" s="22"/>
      <c r="D13" s="22"/>
      <c r="E13" s="9"/>
      <c r="F13" s="4"/>
      <c r="G13" s="4"/>
      <c r="H13" s="9"/>
      <c r="I13" s="9"/>
      <c r="J13" s="9"/>
      <c r="K13" s="9"/>
      <c r="L13" s="9"/>
    </row>
    <row r="14" spans="1:18" x14ac:dyDescent="0.25">
      <c r="A14" s="4"/>
      <c r="B14" s="4"/>
      <c r="C14" s="4"/>
      <c r="D14" s="4"/>
      <c r="E14" s="4"/>
      <c r="F14" s="4"/>
      <c r="G14" s="4"/>
      <c r="H14" s="9"/>
      <c r="I14" s="9"/>
      <c r="J14" s="9"/>
      <c r="K14" s="9"/>
      <c r="L14" s="9"/>
    </row>
    <row r="15" spans="1:18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8" x14ac:dyDescent="0.25">
      <c r="A16" s="6" t="s">
        <v>4</v>
      </c>
      <c r="B16" s="9" t="s">
        <v>23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8"/>
      <c r="N16" s="8"/>
      <c r="O16" s="8"/>
      <c r="P16" s="8"/>
      <c r="Q16" s="8"/>
      <c r="R16" s="8"/>
    </row>
    <row r="17" spans="1:28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28" x14ac:dyDescent="0.25">
      <c r="A18" s="7" t="s">
        <v>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8"/>
    </row>
    <row r="19" spans="1:28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</row>
    <row r="20" spans="1:28" x14ac:dyDescent="0.25">
      <c r="A20" s="7"/>
      <c r="B20" s="7" t="s">
        <v>220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</row>
    <row r="21" spans="1:28" x14ac:dyDescent="0.25">
      <c r="B21" s="1" t="s">
        <v>221</v>
      </c>
      <c r="M21" s="8"/>
      <c r="N21" s="8"/>
    </row>
    <row r="23" spans="1:28" x14ac:dyDescent="0.25">
      <c r="A23" s="6" t="s">
        <v>5</v>
      </c>
      <c r="B23" s="9" t="s">
        <v>24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28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28" x14ac:dyDescent="0.25">
      <c r="A25" s="7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12" t="s">
        <v>11</v>
      </c>
    </row>
    <row r="26" spans="1:28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206">
        <v>2019</v>
      </c>
      <c r="N26" s="206"/>
      <c r="O26" s="206"/>
      <c r="P26" s="206"/>
      <c r="Q26" s="206">
        <f>M26+1</f>
        <v>2020</v>
      </c>
      <c r="R26" s="206"/>
      <c r="S26" s="206"/>
      <c r="T26" s="206"/>
      <c r="U26" s="206">
        <f>Q26+1</f>
        <v>2021</v>
      </c>
      <c r="V26" s="206"/>
      <c r="W26" s="206"/>
      <c r="X26" s="206"/>
      <c r="Y26" s="206">
        <f>U26+1</f>
        <v>2022</v>
      </c>
      <c r="Z26" s="206"/>
      <c r="AA26" s="206"/>
      <c r="AB26" s="206"/>
    </row>
    <row r="27" spans="1:28" ht="22.15" customHeight="1" x14ac:dyDescent="0.25">
      <c r="A27" s="7"/>
      <c r="B27" s="1" t="s">
        <v>222</v>
      </c>
      <c r="F27" s="7"/>
      <c r="G27" s="7"/>
      <c r="H27" s="7"/>
      <c r="I27" s="7"/>
      <c r="J27" s="7"/>
      <c r="K27" s="7"/>
      <c r="L27" s="7"/>
      <c r="M27" s="13"/>
      <c r="N27" s="14"/>
      <c r="O27" s="14"/>
      <c r="P27" s="15"/>
      <c r="Q27" s="13"/>
      <c r="R27" s="13" t="s">
        <v>227</v>
      </c>
      <c r="S27" s="14"/>
      <c r="T27" s="15"/>
      <c r="U27" s="13"/>
      <c r="V27" s="14"/>
      <c r="W27" s="14"/>
      <c r="X27" s="15"/>
      <c r="Y27" s="13"/>
      <c r="Z27" s="14"/>
      <c r="AA27" s="14"/>
      <c r="AB27" s="15"/>
    </row>
    <row r="28" spans="1:28" ht="22.15" customHeight="1" x14ac:dyDescent="0.25">
      <c r="A28" s="7"/>
      <c r="B28" s="72" t="s">
        <v>223</v>
      </c>
      <c r="C28"/>
      <c r="D28"/>
      <c r="E28" s="73">
        <f>C5*H5</f>
        <v>3000000</v>
      </c>
      <c r="F28" s="7"/>
      <c r="G28" s="7"/>
      <c r="H28" s="7"/>
      <c r="I28" s="7"/>
      <c r="J28" s="7"/>
      <c r="K28" s="7"/>
      <c r="L28" s="7"/>
      <c r="M28" s="16"/>
      <c r="N28" s="8"/>
      <c r="O28" s="8"/>
      <c r="P28" s="17"/>
      <c r="Q28" s="16" t="s">
        <v>225</v>
      </c>
      <c r="R28" s="16"/>
      <c r="S28" s="8"/>
      <c r="T28" s="17"/>
      <c r="U28" s="16"/>
      <c r="V28" s="8"/>
      <c r="W28" s="8"/>
      <c r="X28" s="17"/>
      <c r="Y28" s="16"/>
      <c r="Z28" s="8"/>
      <c r="AA28" s="8"/>
      <c r="AB28" s="17"/>
    </row>
    <row r="29" spans="1:28" ht="22.15" customHeight="1" x14ac:dyDescent="0.25">
      <c r="A29" s="7"/>
      <c r="B29" s="72" t="s">
        <v>224</v>
      </c>
      <c r="C29"/>
      <c r="D29"/>
      <c r="E29" s="73">
        <f>E28*2</f>
        <v>6000000</v>
      </c>
      <c r="F29" s="7"/>
      <c r="G29" s="7"/>
      <c r="H29" s="7"/>
      <c r="I29" s="7"/>
      <c r="J29" s="7"/>
      <c r="K29" s="7"/>
      <c r="L29" s="7"/>
      <c r="M29" s="16"/>
      <c r="N29" s="8"/>
      <c r="O29" s="8"/>
      <c r="P29" s="17"/>
      <c r="Q29" s="16"/>
      <c r="R29" s="16"/>
      <c r="S29" s="8" t="s">
        <v>228</v>
      </c>
      <c r="T29" s="17"/>
      <c r="U29" s="16"/>
      <c r="V29" s="8"/>
      <c r="W29" s="8"/>
      <c r="X29" s="17"/>
      <c r="Y29" s="16"/>
      <c r="Z29" s="8"/>
      <c r="AA29" s="8"/>
      <c r="AB29" s="17"/>
    </row>
    <row r="30" spans="1:28" ht="22.1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18"/>
      <c r="N30" s="19"/>
      <c r="O30" s="19"/>
      <c r="P30" s="20"/>
      <c r="Q30" s="18" t="s">
        <v>226</v>
      </c>
      <c r="R30" s="18"/>
      <c r="S30" s="19"/>
      <c r="T30" s="20"/>
      <c r="U30" s="18"/>
      <c r="V30" s="19"/>
      <c r="W30" s="19"/>
      <c r="X30" s="20"/>
      <c r="Y30" s="18"/>
      <c r="Z30" s="19"/>
      <c r="AA30" s="19"/>
      <c r="AB30" s="20"/>
    </row>
    <row r="31" spans="1:28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P31" s="74" t="s">
        <v>231</v>
      </c>
      <c r="R31" s="72" t="s">
        <v>229</v>
      </c>
      <c r="V31" s="72" t="s">
        <v>230</v>
      </c>
    </row>
    <row r="32" spans="1:28" ht="47.25" x14ac:dyDescent="0.25">
      <c r="A32" s="7"/>
      <c r="B32" s="79" t="s">
        <v>232</v>
      </c>
      <c r="C32" s="80" t="s">
        <v>233</v>
      </c>
      <c r="D32" s="80" t="s">
        <v>234</v>
      </c>
      <c r="E32" s="7"/>
      <c r="F32" s="7"/>
      <c r="G32" s="7"/>
      <c r="H32" s="7"/>
      <c r="I32" s="7"/>
      <c r="J32" s="7"/>
      <c r="K32" s="7"/>
      <c r="L32" s="7"/>
    </row>
    <row r="33" spans="1:28" x14ac:dyDescent="0.25">
      <c r="A33" s="7"/>
      <c r="B33" s="76" t="s">
        <v>225</v>
      </c>
      <c r="C33" s="81">
        <v>1</v>
      </c>
      <c r="D33" s="82">
        <f>3/12-D34</f>
        <v>0.1875</v>
      </c>
      <c r="E33" s="7"/>
      <c r="F33" s="7"/>
      <c r="G33" s="7"/>
      <c r="H33" s="7"/>
      <c r="I33" s="7"/>
      <c r="J33" s="7"/>
      <c r="K33" s="7"/>
      <c r="L33" s="7"/>
    </row>
    <row r="34" spans="1:28" x14ac:dyDescent="0.25">
      <c r="A34" s="7"/>
      <c r="B34" s="83" t="s">
        <v>235</v>
      </c>
      <c r="C34" s="81">
        <f>1+E8</f>
        <v>1.05</v>
      </c>
      <c r="D34" s="82">
        <f>0.5*3/12*0.5</f>
        <v>6.25E-2</v>
      </c>
      <c r="E34" s="7"/>
      <c r="F34" s="7"/>
      <c r="G34" s="7"/>
      <c r="H34" s="7"/>
      <c r="I34" s="7"/>
      <c r="J34" s="7"/>
      <c r="K34" s="7"/>
      <c r="L34" s="7"/>
    </row>
    <row r="35" spans="1:28" x14ac:dyDescent="0.25">
      <c r="A35" s="7"/>
      <c r="B35" s="83" t="s">
        <v>227</v>
      </c>
      <c r="C35" s="81">
        <f>1-E9</f>
        <v>0.9</v>
      </c>
      <c r="D35" s="82">
        <f>D34</f>
        <v>6.25E-2</v>
      </c>
      <c r="E35" s="7"/>
      <c r="F35" s="7"/>
      <c r="G35" s="7"/>
      <c r="H35" s="7"/>
      <c r="I35" s="7"/>
      <c r="J35" s="7"/>
      <c r="K35" s="7"/>
      <c r="L35" s="7"/>
    </row>
    <row r="36" spans="1:28" x14ac:dyDescent="0.25">
      <c r="A36" s="7"/>
      <c r="B36" s="83" t="s">
        <v>228</v>
      </c>
      <c r="C36" s="81">
        <f>C34*C35</f>
        <v>0.94500000000000006</v>
      </c>
      <c r="D36" s="82">
        <f>1-SUM(D33:D35)</f>
        <v>0.6875</v>
      </c>
      <c r="E36" s="7"/>
      <c r="F36" s="7"/>
      <c r="G36" s="7"/>
      <c r="H36" s="7"/>
      <c r="I36" s="7"/>
      <c r="J36" s="7"/>
      <c r="K36" s="7"/>
      <c r="L36" s="7"/>
    </row>
    <row r="37" spans="1:28" x14ac:dyDescent="0.25">
      <c r="B37" s="84" t="s">
        <v>236</v>
      </c>
      <c r="C37" s="85">
        <f>C36*(1+E11)</f>
        <v>1.0206000000000002</v>
      </c>
      <c r="D37" s="86"/>
      <c r="M37" s="7"/>
    </row>
    <row r="38" spans="1:28" x14ac:dyDescent="0.25">
      <c r="B38" s="77" t="s">
        <v>241</v>
      </c>
      <c r="C38" s="7"/>
      <c r="D38" s="87">
        <f>SUMPRODUCT(C33:C37,D33:D37)</f>
        <v>0.95906250000000015</v>
      </c>
      <c r="M38" s="7"/>
    </row>
    <row r="39" spans="1:28" x14ac:dyDescent="0.25">
      <c r="B39" s="77" t="s">
        <v>239</v>
      </c>
      <c r="C39" s="7"/>
      <c r="D39" s="87">
        <f>C37/D38</f>
        <v>1.0641642228739003</v>
      </c>
      <c r="M39" s="7"/>
    </row>
    <row r="40" spans="1:28" x14ac:dyDescent="0.25">
      <c r="B40" s="77" t="s">
        <v>240</v>
      </c>
      <c r="C40" s="7"/>
      <c r="D40" s="88">
        <f>D39*E29</f>
        <v>6384985.3372434024</v>
      </c>
      <c r="M40" s="7"/>
    </row>
    <row r="41" spans="1:28" x14ac:dyDescent="0.25">
      <c r="M41" s="7"/>
    </row>
    <row r="42" spans="1:28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208">
        <v>2019</v>
      </c>
      <c r="N42" s="208"/>
      <c r="O42" s="208"/>
      <c r="P42" s="208"/>
      <c r="Q42" s="208">
        <f>M42+1</f>
        <v>2020</v>
      </c>
      <c r="R42" s="208"/>
      <c r="S42" s="208"/>
      <c r="T42" s="208"/>
      <c r="U42" s="208">
        <f>Q42+1</f>
        <v>2021</v>
      </c>
      <c r="V42" s="208"/>
      <c r="W42" s="208"/>
      <c r="X42" s="208"/>
      <c r="Y42" s="208">
        <f>U42+1</f>
        <v>2022</v>
      </c>
      <c r="Z42" s="208"/>
      <c r="AA42" s="208"/>
      <c r="AB42" s="208"/>
    </row>
    <row r="43" spans="1:28" ht="22.15" customHeight="1" x14ac:dyDescent="0.25">
      <c r="A43" s="7"/>
      <c r="B43" s="7" t="s">
        <v>237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13"/>
      <c r="N43" s="14"/>
      <c r="O43" s="14"/>
      <c r="P43" s="15"/>
      <c r="Q43" s="13"/>
      <c r="R43" s="13" t="s">
        <v>227</v>
      </c>
      <c r="S43" s="14"/>
      <c r="T43" s="15"/>
      <c r="U43" s="13"/>
      <c r="V43" s="14"/>
      <c r="W43" s="14"/>
      <c r="X43" s="15"/>
      <c r="Y43" s="13"/>
      <c r="Z43" s="14"/>
      <c r="AA43" s="14"/>
      <c r="AB43" s="15"/>
    </row>
    <row r="44" spans="1:28" ht="22.15" customHeight="1" x14ac:dyDescent="0.25">
      <c r="A44" s="7"/>
      <c r="B44" s="89" t="s">
        <v>223</v>
      </c>
      <c r="C44" s="90"/>
      <c r="D44" s="90"/>
      <c r="E44" s="91">
        <f>C6*H6</f>
        <v>9000000</v>
      </c>
      <c r="F44" s="7"/>
      <c r="G44" s="7"/>
      <c r="H44" s="7"/>
      <c r="I44" s="7"/>
      <c r="J44" s="7"/>
      <c r="K44" s="7"/>
      <c r="L44" s="7"/>
      <c r="M44" s="16"/>
      <c r="N44" s="8"/>
      <c r="O44" s="8"/>
      <c r="P44" s="17"/>
      <c r="Q44" s="16" t="s">
        <v>225</v>
      </c>
      <c r="R44" s="16"/>
      <c r="S44" s="8"/>
      <c r="T44" s="17"/>
      <c r="U44" s="16"/>
      <c r="V44" s="8"/>
      <c r="W44" s="8"/>
      <c r="X44" s="17"/>
      <c r="Y44" s="16"/>
      <c r="Z44" s="8"/>
      <c r="AA44" s="8"/>
      <c r="AB44" s="17"/>
    </row>
    <row r="45" spans="1:28" ht="22.15" customHeight="1" x14ac:dyDescent="0.25">
      <c r="A45" s="7"/>
      <c r="B45" s="72"/>
      <c r="C45"/>
      <c r="D45"/>
      <c r="E45" s="73"/>
      <c r="F45" s="7"/>
      <c r="G45" s="7"/>
      <c r="H45" s="7"/>
      <c r="I45" s="7"/>
      <c r="J45" s="7"/>
      <c r="K45" s="7"/>
      <c r="L45" s="7"/>
      <c r="M45" s="16"/>
      <c r="N45" s="8"/>
      <c r="O45" s="8"/>
      <c r="P45" s="17"/>
      <c r="Q45" s="16"/>
      <c r="R45" s="16"/>
      <c r="S45" s="8" t="s">
        <v>228</v>
      </c>
      <c r="T45" s="17"/>
      <c r="U45" s="16"/>
      <c r="V45" s="8"/>
      <c r="W45" s="8"/>
      <c r="X45" s="17"/>
      <c r="Y45" s="16"/>
      <c r="Z45" s="8"/>
      <c r="AA45" s="8"/>
      <c r="AB45" s="17"/>
    </row>
    <row r="46" spans="1:28" ht="22.1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18"/>
      <c r="N46" s="19"/>
      <c r="O46" s="19"/>
      <c r="P46" s="20"/>
      <c r="Q46" s="18" t="s">
        <v>226</v>
      </c>
      <c r="R46" s="18"/>
      <c r="S46" s="19"/>
      <c r="T46" s="20"/>
      <c r="U46" s="18"/>
      <c r="V46" s="19"/>
      <c r="W46" s="19"/>
      <c r="X46" s="20"/>
      <c r="Y46" s="18"/>
      <c r="Z46" s="19"/>
      <c r="AA46" s="19"/>
      <c r="AB46" s="20"/>
    </row>
    <row r="47" spans="1:28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P47" s="74" t="s">
        <v>231</v>
      </c>
      <c r="R47" s="72" t="s">
        <v>229</v>
      </c>
      <c r="V47" s="72" t="s">
        <v>230</v>
      </c>
    </row>
    <row r="48" spans="1:28" ht="47.25" x14ac:dyDescent="0.25">
      <c r="B48" s="79" t="s">
        <v>232</v>
      </c>
      <c r="C48" s="80" t="s">
        <v>233</v>
      </c>
      <c r="D48" s="80" t="s">
        <v>234</v>
      </c>
      <c r="E48" s="7"/>
      <c r="F48" s="7"/>
      <c r="G48" s="7"/>
      <c r="H48" s="7"/>
      <c r="M48" s="7"/>
    </row>
    <row r="49" spans="1:13" x14ac:dyDescent="0.25">
      <c r="B49" s="76" t="s">
        <v>225</v>
      </c>
      <c r="C49" s="81">
        <f>C33</f>
        <v>1</v>
      </c>
      <c r="D49" s="82">
        <f>3/12-D50</f>
        <v>0.21875</v>
      </c>
      <c r="E49" s="7"/>
      <c r="F49" s="7"/>
      <c r="G49" s="7"/>
      <c r="H49" s="7"/>
      <c r="M49" s="7"/>
    </row>
    <row r="50" spans="1:13" x14ac:dyDescent="0.25">
      <c r="B50" s="83" t="s">
        <v>235</v>
      </c>
      <c r="C50" s="81">
        <f t="shared" ref="C50:C53" si="0">C34</f>
        <v>1.05</v>
      </c>
      <c r="D50" s="82">
        <f>0.5*0.25*0.25</f>
        <v>3.125E-2</v>
      </c>
      <c r="E50" s="7"/>
      <c r="F50" s="7"/>
      <c r="G50" s="7"/>
      <c r="H50" s="7"/>
      <c r="M50" s="7"/>
    </row>
    <row r="51" spans="1:13" x14ac:dyDescent="0.25">
      <c r="B51" s="83" t="s">
        <v>227</v>
      </c>
      <c r="C51" s="81">
        <f t="shared" si="0"/>
        <v>0.9</v>
      </c>
      <c r="D51" s="82">
        <f>0.5*0.75*0.75</f>
        <v>0.28125</v>
      </c>
      <c r="E51" s="7"/>
      <c r="F51" s="7"/>
      <c r="G51" s="7"/>
      <c r="H51" s="7"/>
      <c r="M51" s="7"/>
    </row>
    <row r="52" spans="1:13" x14ac:dyDescent="0.25">
      <c r="B52" s="83" t="s">
        <v>228</v>
      </c>
      <c r="C52" s="81">
        <f t="shared" si="0"/>
        <v>0.94500000000000006</v>
      </c>
      <c r="D52" s="82">
        <f>1-SUM(D49:D51)</f>
        <v>0.46875</v>
      </c>
      <c r="E52" s="7"/>
      <c r="F52" s="7"/>
      <c r="G52" s="7"/>
      <c r="H52" s="7"/>
      <c r="M52" s="7"/>
    </row>
    <row r="53" spans="1:13" x14ac:dyDescent="0.25">
      <c r="B53" s="84" t="s">
        <v>236</v>
      </c>
      <c r="C53" s="85">
        <f t="shared" si="0"/>
        <v>1.0206000000000002</v>
      </c>
      <c r="D53" s="86"/>
      <c r="E53" s="7"/>
      <c r="F53" s="7"/>
      <c r="G53" s="7"/>
      <c r="H53" s="7"/>
      <c r="M53" s="7"/>
    </row>
    <row r="54" spans="1:13" x14ac:dyDescent="0.25">
      <c r="B54" s="77" t="s">
        <v>241</v>
      </c>
      <c r="C54" s="7"/>
      <c r="D54" s="87">
        <f>SUMPRODUCT(C49:C53,D49:D53)</f>
        <v>0.94765624999999998</v>
      </c>
      <c r="F54" s="7"/>
      <c r="G54" s="7"/>
      <c r="H54" s="7"/>
    </row>
    <row r="55" spans="1:13" x14ac:dyDescent="0.25">
      <c r="B55" s="77" t="s">
        <v>239</v>
      </c>
      <c r="C55" s="7"/>
      <c r="D55" s="87">
        <f>C53/D54</f>
        <v>1.0769727947238255</v>
      </c>
      <c r="F55" s="7"/>
      <c r="G55" s="7"/>
      <c r="H55" s="7"/>
    </row>
    <row r="56" spans="1:13" x14ac:dyDescent="0.25">
      <c r="B56" s="77" t="s">
        <v>240</v>
      </c>
      <c r="C56" s="7"/>
      <c r="D56" s="88">
        <f>D55*E44</f>
        <v>9692755.1525144298</v>
      </c>
      <c r="F56" s="7"/>
      <c r="G56" s="7"/>
      <c r="H56" s="7"/>
    </row>
    <row r="57" spans="1:13" x14ac:dyDescent="0.25">
      <c r="A57" s="7"/>
      <c r="B57" s="7"/>
      <c r="C57" s="7"/>
      <c r="D57" s="7"/>
      <c r="E57" s="7"/>
      <c r="F57" s="7"/>
      <c r="G57" s="7"/>
      <c r="H57" s="7"/>
    </row>
    <row r="58" spans="1:13" x14ac:dyDescent="0.25">
      <c r="A58" s="7"/>
      <c r="B58" s="7" t="s">
        <v>238</v>
      </c>
      <c r="C58" s="7"/>
      <c r="D58" s="90"/>
      <c r="E58" s="90"/>
      <c r="F58" s="88">
        <f>D56+D40</f>
        <v>16077740.489757832</v>
      </c>
      <c r="G58" s="7"/>
    </row>
    <row r="61" spans="1:13" x14ac:dyDescent="0.25">
      <c r="A61" s="6" t="s">
        <v>0</v>
      </c>
      <c r="B61" s="207" t="s">
        <v>25</v>
      </c>
      <c r="C61" s="207"/>
      <c r="D61" s="207"/>
      <c r="E61" s="207"/>
      <c r="F61" s="207"/>
      <c r="G61" s="207"/>
      <c r="H61" s="207"/>
      <c r="I61" s="207"/>
      <c r="J61" s="207"/>
      <c r="K61" s="207"/>
      <c r="L61" s="207"/>
    </row>
    <row r="62" spans="1:13" x14ac:dyDescent="0.25">
      <c r="A62" s="3"/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</row>
    <row r="63" spans="1:13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3" x14ac:dyDescent="0.25">
      <c r="A64" s="7" t="s">
        <v>1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4" x14ac:dyDescent="0.25">
      <c r="A65" s="7"/>
      <c r="B65" s="7" t="s">
        <v>242</v>
      </c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4" x14ac:dyDescent="0.25">
      <c r="A66" s="7"/>
      <c r="B66" s="89" t="s">
        <v>243</v>
      </c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4" x14ac:dyDescent="0.25">
      <c r="B67" s="72" t="s">
        <v>244</v>
      </c>
    </row>
    <row r="68" spans="1:14" x14ac:dyDescent="0.25">
      <c r="B68" s="72" t="s">
        <v>245</v>
      </c>
    </row>
    <row r="69" spans="1:14" x14ac:dyDescent="0.25">
      <c r="B69" s="72" t="s">
        <v>246</v>
      </c>
      <c r="M69" s="7"/>
      <c r="N69" s="7"/>
    </row>
    <row r="70" spans="1:14" x14ac:dyDescent="0.25">
      <c r="B70" s="72" t="s">
        <v>247</v>
      </c>
      <c r="M70" s="7"/>
      <c r="N70" s="7"/>
    </row>
    <row r="71" spans="1:14" x14ac:dyDescent="0.25">
      <c r="B71" s="72" t="s">
        <v>248</v>
      </c>
      <c r="M71" s="7"/>
      <c r="N71" s="7"/>
    </row>
  </sheetData>
  <mergeCells count="9">
    <mergeCell ref="Y26:AB26"/>
    <mergeCell ref="B61:L62"/>
    <mergeCell ref="M26:P26"/>
    <mergeCell ref="Q26:T26"/>
    <mergeCell ref="U26:X26"/>
    <mergeCell ref="M42:P42"/>
    <mergeCell ref="Q42:T42"/>
    <mergeCell ref="U42:X42"/>
    <mergeCell ref="Y42:AB42"/>
  </mergeCell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8E34-879A-4DFD-8F59-E81DE19140C2}">
  <dimension ref="A1:R51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7" width="14.7109375" style="1" customWidth="1"/>
    <col min="8" max="8" width="8.85546875" style="1" customWidth="1"/>
    <col min="9" max="16384" width="8.85546875" style="1"/>
  </cols>
  <sheetData>
    <row r="1" spans="1:12" ht="18.75" x14ac:dyDescent="0.3">
      <c r="A1" s="2" t="s">
        <v>138</v>
      </c>
      <c r="B1" s="4"/>
      <c r="C1" s="9" t="s">
        <v>10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9" t="s">
        <v>139</v>
      </c>
      <c r="B3" s="9"/>
      <c r="C3" s="9"/>
      <c r="D3" s="9"/>
      <c r="E3" s="9"/>
      <c r="F3" s="4"/>
      <c r="G3" s="4"/>
      <c r="H3" s="4"/>
      <c r="I3" s="4"/>
      <c r="J3" s="4"/>
      <c r="K3" s="4"/>
      <c r="L3" s="3"/>
    </row>
    <row r="4" spans="1:12" x14ac:dyDescent="0.25">
      <c r="A4" s="21"/>
      <c r="B4" s="9"/>
      <c r="C4" s="9"/>
      <c r="D4" s="9"/>
      <c r="E4" s="9"/>
      <c r="F4" s="4"/>
      <c r="G4" s="4"/>
      <c r="H4" s="9"/>
      <c r="I4" s="9"/>
      <c r="J4" s="9"/>
      <c r="K4" s="9"/>
      <c r="L4" s="9"/>
    </row>
    <row r="5" spans="1:12" x14ac:dyDescent="0.25">
      <c r="A5" s="21"/>
      <c r="B5" s="67"/>
      <c r="C5" s="67"/>
      <c r="D5" s="211" t="s">
        <v>140</v>
      </c>
      <c r="E5" s="211"/>
      <c r="F5" s="211"/>
      <c r="G5" s="211"/>
      <c r="H5" s="9"/>
      <c r="I5" s="9"/>
      <c r="J5" s="9"/>
      <c r="K5" s="9"/>
      <c r="L5" s="9"/>
    </row>
    <row r="6" spans="1:12" ht="47.25" x14ac:dyDescent="0.25">
      <c r="A6" s="10"/>
      <c r="B6" s="68" t="s">
        <v>141</v>
      </c>
      <c r="C6" s="68" t="s">
        <v>33</v>
      </c>
      <c r="D6" s="48" t="s">
        <v>142</v>
      </c>
      <c r="E6" s="48" t="s">
        <v>143</v>
      </c>
      <c r="F6" s="48" t="s">
        <v>144</v>
      </c>
      <c r="G6" s="48" t="s">
        <v>145</v>
      </c>
      <c r="H6" s="9"/>
      <c r="I6" s="9"/>
      <c r="J6" s="9"/>
      <c r="K6" s="9"/>
      <c r="L6" s="9"/>
    </row>
    <row r="7" spans="1:12" x14ac:dyDescent="0.25">
      <c r="A7" s="10"/>
      <c r="B7" s="33">
        <v>2016</v>
      </c>
      <c r="C7" s="26">
        <v>5536160</v>
      </c>
      <c r="D7" s="26">
        <v>5905048</v>
      </c>
      <c r="E7" s="26">
        <v>5978876</v>
      </c>
      <c r="F7" s="26">
        <v>5942040</v>
      </c>
      <c r="G7" s="26">
        <v>5907359</v>
      </c>
      <c r="H7" s="9"/>
      <c r="I7" s="9"/>
      <c r="J7" s="9"/>
      <c r="K7" s="9"/>
      <c r="L7" s="9"/>
    </row>
    <row r="8" spans="1:12" x14ac:dyDescent="0.25">
      <c r="A8" s="10"/>
      <c r="B8" s="33">
        <v>2017</v>
      </c>
      <c r="C8" s="26">
        <v>5562236</v>
      </c>
      <c r="D8" s="26">
        <v>6328184</v>
      </c>
      <c r="E8" s="26">
        <v>6384657</v>
      </c>
      <c r="F8" s="26">
        <v>6361957</v>
      </c>
      <c r="G8" s="26">
        <v>6332272</v>
      </c>
      <c r="H8" s="9"/>
      <c r="I8" s="9"/>
      <c r="J8" s="9"/>
      <c r="K8" s="9"/>
      <c r="L8" s="9"/>
    </row>
    <row r="9" spans="1:12" x14ac:dyDescent="0.25">
      <c r="A9" s="4"/>
      <c r="B9" s="33">
        <v>2018</v>
      </c>
      <c r="C9" s="26">
        <v>5351923</v>
      </c>
      <c r="D9" s="26">
        <v>6826215</v>
      </c>
      <c r="E9" s="26">
        <v>6858911</v>
      </c>
      <c r="F9" s="26">
        <v>6849499</v>
      </c>
      <c r="G9" s="26">
        <v>6831243</v>
      </c>
      <c r="H9" s="9"/>
      <c r="I9" s="9"/>
      <c r="J9" s="9"/>
      <c r="K9" s="9"/>
      <c r="L9" s="9"/>
    </row>
    <row r="10" spans="1:12" x14ac:dyDescent="0.25">
      <c r="A10" s="4"/>
      <c r="B10" s="33">
        <v>2019</v>
      </c>
      <c r="C10" s="26">
        <v>4867479</v>
      </c>
      <c r="D10" s="26">
        <v>7452341</v>
      </c>
      <c r="E10" s="26">
        <v>7354623</v>
      </c>
      <c r="F10" s="26">
        <v>7435596</v>
      </c>
      <c r="G10" s="26">
        <v>7446533</v>
      </c>
      <c r="H10" s="9"/>
      <c r="I10" s="9"/>
      <c r="J10" s="9"/>
      <c r="K10" s="9"/>
      <c r="L10" s="9"/>
    </row>
    <row r="11" spans="1:12" x14ac:dyDescent="0.25">
      <c r="A11" s="4"/>
      <c r="B11" s="33">
        <v>2020</v>
      </c>
      <c r="C11" s="26">
        <v>4015114</v>
      </c>
      <c r="D11" s="26">
        <v>7951950</v>
      </c>
      <c r="E11" s="26">
        <v>8011083</v>
      </c>
      <c r="F11" s="26">
        <v>7939852</v>
      </c>
      <c r="G11" s="26">
        <v>7945960</v>
      </c>
      <c r="H11" s="9"/>
      <c r="I11" s="9"/>
      <c r="J11" s="9"/>
      <c r="K11" s="9"/>
      <c r="L11" s="9"/>
    </row>
    <row r="12" spans="1:12" x14ac:dyDescent="0.25">
      <c r="A12" s="4"/>
      <c r="B12" s="33">
        <v>2021</v>
      </c>
      <c r="C12" s="26">
        <v>2890960</v>
      </c>
      <c r="D12" s="26">
        <v>8509581</v>
      </c>
      <c r="E12" s="26">
        <v>8494145</v>
      </c>
      <c r="F12" s="26">
        <v>8541832</v>
      </c>
      <c r="G12" s="26">
        <v>8530876</v>
      </c>
      <c r="H12" s="9"/>
      <c r="I12" s="9"/>
      <c r="J12" s="9"/>
      <c r="K12" s="9"/>
      <c r="L12" s="9"/>
    </row>
    <row r="13" spans="1:12" x14ac:dyDescent="0.25">
      <c r="A13" s="4"/>
      <c r="B13" s="33">
        <v>2022</v>
      </c>
      <c r="C13" s="26">
        <v>1312636</v>
      </c>
      <c r="D13" s="66">
        <v>8195915</v>
      </c>
      <c r="E13" s="26">
        <v>9200755</v>
      </c>
      <c r="F13" s="26">
        <v>9329317</v>
      </c>
      <c r="G13" s="26">
        <v>9147794</v>
      </c>
      <c r="H13" s="9"/>
      <c r="I13" s="9"/>
      <c r="J13" s="9"/>
      <c r="K13" s="9"/>
      <c r="L13" s="9"/>
    </row>
    <row r="14" spans="1:12" x14ac:dyDescent="0.25">
      <c r="A14" s="4"/>
      <c r="B14" s="32" t="s">
        <v>146</v>
      </c>
      <c r="C14" s="50">
        <v>29536508</v>
      </c>
      <c r="D14" s="50">
        <v>51169234</v>
      </c>
      <c r="E14" s="50">
        <v>52283050</v>
      </c>
      <c r="F14" s="50">
        <v>52400093</v>
      </c>
      <c r="G14" s="50">
        <v>52142037</v>
      </c>
      <c r="H14" s="9"/>
      <c r="I14" s="9"/>
      <c r="J14" s="9"/>
      <c r="K14" s="9"/>
      <c r="L14" s="9"/>
    </row>
    <row r="15" spans="1:12" x14ac:dyDescent="0.25">
      <c r="A15" s="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x14ac:dyDescent="0.25">
      <c r="A16" s="4"/>
      <c r="B16" s="67"/>
      <c r="C16" s="67"/>
      <c r="D16" s="211" t="s">
        <v>147</v>
      </c>
      <c r="E16" s="211"/>
      <c r="F16" s="211"/>
      <c r="G16" s="211"/>
      <c r="H16" s="9"/>
      <c r="I16" s="9"/>
      <c r="J16" s="9"/>
      <c r="K16" s="9"/>
      <c r="L16" s="9"/>
    </row>
    <row r="17" spans="1:12" ht="47.25" x14ac:dyDescent="0.25">
      <c r="A17" s="4"/>
      <c r="B17" s="68" t="s">
        <v>141</v>
      </c>
      <c r="C17" s="68" t="s">
        <v>31</v>
      </c>
      <c r="D17" s="48" t="s">
        <v>142</v>
      </c>
      <c r="E17" s="48" t="s">
        <v>143</v>
      </c>
      <c r="F17" s="48" t="s">
        <v>144</v>
      </c>
      <c r="G17" s="48" t="s">
        <v>145</v>
      </c>
      <c r="H17" s="9"/>
      <c r="I17" s="9"/>
      <c r="J17" s="9"/>
      <c r="K17" s="9"/>
      <c r="L17" s="9"/>
    </row>
    <row r="18" spans="1:12" x14ac:dyDescent="0.25">
      <c r="A18" s="4"/>
      <c r="B18" s="33">
        <v>2016</v>
      </c>
      <c r="C18" s="26">
        <v>5561671</v>
      </c>
      <c r="D18" s="26">
        <v>5655187</v>
      </c>
      <c r="E18" s="26">
        <v>6262148</v>
      </c>
      <c r="F18" s="26">
        <v>6328143</v>
      </c>
      <c r="G18" s="26">
        <v>5666316</v>
      </c>
      <c r="H18" s="9"/>
      <c r="I18" s="9"/>
      <c r="J18" s="9"/>
      <c r="K18" s="9"/>
      <c r="L18" s="9"/>
    </row>
    <row r="19" spans="1:12" x14ac:dyDescent="0.25">
      <c r="A19" s="4"/>
      <c r="B19" s="33">
        <v>2017</v>
      </c>
      <c r="C19" s="26">
        <v>5933723</v>
      </c>
      <c r="D19" s="26">
        <v>6134945</v>
      </c>
      <c r="E19" s="26">
        <v>6683825</v>
      </c>
      <c r="F19" s="26">
        <v>6775345</v>
      </c>
      <c r="G19" s="26">
        <v>6155950</v>
      </c>
      <c r="H19" s="9"/>
      <c r="I19" s="9"/>
      <c r="J19" s="9"/>
      <c r="K19" s="9"/>
      <c r="L19" s="9"/>
    </row>
    <row r="20" spans="1:12" x14ac:dyDescent="0.25">
      <c r="A20" s="4"/>
      <c r="B20" s="33">
        <v>2018</v>
      </c>
      <c r="C20" s="26">
        <v>6156167</v>
      </c>
      <c r="D20" s="26">
        <v>6750242</v>
      </c>
      <c r="E20" s="26">
        <v>7178303</v>
      </c>
      <c r="F20" s="26">
        <v>7294567</v>
      </c>
      <c r="G20" s="66">
        <v>6798147</v>
      </c>
      <c r="H20" s="9"/>
      <c r="I20" s="9"/>
      <c r="J20" s="9"/>
      <c r="K20" s="9"/>
      <c r="L20" s="9"/>
    </row>
    <row r="21" spans="1:12" x14ac:dyDescent="0.25">
      <c r="A21" s="4"/>
      <c r="B21" s="33">
        <v>2019</v>
      </c>
      <c r="C21" s="26">
        <v>6144133</v>
      </c>
      <c r="D21" s="26">
        <v>7522211</v>
      </c>
      <c r="E21" s="26">
        <v>7699232</v>
      </c>
      <c r="F21" s="26">
        <v>7918747</v>
      </c>
      <c r="G21" s="26">
        <v>7594857</v>
      </c>
      <c r="H21" s="9"/>
      <c r="I21" s="9"/>
      <c r="J21" s="9"/>
      <c r="K21" s="9"/>
      <c r="L21" s="9"/>
    </row>
    <row r="22" spans="1:12" x14ac:dyDescent="0.25">
      <c r="A22" s="4"/>
      <c r="B22" s="33">
        <v>2020</v>
      </c>
      <c r="C22" s="26">
        <v>5866764</v>
      </c>
      <c r="D22" s="26">
        <v>8412780</v>
      </c>
      <c r="E22" s="26">
        <v>8388349</v>
      </c>
      <c r="F22" s="26">
        <v>8455769</v>
      </c>
      <c r="G22" s="26">
        <v>8425790</v>
      </c>
      <c r="H22" s="9"/>
      <c r="I22" s="9"/>
      <c r="J22" s="9"/>
      <c r="K22" s="9"/>
      <c r="L22" s="9"/>
    </row>
    <row r="23" spans="1:12" x14ac:dyDescent="0.25">
      <c r="A23" s="4"/>
      <c r="B23" s="33">
        <v>2021</v>
      </c>
      <c r="C23" s="26">
        <v>5256853</v>
      </c>
      <c r="D23" s="26">
        <v>9598645</v>
      </c>
      <c r="E23" s="66">
        <v>8887702</v>
      </c>
      <c r="F23" s="26">
        <v>9096864</v>
      </c>
      <c r="G23" s="26">
        <v>9371672</v>
      </c>
      <c r="H23" s="9"/>
      <c r="I23" s="9"/>
      <c r="J23" s="9"/>
      <c r="K23" s="9"/>
      <c r="L23" s="9"/>
    </row>
    <row r="24" spans="1:12" x14ac:dyDescent="0.25">
      <c r="A24" s="4"/>
      <c r="B24" s="33">
        <v>2022</v>
      </c>
      <c r="C24" s="26">
        <v>4063884</v>
      </c>
      <c r="D24" s="26">
        <v>10558110</v>
      </c>
      <c r="E24" s="26">
        <v>9633219</v>
      </c>
      <c r="F24" s="26">
        <v>9935518</v>
      </c>
      <c r="G24" s="26">
        <v>10175158</v>
      </c>
      <c r="H24" s="9"/>
      <c r="I24" s="9"/>
      <c r="J24" s="9"/>
      <c r="K24" s="9"/>
      <c r="L24" s="9"/>
    </row>
    <row r="25" spans="1:12" x14ac:dyDescent="0.25">
      <c r="A25" s="4"/>
      <c r="B25" s="32" t="s">
        <v>146</v>
      </c>
      <c r="C25" s="50">
        <v>38983195</v>
      </c>
      <c r="D25" s="50">
        <v>54632120</v>
      </c>
      <c r="E25" s="50">
        <v>54732778</v>
      </c>
      <c r="F25" s="50">
        <v>55804953</v>
      </c>
      <c r="G25" s="50">
        <v>54187890</v>
      </c>
      <c r="H25" s="9"/>
      <c r="I25" s="9"/>
      <c r="J25" s="9"/>
      <c r="K25" s="9"/>
      <c r="L25" s="9"/>
    </row>
    <row r="26" spans="1:12" x14ac:dyDescent="0.25">
      <c r="A26" s="4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25">
      <c r="A27" s="4"/>
      <c r="B27" s="24" t="s">
        <v>148</v>
      </c>
      <c r="C27" s="9"/>
      <c r="D27" s="9"/>
      <c r="E27" s="9"/>
      <c r="F27" s="4"/>
      <c r="G27" s="4"/>
      <c r="H27" s="9"/>
      <c r="I27" s="9"/>
      <c r="J27" s="9"/>
      <c r="K27" s="9"/>
      <c r="L27" s="9"/>
    </row>
    <row r="28" spans="1:12" x14ac:dyDescent="0.25">
      <c r="A28" s="4"/>
      <c r="B28" s="24" t="s">
        <v>149</v>
      </c>
      <c r="C28" s="9"/>
      <c r="D28" s="9"/>
      <c r="E28" s="9"/>
      <c r="F28" s="4"/>
      <c r="G28" s="4"/>
      <c r="H28" s="9"/>
      <c r="I28" s="9"/>
      <c r="J28" s="9"/>
      <c r="K28" s="9"/>
      <c r="L28" s="9"/>
    </row>
    <row r="29" spans="1:12" x14ac:dyDescent="0.25">
      <c r="A29" s="4"/>
      <c r="B29" s="9"/>
      <c r="C29" s="25" t="s">
        <v>203</v>
      </c>
      <c r="D29" s="9"/>
      <c r="E29" s="9"/>
      <c r="F29" s="4"/>
      <c r="G29" s="4"/>
      <c r="H29" s="9"/>
      <c r="I29" s="9"/>
      <c r="J29" s="9"/>
      <c r="K29" s="9"/>
      <c r="L29" s="9"/>
    </row>
    <row r="30" spans="1:12" x14ac:dyDescent="0.25">
      <c r="A30" s="4"/>
      <c r="B30" s="9"/>
      <c r="C30" s="25"/>
      <c r="D30" s="9"/>
      <c r="E30" s="9"/>
      <c r="F30" s="4"/>
      <c r="G30" s="4"/>
      <c r="H30" s="9"/>
      <c r="I30" s="9"/>
      <c r="J30" s="9"/>
      <c r="K30" s="9"/>
      <c r="L30" s="9"/>
    </row>
    <row r="31" spans="1:12" x14ac:dyDescent="0.25">
      <c r="A31" s="9" t="s">
        <v>150</v>
      </c>
      <c r="B31" s="9"/>
      <c r="C31" s="25"/>
      <c r="D31" s="9"/>
      <c r="E31" s="9"/>
      <c r="F31" s="4"/>
      <c r="G31" s="4"/>
      <c r="H31" s="9"/>
      <c r="I31" s="9"/>
      <c r="J31" s="9"/>
      <c r="K31" s="9"/>
      <c r="L31" s="9"/>
    </row>
    <row r="32" spans="1:12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4" spans="1:18" x14ac:dyDescent="0.25">
      <c r="A34" s="5" t="s">
        <v>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6" spans="1:18" x14ac:dyDescent="0.25">
      <c r="A36" s="5" t="s">
        <v>28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8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8" x14ac:dyDescent="0.25">
      <c r="A38" s="6" t="s">
        <v>0</v>
      </c>
      <c r="B38" s="9" t="s">
        <v>151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8"/>
      <c r="N38" s="8"/>
      <c r="O38" s="8"/>
      <c r="P38" s="8"/>
      <c r="Q38" s="8"/>
      <c r="R38" s="8"/>
    </row>
    <row r="39" spans="1:18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8" x14ac:dyDescent="0.25">
      <c r="A40" s="7" t="s">
        <v>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8"/>
    </row>
    <row r="41" spans="1:18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8"/>
    </row>
    <row r="42" spans="1:18" x14ac:dyDescent="0.25">
      <c r="A42" s="7"/>
      <c r="B42" s="7" t="s">
        <v>370</v>
      </c>
      <c r="C42" s="7"/>
      <c r="E42" s="91">
        <f>AVERAGE(D11:G11)</f>
        <v>7962211.25</v>
      </c>
      <c r="F42" s="7"/>
      <c r="G42" s="7"/>
      <c r="H42" s="7"/>
      <c r="I42" s="7"/>
      <c r="J42" s="7"/>
      <c r="K42" s="7"/>
      <c r="L42" s="7"/>
      <c r="M42" s="7"/>
      <c r="N42" s="8"/>
    </row>
    <row r="43" spans="1:18" x14ac:dyDescent="0.25">
      <c r="M43" s="8"/>
      <c r="N43" s="8"/>
    </row>
    <row r="44" spans="1:18" x14ac:dyDescent="0.25">
      <c r="B44" s="1" t="s">
        <v>371</v>
      </c>
      <c r="E44" s="73">
        <f>E42-C11</f>
        <v>3947097.25</v>
      </c>
      <c r="M44" s="8"/>
      <c r="N44" s="8"/>
    </row>
    <row r="45" spans="1:18" x14ac:dyDescent="0.25">
      <c r="B45" s="1" t="s">
        <v>372</v>
      </c>
      <c r="E45" s="73">
        <f>C22-C11</f>
        <v>1851650</v>
      </c>
      <c r="M45" s="8"/>
      <c r="N45" s="8"/>
    </row>
    <row r="46" spans="1:18" x14ac:dyDescent="0.25">
      <c r="B46" s="1" t="s">
        <v>373</v>
      </c>
      <c r="E46" s="73">
        <f>E44-E45</f>
        <v>2095447.25</v>
      </c>
      <c r="M46" s="8"/>
      <c r="N46" s="8"/>
    </row>
    <row r="47" spans="1:18" x14ac:dyDescent="0.25">
      <c r="M47" s="8"/>
      <c r="N47" s="8"/>
    </row>
    <row r="48" spans="1:18" x14ac:dyDescent="0.25">
      <c r="E48" s="73"/>
      <c r="M48" s="8"/>
      <c r="N48" s="8"/>
    </row>
    <row r="49" spans="13:14" x14ac:dyDescent="0.25">
      <c r="M49" s="8"/>
      <c r="N49" s="8"/>
    </row>
    <row r="50" spans="13:14" x14ac:dyDescent="0.25">
      <c r="M50" s="8"/>
      <c r="N50" s="8"/>
    </row>
    <row r="51" spans="13:14" x14ac:dyDescent="0.25">
      <c r="M51" s="8"/>
      <c r="N51" s="8"/>
    </row>
  </sheetData>
  <mergeCells count="2">
    <mergeCell ref="D5:G5"/>
    <mergeCell ref="D16:G16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E27B-84E7-469F-8FC2-E35EA621F608}">
  <dimension ref="A1:R96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9" width="10.7109375" style="1" customWidth="1"/>
    <col min="10" max="16384" width="8.85546875" style="1"/>
  </cols>
  <sheetData>
    <row r="1" spans="1:12" ht="18.75" x14ac:dyDescent="0.3">
      <c r="A1" s="2" t="s">
        <v>152</v>
      </c>
      <c r="B1" s="4"/>
      <c r="C1" s="9" t="s">
        <v>8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9" t="s">
        <v>204</v>
      </c>
      <c r="B3" s="9"/>
      <c r="C3" s="9"/>
      <c r="D3" s="9"/>
      <c r="E3" s="9"/>
      <c r="F3" s="9"/>
      <c r="G3" s="9"/>
      <c r="H3" s="9"/>
      <c r="I3" s="9"/>
      <c r="J3" s="9"/>
      <c r="K3" s="4"/>
      <c r="L3" s="3"/>
    </row>
    <row r="4" spans="1:12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25">
      <c r="A5" s="9"/>
      <c r="B5" s="30" t="s">
        <v>30</v>
      </c>
      <c r="C5" s="211" t="s">
        <v>35</v>
      </c>
      <c r="D5" s="211"/>
      <c r="E5" s="211"/>
      <c r="F5" s="211"/>
      <c r="G5" s="211"/>
      <c r="H5" s="211"/>
      <c r="I5" s="69" t="s">
        <v>153</v>
      </c>
      <c r="J5" s="9"/>
      <c r="K5" s="9"/>
      <c r="L5" s="9"/>
    </row>
    <row r="6" spans="1:12" x14ac:dyDescent="0.25">
      <c r="A6" s="9"/>
      <c r="B6" s="31" t="s">
        <v>32</v>
      </c>
      <c r="C6" s="32">
        <v>12</v>
      </c>
      <c r="D6" s="32">
        <v>24</v>
      </c>
      <c r="E6" s="32">
        <v>36</v>
      </c>
      <c r="F6" s="32">
        <v>48</v>
      </c>
      <c r="G6" s="32">
        <v>60</v>
      </c>
      <c r="H6" s="32">
        <v>72</v>
      </c>
      <c r="I6" s="54" t="s">
        <v>154</v>
      </c>
      <c r="J6" s="9"/>
      <c r="K6" s="9"/>
      <c r="L6" s="9"/>
    </row>
    <row r="7" spans="1:12" x14ac:dyDescent="0.25">
      <c r="A7" s="9"/>
      <c r="B7" s="33">
        <v>2017</v>
      </c>
      <c r="C7" s="33">
        <v>399</v>
      </c>
      <c r="D7" s="33">
        <v>730</v>
      </c>
      <c r="E7" s="26">
        <v>1007</v>
      </c>
      <c r="F7" s="26">
        <v>1215</v>
      </c>
      <c r="G7" s="26">
        <v>1359</v>
      </c>
      <c r="H7" s="26">
        <v>1365</v>
      </c>
      <c r="I7" s="26">
        <v>1371</v>
      </c>
      <c r="J7" s="9"/>
      <c r="K7" s="9"/>
      <c r="L7" s="9"/>
    </row>
    <row r="8" spans="1:12" x14ac:dyDescent="0.25">
      <c r="A8" s="9"/>
      <c r="B8" s="33">
        <v>2018</v>
      </c>
      <c r="C8" s="33">
        <v>417</v>
      </c>
      <c r="D8" s="33">
        <v>763</v>
      </c>
      <c r="E8" s="26">
        <v>1063</v>
      </c>
      <c r="F8" s="26">
        <v>1278</v>
      </c>
      <c r="G8" s="26">
        <v>1318</v>
      </c>
      <c r="H8" s="33"/>
      <c r="I8" s="26">
        <v>1330</v>
      </c>
      <c r="J8" s="9"/>
      <c r="K8" s="9"/>
      <c r="L8" s="9"/>
    </row>
    <row r="9" spans="1:12" x14ac:dyDescent="0.25">
      <c r="A9" s="9"/>
      <c r="B9" s="33">
        <v>2019</v>
      </c>
      <c r="C9" s="33">
        <v>449</v>
      </c>
      <c r="D9" s="33">
        <v>811</v>
      </c>
      <c r="E9" s="26">
        <v>1084</v>
      </c>
      <c r="F9" s="26">
        <v>1213</v>
      </c>
      <c r="G9" s="33"/>
      <c r="H9" s="33"/>
      <c r="I9" s="26">
        <v>1315</v>
      </c>
      <c r="J9" s="9"/>
      <c r="K9" s="9"/>
      <c r="L9" s="9"/>
    </row>
    <row r="10" spans="1:12" x14ac:dyDescent="0.25">
      <c r="A10" s="9"/>
      <c r="B10" s="33">
        <v>2020</v>
      </c>
      <c r="C10" s="33">
        <v>459</v>
      </c>
      <c r="D10" s="33">
        <v>836</v>
      </c>
      <c r="E10" s="26">
        <v>1077</v>
      </c>
      <c r="F10" s="33"/>
      <c r="G10" s="33"/>
      <c r="H10" s="33"/>
      <c r="I10" s="26">
        <v>1373</v>
      </c>
      <c r="J10" s="9"/>
      <c r="K10" s="9"/>
      <c r="L10" s="9"/>
    </row>
    <row r="11" spans="1:12" x14ac:dyDescent="0.25">
      <c r="A11" s="9"/>
      <c r="B11" s="33">
        <v>2021</v>
      </c>
      <c r="C11" s="33">
        <v>498</v>
      </c>
      <c r="D11" s="33">
        <v>826</v>
      </c>
      <c r="E11" s="33"/>
      <c r="F11" s="33"/>
      <c r="G11" s="33"/>
      <c r="H11" s="33"/>
      <c r="I11" s="26">
        <v>1421</v>
      </c>
      <c r="J11" s="9"/>
      <c r="K11" s="9"/>
      <c r="L11" s="9"/>
    </row>
    <row r="12" spans="1:12" x14ac:dyDescent="0.25">
      <c r="A12" s="9"/>
      <c r="B12" s="33">
        <v>2022</v>
      </c>
      <c r="C12" s="33">
        <v>459</v>
      </c>
      <c r="D12" s="33"/>
      <c r="E12" s="33"/>
      <c r="F12" s="33"/>
      <c r="G12" s="33"/>
      <c r="H12" s="33"/>
      <c r="I12" s="26">
        <v>1413</v>
      </c>
      <c r="J12" s="9"/>
      <c r="K12" s="9"/>
      <c r="L12" s="9"/>
    </row>
    <row r="13" spans="1:12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x14ac:dyDescent="0.25">
      <c r="A14" s="9"/>
      <c r="B14" s="24" t="s">
        <v>156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x14ac:dyDescent="0.25">
      <c r="A15" s="9"/>
      <c r="B15" s="24" t="s">
        <v>92</v>
      </c>
      <c r="C15" s="9"/>
      <c r="D15" s="9"/>
      <c r="E15" s="9"/>
      <c r="F15" s="57">
        <v>0.05</v>
      </c>
      <c r="G15" s="9"/>
      <c r="H15" s="9"/>
      <c r="I15" s="9"/>
      <c r="J15" s="9"/>
      <c r="K15" s="9"/>
      <c r="L15" s="9"/>
    </row>
    <row r="16" spans="1:12" x14ac:dyDescent="0.25">
      <c r="A16" s="9"/>
      <c r="B16" s="24" t="s">
        <v>213</v>
      </c>
      <c r="C16" s="9"/>
      <c r="D16" s="9"/>
      <c r="E16" s="9"/>
      <c r="F16" s="57">
        <v>2E-3</v>
      </c>
      <c r="G16" s="9"/>
      <c r="H16" s="9"/>
      <c r="I16" s="9"/>
      <c r="J16" s="9"/>
      <c r="K16" s="9"/>
      <c r="L16" s="9"/>
    </row>
    <row r="17" spans="1:18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8" x14ac:dyDescent="0.25">
      <c r="A18" s="9" t="s">
        <v>155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8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1" spans="1:18" x14ac:dyDescent="0.25">
      <c r="A21" s="6" t="s">
        <v>4</v>
      </c>
      <c r="B21" s="9" t="s">
        <v>157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8"/>
      <c r="N21" s="8"/>
      <c r="O21" s="8"/>
      <c r="P21" s="8"/>
      <c r="Q21" s="8"/>
      <c r="R21" s="8"/>
    </row>
    <row r="22" spans="1:18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8" x14ac:dyDescent="0.25">
      <c r="A23" s="7" t="s">
        <v>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</row>
    <row r="24" spans="1:18" x14ac:dyDescent="0.25">
      <c r="A24" s="7"/>
      <c r="B24" s="7" t="s">
        <v>242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8"/>
    </row>
    <row r="25" spans="1:18" x14ac:dyDescent="0.25">
      <c r="A25" s="7"/>
      <c r="B25" s="7" t="s">
        <v>376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8"/>
    </row>
    <row r="26" spans="1:18" x14ac:dyDescent="0.25">
      <c r="B26" s="1" t="s">
        <v>374</v>
      </c>
      <c r="M26" s="8"/>
      <c r="N26" s="8"/>
    </row>
    <row r="27" spans="1:18" x14ac:dyDescent="0.25">
      <c r="B27" s="1" t="s">
        <v>375</v>
      </c>
      <c r="M27" s="8"/>
      <c r="N27" s="8"/>
    </row>
    <row r="29" spans="1:18" x14ac:dyDescent="0.25">
      <c r="A29" s="6" t="s">
        <v>5</v>
      </c>
      <c r="B29" s="9" t="s">
        <v>158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8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8" x14ac:dyDescent="0.25">
      <c r="A31" s="7" t="s">
        <v>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8" x14ac:dyDescent="0.25">
      <c r="A32" s="7"/>
      <c r="B32" s="114" t="s">
        <v>30</v>
      </c>
      <c r="C32" s="223" t="s">
        <v>377</v>
      </c>
      <c r="D32" s="223"/>
      <c r="E32" s="223"/>
      <c r="F32" s="223"/>
      <c r="G32" s="223"/>
      <c r="H32" s="223"/>
      <c r="I32" s="7"/>
      <c r="J32" s="7"/>
      <c r="K32" s="7"/>
      <c r="L32" s="7"/>
    </row>
    <row r="33" spans="1:14" x14ac:dyDescent="0.25">
      <c r="A33" s="7"/>
      <c r="B33" s="79" t="s">
        <v>32</v>
      </c>
      <c r="C33" s="79">
        <v>12</v>
      </c>
      <c r="D33" s="79">
        <f>C33+12</f>
        <v>24</v>
      </c>
      <c r="E33" s="79">
        <f t="shared" ref="E33:H33" si="0">D33+12</f>
        <v>36</v>
      </c>
      <c r="F33" s="79">
        <f t="shared" si="0"/>
        <v>48</v>
      </c>
      <c r="G33" s="79">
        <f t="shared" si="0"/>
        <v>60</v>
      </c>
      <c r="H33" s="79">
        <f t="shared" si="0"/>
        <v>72</v>
      </c>
      <c r="I33" s="7"/>
      <c r="J33" s="7"/>
      <c r="K33" s="7"/>
      <c r="L33" s="7"/>
    </row>
    <row r="34" spans="1:14" x14ac:dyDescent="0.25">
      <c r="A34" s="7"/>
      <c r="B34" s="114">
        <v>2017</v>
      </c>
      <c r="C34" s="119">
        <f>C7/$I7</f>
        <v>0.29102844638949671</v>
      </c>
      <c r="D34" s="119">
        <f t="shared" ref="D34:H34" si="1">D7/$I7</f>
        <v>0.53245805981035743</v>
      </c>
      <c r="E34" s="119">
        <f t="shared" si="1"/>
        <v>0.73450036469730129</v>
      </c>
      <c r="F34" s="119">
        <f t="shared" si="1"/>
        <v>0.88621444201312916</v>
      </c>
      <c r="G34" s="119">
        <f t="shared" si="1"/>
        <v>0.99124726477024072</v>
      </c>
      <c r="H34" s="119">
        <f t="shared" si="1"/>
        <v>0.99562363238512031</v>
      </c>
      <c r="I34" s="7"/>
      <c r="J34" s="7"/>
      <c r="K34" s="7"/>
      <c r="L34" s="7"/>
    </row>
    <row r="35" spans="1:14" x14ac:dyDescent="0.25">
      <c r="A35" s="7"/>
      <c r="B35" s="114">
        <v>2018</v>
      </c>
      <c r="C35" s="119">
        <f t="shared" ref="C35:G35" si="2">C8/$I8</f>
        <v>0.31353383458646616</v>
      </c>
      <c r="D35" s="119">
        <f t="shared" si="2"/>
        <v>0.5736842105263158</v>
      </c>
      <c r="E35" s="119">
        <f t="shared" si="2"/>
        <v>0.79924812030075187</v>
      </c>
      <c r="F35" s="119">
        <f t="shared" si="2"/>
        <v>0.9609022556390977</v>
      </c>
      <c r="G35" s="119">
        <f t="shared" si="2"/>
        <v>0.99097744360902251</v>
      </c>
      <c r="H35" s="119"/>
      <c r="I35" s="7"/>
      <c r="J35" s="7"/>
      <c r="K35" s="7"/>
      <c r="L35" s="7"/>
    </row>
    <row r="36" spans="1:14" x14ac:dyDescent="0.25">
      <c r="A36" s="7"/>
      <c r="B36" s="114">
        <v>2019</v>
      </c>
      <c r="C36" s="119">
        <f t="shared" ref="C36:F36" si="3">C9/$I9</f>
        <v>0.34144486692015208</v>
      </c>
      <c r="D36" s="119">
        <f t="shared" si="3"/>
        <v>0.61673003802281368</v>
      </c>
      <c r="E36" s="119">
        <f t="shared" si="3"/>
        <v>0.82433460076045628</v>
      </c>
      <c r="F36" s="119">
        <f t="shared" si="3"/>
        <v>0.92243346007604565</v>
      </c>
      <c r="G36" s="119"/>
      <c r="H36" s="119"/>
      <c r="I36" s="7"/>
      <c r="J36" s="7"/>
      <c r="K36" s="7"/>
      <c r="L36" s="7"/>
    </row>
    <row r="37" spans="1:14" x14ac:dyDescent="0.25">
      <c r="A37" s="7"/>
      <c r="B37" s="114">
        <v>2020</v>
      </c>
      <c r="C37" s="119">
        <f t="shared" ref="C37:E37" si="4">C10/$I10</f>
        <v>0.33430444282592864</v>
      </c>
      <c r="D37" s="119">
        <f t="shared" si="4"/>
        <v>0.60888565185724686</v>
      </c>
      <c r="E37" s="119">
        <f t="shared" si="4"/>
        <v>0.78441369264384564</v>
      </c>
      <c r="F37" s="119"/>
      <c r="G37" s="119"/>
      <c r="H37" s="119"/>
      <c r="I37" s="7"/>
      <c r="J37" s="7"/>
      <c r="K37" s="7"/>
      <c r="L37" s="7"/>
    </row>
    <row r="38" spans="1:14" x14ac:dyDescent="0.25">
      <c r="A38" s="7"/>
      <c r="B38" s="114">
        <v>2021</v>
      </c>
      <c r="C38" s="119">
        <f t="shared" ref="C38:D38" si="5">C11/$I11</f>
        <v>0.35045742434904997</v>
      </c>
      <c r="D38" s="119">
        <f t="shared" si="5"/>
        <v>0.58128078817733986</v>
      </c>
      <c r="E38" s="119"/>
      <c r="F38" s="119"/>
      <c r="G38" s="119"/>
      <c r="H38" s="119"/>
      <c r="I38" s="7"/>
      <c r="J38" s="7"/>
      <c r="K38" s="7"/>
      <c r="L38" s="7"/>
    </row>
    <row r="39" spans="1:14" x14ac:dyDescent="0.25">
      <c r="A39" s="7"/>
      <c r="B39" s="114">
        <v>2022</v>
      </c>
      <c r="C39" s="119">
        <f t="shared" ref="C39" si="6">C12/$I12</f>
        <v>0.32484076433121017</v>
      </c>
      <c r="D39" s="119"/>
      <c r="E39" s="119"/>
      <c r="F39" s="119"/>
      <c r="G39" s="119"/>
      <c r="H39" s="119"/>
      <c r="I39" s="7"/>
      <c r="J39" s="7"/>
      <c r="K39" s="7"/>
      <c r="L39" s="7"/>
    </row>
    <row r="41" spans="1:14" x14ac:dyDescent="0.25">
      <c r="A41" s="6" t="s">
        <v>0</v>
      </c>
      <c r="B41" s="9" t="s">
        <v>159</v>
      </c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4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4" x14ac:dyDescent="0.25">
      <c r="A43" s="7" t="s">
        <v>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4" x14ac:dyDescent="0.25">
      <c r="A44" s="7"/>
      <c r="B44" s="93" t="s">
        <v>30</v>
      </c>
      <c r="C44" s="224" t="s">
        <v>378</v>
      </c>
      <c r="D44" s="224"/>
      <c r="E44" s="224"/>
      <c r="F44" s="224"/>
      <c r="G44" s="224"/>
      <c r="H44" s="7"/>
      <c r="I44" s="7"/>
      <c r="J44" s="7"/>
      <c r="K44" s="7"/>
      <c r="L44" s="7"/>
    </row>
    <row r="45" spans="1:14" x14ac:dyDescent="0.25">
      <c r="A45" s="7"/>
      <c r="B45" s="75" t="s">
        <v>32</v>
      </c>
      <c r="C45" s="79">
        <v>12</v>
      </c>
      <c r="D45" s="79">
        <f>C45+12</f>
        <v>24</v>
      </c>
      <c r="E45" s="79">
        <f>D45+12</f>
        <v>36</v>
      </c>
      <c r="F45" s="79">
        <f>E45+12</f>
        <v>48</v>
      </c>
      <c r="G45" s="79">
        <f>F45+12</f>
        <v>60</v>
      </c>
      <c r="H45" s="7"/>
      <c r="I45" s="7"/>
      <c r="J45" s="7"/>
      <c r="K45" s="7"/>
      <c r="L45" s="7"/>
    </row>
    <row r="46" spans="1:14" x14ac:dyDescent="0.25">
      <c r="B46" s="93" t="str">
        <f>B34&amp;"-"&amp;B35</f>
        <v>2017-2018</v>
      </c>
      <c r="C46" s="172">
        <f>C35/C34-1</f>
        <v>7.7330544406128077E-2</v>
      </c>
      <c r="D46" s="172">
        <f>D35/D34-1</f>
        <v>7.7426099495313538E-2</v>
      </c>
      <c r="E46" s="172">
        <f>E35/E34-1</f>
        <v>8.8152108175105104E-2</v>
      </c>
      <c r="F46" s="172">
        <f>F35/F34-1</f>
        <v>8.4277360066833618E-2</v>
      </c>
      <c r="G46" s="172">
        <f>G35/G34-1</f>
        <v>-2.7220368802804984E-4</v>
      </c>
    </row>
    <row r="47" spans="1:14" x14ac:dyDescent="0.25">
      <c r="B47" s="93" t="str">
        <f>B35&amp;"-"&amp;B36</f>
        <v>2018-2019</v>
      </c>
      <c r="C47" s="172">
        <f>C36/C35-1</f>
        <v>8.9020798570269122E-2</v>
      </c>
      <c r="D47" s="172">
        <f>D36/D35-1</f>
        <v>7.5034011232427478E-2</v>
      </c>
      <c r="E47" s="172">
        <f>E36/E35-1</f>
        <v>3.1387600198877541E-2</v>
      </c>
      <c r="F47" s="172">
        <f>F36/F35-1</f>
        <v>-4.0034036071094903E-2</v>
      </c>
      <c r="G47" s="172"/>
    </row>
    <row r="48" spans="1:14" x14ac:dyDescent="0.25">
      <c r="B48" s="93" t="str">
        <f>B36&amp;"-"&amp;B37</f>
        <v>2019-2020</v>
      </c>
      <c r="C48" s="172">
        <f>C37/C36-1</f>
        <v>-2.0912377915153324E-2</v>
      </c>
      <c r="D48" s="172">
        <f>D37/D36-1</f>
        <v>-1.2719319121726747E-2</v>
      </c>
      <c r="E48" s="172">
        <f>E37/E36-1</f>
        <v>-4.842803890529801E-2</v>
      </c>
      <c r="F48" s="172"/>
      <c r="G48" s="172"/>
      <c r="M48" s="7"/>
      <c r="N48" s="7"/>
    </row>
    <row r="49" spans="1:14" x14ac:dyDescent="0.25">
      <c r="B49" s="93" t="str">
        <f>B37&amp;"-"&amp;B38</f>
        <v>2020-2021</v>
      </c>
      <c r="C49" s="172">
        <f>C38/C37-1</f>
        <v>4.8318177845851018E-2</v>
      </c>
      <c r="D49" s="172">
        <f>D38/D37-1</f>
        <v>-4.5336695971904706E-2</v>
      </c>
      <c r="E49" s="172"/>
      <c r="F49" s="172"/>
      <c r="G49" s="172"/>
      <c r="M49" s="7"/>
      <c r="N49" s="7"/>
    </row>
    <row r="50" spans="1:14" x14ac:dyDescent="0.25">
      <c r="B50" s="93" t="str">
        <f>B38&amp;"-"&amp;B39</f>
        <v>2021-2022</v>
      </c>
      <c r="C50" s="172">
        <f>C39/C38-1</f>
        <v>-7.3094927480623184E-2</v>
      </c>
      <c r="D50" s="172"/>
      <c r="E50" s="172"/>
      <c r="F50" s="172"/>
      <c r="G50" s="172"/>
      <c r="M50" s="7"/>
      <c r="N50" s="7"/>
    </row>
    <row r="52" spans="1:14" x14ac:dyDescent="0.25">
      <c r="B52" s="1" t="s">
        <v>384</v>
      </c>
    </row>
    <row r="53" spans="1:14" x14ac:dyDescent="0.25">
      <c r="B53" s="1" t="s">
        <v>379</v>
      </c>
    </row>
    <row r="55" spans="1:14" x14ac:dyDescent="0.25">
      <c r="A55" s="3"/>
      <c r="B55" s="3"/>
      <c r="C55" s="3"/>
      <c r="D55" s="3"/>
      <c r="E55" s="3"/>
      <c r="F55" s="3"/>
      <c r="G55" s="4"/>
      <c r="H55" s="4"/>
      <c r="I55" s="4"/>
      <c r="J55" s="4"/>
      <c r="K55" s="4"/>
      <c r="L55" s="4"/>
    </row>
    <row r="56" spans="1:14" x14ac:dyDescent="0.25">
      <c r="A56" s="207" t="s">
        <v>205</v>
      </c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4"/>
    </row>
    <row r="57" spans="1:14" x14ac:dyDescent="0.25">
      <c r="A57" s="207"/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4"/>
    </row>
    <row r="58" spans="1:14" x14ac:dyDescent="0.25">
      <c r="A58" s="3"/>
      <c r="B58" s="3"/>
      <c r="C58" s="3"/>
      <c r="D58" s="3"/>
      <c r="E58" s="3"/>
      <c r="F58" s="3"/>
      <c r="G58" s="4"/>
      <c r="H58" s="4"/>
      <c r="I58" s="4"/>
      <c r="J58" s="4"/>
      <c r="K58" s="4"/>
      <c r="L58" s="4"/>
    </row>
    <row r="59" spans="1:14" x14ac:dyDescent="0.25">
      <c r="A59" s="3"/>
      <c r="B59" s="211" t="s">
        <v>206</v>
      </c>
      <c r="C59" s="211"/>
      <c r="D59" s="211"/>
      <c r="E59" s="211"/>
      <c r="F59" s="211"/>
      <c r="G59" s="211"/>
      <c r="H59" s="4"/>
      <c r="I59" s="4"/>
      <c r="J59" s="4"/>
      <c r="K59" s="4"/>
      <c r="L59" s="4"/>
    </row>
    <row r="60" spans="1:14" x14ac:dyDescent="0.25">
      <c r="A60" s="3"/>
      <c r="B60" s="32">
        <v>12</v>
      </c>
      <c r="C60" s="32">
        <v>24</v>
      </c>
      <c r="D60" s="32">
        <v>36</v>
      </c>
      <c r="E60" s="32">
        <v>48</v>
      </c>
      <c r="F60" s="32">
        <v>60</v>
      </c>
      <c r="G60" s="32">
        <v>72</v>
      </c>
      <c r="H60" s="4"/>
      <c r="I60" s="4"/>
      <c r="J60" s="4"/>
      <c r="K60" s="4"/>
      <c r="L60" s="4"/>
    </row>
    <row r="61" spans="1:14" x14ac:dyDescent="0.25">
      <c r="A61" s="3"/>
      <c r="B61" s="26">
        <v>4400</v>
      </c>
      <c r="C61" s="26">
        <v>5400</v>
      </c>
      <c r="D61" s="26">
        <v>5785</v>
      </c>
      <c r="E61" s="26">
        <v>5982</v>
      </c>
      <c r="F61" s="26">
        <v>6000</v>
      </c>
      <c r="G61" s="26">
        <v>6125</v>
      </c>
      <c r="H61" s="4"/>
      <c r="I61" s="4"/>
      <c r="J61" s="4"/>
      <c r="K61" s="4"/>
      <c r="L61" s="4"/>
    </row>
    <row r="62" spans="1:14" x14ac:dyDescent="0.25">
      <c r="A62" s="3"/>
      <c r="B62" s="3"/>
      <c r="C62" s="3"/>
      <c r="D62" s="3"/>
      <c r="E62" s="3"/>
      <c r="F62" s="3"/>
      <c r="G62" s="4"/>
      <c r="H62" s="4"/>
      <c r="I62" s="4"/>
      <c r="J62" s="4"/>
      <c r="K62" s="4"/>
      <c r="L62" s="4"/>
    </row>
    <row r="64" spans="1:14" x14ac:dyDescent="0.25">
      <c r="A64" s="6" t="s">
        <v>2</v>
      </c>
      <c r="B64" s="9" t="s">
        <v>160</v>
      </c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x14ac:dyDescent="0.25">
      <c r="A66" s="7" t="s">
        <v>1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 x14ac:dyDescent="0.25">
      <c r="A67" s="7"/>
      <c r="B67" s="1" t="s">
        <v>380</v>
      </c>
      <c r="C67"/>
      <c r="D67"/>
      <c r="E67"/>
      <c r="F67"/>
      <c r="G67"/>
      <c r="H67"/>
      <c r="I67"/>
      <c r="J67" s="7"/>
      <c r="K67" s="7"/>
      <c r="L67" s="7"/>
    </row>
    <row r="68" spans="1:12" x14ac:dyDescent="0.25">
      <c r="A68" s="7"/>
      <c r="B68"/>
      <c r="C68" s="79">
        <v>12</v>
      </c>
      <c r="D68" s="79">
        <f>C68+12</f>
        <v>24</v>
      </c>
      <c r="E68" s="79">
        <f t="shared" ref="E68:H68" si="7">D68+12</f>
        <v>36</v>
      </c>
      <c r="F68" s="79">
        <f t="shared" si="7"/>
        <v>48</v>
      </c>
      <c r="G68" s="79">
        <f t="shared" si="7"/>
        <v>60</v>
      </c>
      <c r="H68" s="79">
        <f t="shared" si="7"/>
        <v>72</v>
      </c>
      <c r="I68"/>
      <c r="J68" s="7"/>
      <c r="K68" s="7"/>
      <c r="L68" s="7"/>
    </row>
    <row r="69" spans="1:12" x14ac:dyDescent="0.25">
      <c r="B69"/>
      <c r="C69" s="119">
        <f>C39</f>
        <v>0.32484076433121017</v>
      </c>
      <c r="D69" s="119">
        <f>D38</f>
        <v>0.58128078817733986</v>
      </c>
      <c r="E69" s="119">
        <f>E37</f>
        <v>0.78441369264384564</v>
      </c>
      <c r="F69" s="119">
        <f>F36</f>
        <v>0.92243346007604565</v>
      </c>
      <c r="G69" s="119">
        <f>G35</f>
        <v>0.99097744360902251</v>
      </c>
      <c r="H69" s="119">
        <f>H34</f>
        <v>0.99562363238512031</v>
      </c>
      <c r="I69"/>
    </row>
    <row r="70" spans="1:12" x14ac:dyDescent="0.25">
      <c r="B70"/>
      <c r="C70"/>
      <c r="D70"/>
      <c r="E70"/>
      <c r="F70"/>
      <c r="G70"/>
      <c r="H70"/>
      <c r="I70"/>
    </row>
    <row r="71" spans="1:12" x14ac:dyDescent="0.25">
      <c r="B71" s="114" t="s">
        <v>30</v>
      </c>
      <c r="C71" s="223" t="s">
        <v>381</v>
      </c>
      <c r="D71" s="223"/>
      <c r="E71" s="223"/>
      <c r="F71" s="223"/>
      <c r="G71" s="223"/>
      <c r="H71" s="223"/>
      <c r="I71" s="114" t="s">
        <v>153</v>
      </c>
    </row>
    <row r="72" spans="1:12" x14ac:dyDescent="0.25">
      <c r="B72" s="79" t="s">
        <v>32</v>
      </c>
      <c r="C72" s="79">
        <v>12</v>
      </c>
      <c r="D72" s="79">
        <f>C72+12</f>
        <v>24</v>
      </c>
      <c r="E72" s="79">
        <f t="shared" ref="E72:H72" si="8">D72+12</f>
        <v>36</v>
      </c>
      <c r="F72" s="79">
        <f t="shared" si="8"/>
        <v>48</v>
      </c>
      <c r="G72" s="79">
        <f t="shared" si="8"/>
        <v>60</v>
      </c>
      <c r="H72" s="79">
        <f t="shared" si="8"/>
        <v>72</v>
      </c>
      <c r="I72" s="79" t="s">
        <v>154</v>
      </c>
    </row>
    <row r="73" spans="1:12" x14ac:dyDescent="0.25">
      <c r="B73" s="114">
        <v>2017</v>
      </c>
      <c r="C73" s="88">
        <f>C$69*$I73</f>
        <v>445.35668789808915</v>
      </c>
      <c r="D73" s="88">
        <f t="shared" ref="D73:H77" si="9">D$69*$I73</f>
        <v>796.93596059113293</v>
      </c>
      <c r="E73" s="88">
        <f t="shared" si="9"/>
        <v>1075.4311726147123</v>
      </c>
      <c r="F73" s="88">
        <f t="shared" si="9"/>
        <v>1264.6562737642587</v>
      </c>
      <c r="G73" s="88">
        <f t="shared" si="9"/>
        <v>1358.6300751879699</v>
      </c>
      <c r="H73" s="88">
        <f t="shared" si="9"/>
        <v>1365</v>
      </c>
      <c r="I73" s="88">
        <v>1371</v>
      </c>
    </row>
    <row r="74" spans="1:12" x14ac:dyDescent="0.25">
      <c r="B74" s="114">
        <v>2018</v>
      </c>
      <c r="C74" s="88">
        <f t="shared" ref="C74:C78" si="10">C$69*$I74</f>
        <v>432.03821656050951</v>
      </c>
      <c r="D74" s="88">
        <f t="shared" si="9"/>
        <v>773.10344827586198</v>
      </c>
      <c r="E74" s="88">
        <f t="shared" si="9"/>
        <v>1043.2702112163147</v>
      </c>
      <c r="F74" s="88">
        <f t="shared" si="9"/>
        <v>1226.8365019011408</v>
      </c>
      <c r="G74" s="88">
        <f t="shared" si="9"/>
        <v>1318</v>
      </c>
      <c r="H74" s="88"/>
      <c r="I74" s="88">
        <v>1330</v>
      </c>
    </row>
    <row r="75" spans="1:12" x14ac:dyDescent="0.25">
      <c r="B75" s="114">
        <v>2019</v>
      </c>
      <c r="C75" s="88">
        <f t="shared" si="10"/>
        <v>427.16560509554137</v>
      </c>
      <c r="D75" s="88">
        <f t="shared" si="9"/>
        <v>764.38423645320188</v>
      </c>
      <c r="E75" s="88">
        <f t="shared" si="9"/>
        <v>1031.504005826657</v>
      </c>
      <c r="F75" s="88">
        <f t="shared" si="9"/>
        <v>1213</v>
      </c>
      <c r="G75" s="88"/>
      <c r="H75" s="88"/>
      <c r="I75" s="88">
        <v>1315</v>
      </c>
    </row>
    <row r="76" spans="1:12" x14ac:dyDescent="0.25">
      <c r="B76" s="114">
        <v>2020</v>
      </c>
      <c r="C76" s="88">
        <f t="shared" si="10"/>
        <v>446.00636942675158</v>
      </c>
      <c r="D76" s="88">
        <f t="shared" si="9"/>
        <v>798.09852216748766</v>
      </c>
      <c r="E76" s="88">
        <f t="shared" si="9"/>
        <v>1077</v>
      </c>
      <c r="F76" s="88"/>
      <c r="G76" s="88"/>
      <c r="H76" s="88"/>
      <c r="I76" s="88">
        <v>1373</v>
      </c>
    </row>
    <row r="77" spans="1:12" x14ac:dyDescent="0.25">
      <c r="B77" s="114">
        <v>2021</v>
      </c>
      <c r="C77" s="88">
        <f t="shared" si="10"/>
        <v>461.59872611464965</v>
      </c>
      <c r="D77" s="88">
        <f t="shared" si="9"/>
        <v>825.99999999999989</v>
      </c>
      <c r="E77" s="88"/>
      <c r="F77" s="88"/>
      <c r="G77" s="88"/>
      <c r="H77" s="88"/>
      <c r="I77" s="88">
        <v>1421</v>
      </c>
    </row>
    <row r="78" spans="1:12" x14ac:dyDescent="0.25">
      <c r="B78" s="114">
        <v>2022</v>
      </c>
      <c r="C78" s="88">
        <f t="shared" si="10"/>
        <v>459</v>
      </c>
      <c r="D78" s="88"/>
      <c r="E78" s="88"/>
      <c r="F78" s="88"/>
      <c r="G78" s="88"/>
      <c r="H78" s="88"/>
      <c r="I78" s="88">
        <v>1413</v>
      </c>
    </row>
    <row r="79" spans="1:12" x14ac:dyDescent="0.25">
      <c r="B79"/>
      <c r="C79" s="88"/>
      <c r="D79" s="88"/>
      <c r="E79" s="88"/>
      <c r="F79" s="88"/>
      <c r="G79" s="88"/>
      <c r="H79" s="88"/>
      <c r="I79"/>
    </row>
    <row r="80" spans="1:12" x14ac:dyDescent="0.25">
      <c r="B80" s="114" t="s">
        <v>30</v>
      </c>
      <c r="C80" s="223" t="s">
        <v>382</v>
      </c>
      <c r="D80" s="223"/>
      <c r="E80" s="223"/>
      <c r="F80" s="223"/>
      <c r="G80" s="223"/>
      <c r="H80" s="223"/>
      <c r="I80"/>
    </row>
    <row r="81" spans="2:9" x14ac:dyDescent="0.25">
      <c r="B81" s="79" t="s">
        <v>32</v>
      </c>
      <c r="C81" s="79">
        <v>12</v>
      </c>
      <c r="D81" s="79">
        <f>C81+12</f>
        <v>24</v>
      </c>
      <c r="E81" s="79">
        <f t="shared" ref="E81:H81" si="11">D81+12</f>
        <v>36</v>
      </c>
      <c r="F81" s="79">
        <f t="shared" si="11"/>
        <v>48</v>
      </c>
      <c r="G81" s="79">
        <f t="shared" si="11"/>
        <v>60</v>
      </c>
      <c r="H81" s="79">
        <f t="shared" si="11"/>
        <v>72</v>
      </c>
      <c r="I81"/>
    </row>
    <row r="82" spans="2:9" x14ac:dyDescent="0.25">
      <c r="B82" s="114">
        <v>2017</v>
      </c>
      <c r="C82" s="88">
        <f t="shared" ref="C82:C85" si="12">C83/(1+$F$15)</f>
        <v>3447.5151324612189</v>
      </c>
      <c r="D82" s="88">
        <f t="shared" ref="D82:D85" si="13">D83/(1+$F$15)</f>
        <v>4442.5933638761617</v>
      </c>
      <c r="E82" s="88">
        <f t="shared" ref="E82:E84" si="14">E83/(1+$F$15)</f>
        <v>4997.3005075045885</v>
      </c>
      <c r="F82" s="88">
        <f t="shared" ref="F82:F83" si="15">F83/(1+$F$15)</f>
        <v>5425.850340136054</v>
      </c>
      <c r="G82" s="88">
        <f>G83/(1+$F$15)</f>
        <v>5714.2857142857138</v>
      </c>
      <c r="H82" s="88">
        <f>G$61</f>
        <v>6125</v>
      </c>
      <c r="I82"/>
    </row>
    <row r="83" spans="2:9" x14ac:dyDescent="0.25">
      <c r="B83" s="114">
        <v>2018</v>
      </c>
      <c r="C83" s="88">
        <f t="shared" si="12"/>
        <v>3619.8908890842799</v>
      </c>
      <c r="D83" s="88">
        <f t="shared" si="13"/>
        <v>4664.72303206997</v>
      </c>
      <c r="E83" s="88">
        <f t="shared" si="14"/>
        <v>5247.1655328798179</v>
      </c>
      <c r="F83" s="88">
        <f t="shared" si="15"/>
        <v>5697.1428571428569</v>
      </c>
      <c r="G83" s="88">
        <f>F$61</f>
        <v>6000</v>
      </c>
      <c r="H83" s="88"/>
      <c r="I83"/>
    </row>
    <row r="84" spans="2:9" x14ac:dyDescent="0.25">
      <c r="B84" s="114">
        <v>2019</v>
      </c>
      <c r="C84" s="88">
        <f t="shared" si="12"/>
        <v>3800.885433538494</v>
      </c>
      <c r="D84" s="88">
        <f t="shared" si="13"/>
        <v>4897.9591836734689</v>
      </c>
      <c r="E84" s="88">
        <f t="shared" si="14"/>
        <v>5509.5238095238092</v>
      </c>
      <c r="F84" s="88">
        <f>E$61</f>
        <v>5982</v>
      </c>
      <c r="G84" s="88"/>
      <c r="H84" s="88"/>
      <c r="I84"/>
    </row>
    <row r="85" spans="2:9" x14ac:dyDescent="0.25">
      <c r="B85" s="114">
        <v>2020</v>
      </c>
      <c r="C85" s="88">
        <f t="shared" si="12"/>
        <v>3990.9297052154188</v>
      </c>
      <c r="D85" s="88">
        <f t="shared" si="13"/>
        <v>5142.8571428571422</v>
      </c>
      <c r="E85" s="88">
        <f>D$61</f>
        <v>5785</v>
      </c>
      <c r="F85" s="88"/>
      <c r="G85" s="88"/>
      <c r="H85" s="88"/>
      <c r="I85"/>
    </row>
    <row r="86" spans="2:9" x14ac:dyDescent="0.25">
      <c r="B86" s="114">
        <v>2021</v>
      </c>
      <c r="C86" s="88">
        <f>C87/(1+$F$15)</f>
        <v>4190.4761904761899</v>
      </c>
      <c r="D86" s="88">
        <f>C$61</f>
        <v>5400</v>
      </c>
      <c r="E86" s="88"/>
      <c r="F86" s="88"/>
      <c r="G86" s="88"/>
      <c r="H86" s="88"/>
      <c r="I86"/>
    </row>
    <row r="87" spans="2:9" x14ac:dyDescent="0.25">
      <c r="B87" s="114">
        <v>2022</v>
      </c>
      <c r="C87" s="88">
        <f>B$61</f>
        <v>4400</v>
      </c>
      <c r="D87" s="88"/>
      <c r="E87" s="88"/>
      <c r="F87" s="88"/>
      <c r="G87" s="88"/>
      <c r="H87" s="88"/>
      <c r="I87"/>
    </row>
    <row r="88" spans="2:9" x14ac:dyDescent="0.25">
      <c r="B88"/>
      <c r="C88"/>
      <c r="D88"/>
      <c r="E88"/>
      <c r="F88"/>
      <c r="G88"/>
      <c r="H88"/>
      <c r="I88"/>
    </row>
    <row r="89" spans="2:9" x14ac:dyDescent="0.25">
      <c r="B89" s="114" t="s">
        <v>30</v>
      </c>
      <c r="C89" s="146" t="s">
        <v>383</v>
      </c>
      <c r="D89" s="146"/>
      <c r="E89" s="146"/>
      <c r="F89" s="146"/>
      <c r="G89" s="146"/>
      <c r="H89" s="146"/>
      <c r="I89" s="173"/>
    </row>
    <row r="90" spans="2:9" x14ac:dyDescent="0.25">
      <c r="B90" s="79" t="s">
        <v>32</v>
      </c>
      <c r="C90" s="79">
        <v>12</v>
      </c>
      <c r="D90" s="79">
        <f>C90+12</f>
        <v>24</v>
      </c>
      <c r="E90" s="79">
        <f t="shared" ref="E90:H90" si="16">D90+12</f>
        <v>36</v>
      </c>
      <c r="F90" s="79">
        <f t="shared" si="16"/>
        <v>48</v>
      </c>
      <c r="G90" s="79">
        <f t="shared" si="16"/>
        <v>60</v>
      </c>
      <c r="H90" s="79">
        <f t="shared" si="16"/>
        <v>72</v>
      </c>
      <c r="I90"/>
    </row>
    <row r="91" spans="2:9" x14ac:dyDescent="0.25">
      <c r="B91" s="114">
        <v>2017</v>
      </c>
      <c r="C91" s="88">
        <f>C73*C82</f>
        <v>1535373.9208714706</v>
      </c>
      <c r="D91" s="88">
        <f t="shared" ref="D91:H91" si="17">D73*D82</f>
        <v>3540462.4099564413</v>
      </c>
      <c r="E91" s="88">
        <f t="shared" si="17"/>
        <v>5374252.7446937561</v>
      </c>
      <c r="F91" s="88">
        <f t="shared" si="17"/>
        <v>6861835.6731589977</v>
      </c>
      <c r="G91" s="88">
        <f t="shared" si="17"/>
        <v>7763600.4296455411</v>
      </c>
      <c r="H91" s="88">
        <f t="shared" si="17"/>
        <v>8360625</v>
      </c>
      <c r="I91"/>
    </row>
    <row r="92" spans="2:9" x14ac:dyDescent="0.25">
      <c r="B92" s="114">
        <v>2018</v>
      </c>
      <c r="C92" s="88">
        <f t="shared" ref="C92:G96" si="18">C74*C83</f>
        <v>1563931.2038636093</v>
      </c>
      <c r="D92" s="88">
        <f t="shared" si="18"/>
        <v>3606313.4613451282</v>
      </c>
      <c r="E92" s="88">
        <f t="shared" si="18"/>
        <v>5474211.4937744942</v>
      </c>
      <c r="F92" s="88">
        <f t="shared" si="18"/>
        <v>6989462.813688213</v>
      </c>
      <c r="G92" s="88">
        <f t="shared" si="18"/>
        <v>7908000</v>
      </c>
      <c r="H92" s="88"/>
      <c r="I92"/>
    </row>
    <row r="93" spans="2:9" x14ac:dyDescent="0.25">
      <c r="B93" s="114">
        <v>2019</v>
      </c>
      <c r="C93" s="88">
        <f t="shared" si="18"/>
        <v>1623607.5261162999</v>
      </c>
      <c r="D93" s="88">
        <f t="shared" si="18"/>
        <v>3743922.7907911926</v>
      </c>
      <c r="E93" s="88">
        <f t="shared" si="18"/>
        <v>5683095.8797211526</v>
      </c>
      <c r="F93" s="88">
        <f t="shared" si="18"/>
        <v>7256166</v>
      </c>
      <c r="G93" s="88"/>
      <c r="H93" s="88"/>
      <c r="I93"/>
    </row>
    <row r="94" spans="2:9" x14ac:dyDescent="0.25">
      <c r="B94" s="114">
        <v>2020</v>
      </c>
      <c r="C94" s="88">
        <f t="shared" si="18"/>
        <v>1779980.0684605048</v>
      </c>
      <c r="D94" s="88">
        <f t="shared" si="18"/>
        <v>4104506.6854327931</v>
      </c>
      <c r="E94" s="88">
        <f t="shared" si="18"/>
        <v>6230445</v>
      </c>
      <c r="F94" s="88"/>
      <c r="G94" s="88"/>
      <c r="H94" s="88"/>
      <c r="I94"/>
    </row>
    <row r="95" spans="2:9" x14ac:dyDescent="0.25">
      <c r="B95" s="114">
        <v>2021</v>
      </c>
      <c r="C95" s="88">
        <f t="shared" si="18"/>
        <v>1934318.4713375792</v>
      </c>
      <c r="D95" s="88">
        <f t="shared" si="18"/>
        <v>4460399.9999999991</v>
      </c>
      <c r="E95" s="88"/>
      <c r="F95" s="88"/>
      <c r="G95" s="88"/>
      <c r="H95" s="88"/>
      <c r="I95"/>
    </row>
    <row r="96" spans="2:9" x14ac:dyDescent="0.25">
      <c r="B96" s="114">
        <v>2022</v>
      </c>
      <c r="C96" s="88">
        <f t="shared" si="18"/>
        <v>2019600</v>
      </c>
      <c r="D96" s="88"/>
      <c r="E96" s="88"/>
      <c r="F96" s="88"/>
      <c r="G96" s="88"/>
      <c r="H96" s="88"/>
      <c r="I96"/>
    </row>
  </sheetData>
  <mergeCells count="7">
    <mergeCell ref="C71:H71"/>
    <mergeCell ref="C80:H80"/>
    <mergeCell ref="C5:H5"/>
    <mergeCell ref="B59:G59"/>
    <mergeCell ref="A56:K57"/>
    <mergeCell ref="C32:H32"/>
    <mergeCell ref="C44:G44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CC93F-9DAE-4D98-9D32-E71FF2292FD4}">
  <dimension ref="A1:R84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5" width="14.7109375" style="1" customWidth="1"/>
    <col min="6" max="7" width="16.7109375" style="1" customWidth="1"/>
    <col min="8" max="11" width="14.7109375" style="1" customWidth="1"/>
    <col min="12" max="16384" width="8.85546875" style="1"/>
  </cols>
  <sheetData>
    <row r="1" spans="1:12" ht="18.75" x14ac:dyDescent="0.3">
      <c r="A1" s="2" t="s">
        <v>161</v>
      </c>
      <c r="B1" s="4"/>
      <c r="C1" s="9" t="s">
        <v>10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9" t="s">
        <v>162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2" x14ac:dyDescent="0.25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3"/>
    </row>
    <row r="5" spans="1:12" ht="31.9" customHeight="1" x14ac:dyDescent="0.25">
      <c r="A5" s="21"/>
      <c r="B5" s="222" t="s">
        <v>58</v>
      </c>
      <c r="C5" s="222" t="s">
        <v>82</v>
      </c>
      <c r="D5" s="225" t="s">
        <v>84</v>
      </c>
      <c r="E5" s="225"/>
      <c r="F5" s="222" t="s">
        <v>163</v>
      </c>
      <c r="G5" s="222"/>
      <c r="H5" s="9"/>
      <c r="I5" s="9"/>
      <c r="J5" s="9"/>
      <c r="K5" s="9"/>
      <c r="L5" s="9"/>
    </row>
    <row r="6" spans="1:12" ht="47.25" x14ac:dyDescent="0.25">
      <c r="A6" s="21"/>
      <c r="B6" s="222"/>
      <c r="C6" s="222"/>
      <c r="D6" s="48" t="s">
        <v>164</v>
      </c>
      <c r="E6" s="48" t="s">
        <v>165</v>
      </c>
      <c r="F6" s="48" t="s">
        <v>166</v>
      </c>
      <c r="G6" s="48" t="s">
        <v>167</v>
      </c>
      <c r="H6" s="9"/>
      <c r="I6" s="9"/>
      <c r="J6" s="9"/>
      <c r="K6" s="9"/>
      <c r="L6" s="9"/>
    </row>
    <row r="7" spans="1:12" x14ac:dyDescent="0.25">
      <c r="A7" s="21"/>
      <c r="B7" s="33">
        <v>2017</v>
      </c>
      <c r="C7" s="26">
        <v>7830576</v>
      </c>
      <c r="D7" s="70">
        <v>1.139</v>
      </c>
      <c r="E7" s="70">
        <v>1.1850000000000001</v>
      </c>
      <c r="F7" s="26">
        <v>5515481</v>
      </c>
      <c r="G7" s="26">
        <v>5396582</v>
      </c>
      <c r="H7" s="9"/>
      <c r="I7" s="9"/>
      <c r="J7" s="9"/>
      <c r="K7" s="9"/>
      <c r="L7" s="9"/>
    </row>
    <row r="8" spans="1:12" x14ac:dyDescent="0.25">
      <c r="A8" s="21"/>
      <c r="B8" s="33">
        <v>2018</v>
      </c>
      <c r="C8" s="26">
        <v>8092188</v>
      </c>
      <c r="D8" s="70">
        <v>1.133</v>
      </c>
      <c r="E8" s="70">
        <v>1.1779999999999999</v>
      </c>
      <c r="F8" s="26">
        <v>5886678</v>
      </c>
      <c r="G8" s="26">
        <v>5758999</v>
      </c>
      <c r="H8" s="9"/>
      <c r="I8" s="9"/>
      <c r="J8" s="9"/>
      <c r="K8" s="9"/>
      <c r="L8" s="9"/>
    </row>
    <row r="9" spans="1:12" x14ac:dyDescent="0.25">
      <c r="A9" s="9"/>
      <c r="B9" s="33">
        <v>2019</v>
      </c>
      <c r="C9" s="26">
        <v>8536126</v>
      </c>
      <c r="D9" s="70">
        <v>1.089</v>
      </c>
      <c r="E9" s="70">
        <v>1.133</v>
      </c>
      <c r="F9" s="26">
        <v>6187315</v>
      </c>
      <c r="G9" s="26">
        <v>6051964</v>
      </c>
      <c r="H9" s="9"/>
      <c r="I9" s="9"/>
      <c r="J9" s="9"/>
      <c r="K9" s="9"/>
      <c r="L9" s="9"/>
    </row>
    <row r="10" spans="1:12" x14ac:dyDescent="0.25">
      <c r="A10" s="9"/>
      <c r="B10" s="33">
        <v>2020</v>
      </c>
      <c r="C10" s="26">
        <v>8983907</v>
      </c>
      <c r="D10" s="70">
        <v>1.0489999999999999</v>
      </c>
      <c r="E10" s="70">
        <v>1.091</v>
      </c>
      <c r="F10" s="26">
        <v>6565775</v>
      </c>
      <c r="G10" s="26">
        <v>6448346</v>
      </c>
      <c r="H10" s="9"/>
      <c r="I10" s="9"/>
      <c r="J10" s="9"/>
      <c r="K10" s="9"/>
      <c r="L10" s="9"/>
    </row>
    <row r="11" spans="1:12" x14ac:dyDescent="0.25">
      <c r="A11" s="21"/>
      <c r="B11" s="33">
        <v>2021</v>
      </c>
      <c r="C11" s="26">
        <v>9288767</v>
      </c>
      <c r="D11" s="70">
        <v>1.034</v>
      </c>
      <c r="E11" s="70">
        <v>1.0760000000000001</v>
      </c>
      <c r="F11" s="26">
        <v>7041612</v>
      </c>
      <c r="G11" s="26">
        <v>6913772</v>
      </c>
      <c r="H11" s="9"/>
      <c r="I11" s="9"/>
      <c r="J11" s="9"/>
      <c r="K11" s="9"/>
      <c r="L11" s="9"/>
    </row>
    <row r="12" spans="1:12" x14ac:dyDescent="0.25">
      <c r="A12" s="9"/>
      <c r="B12" s="33">
        <v>2022</v>
      </c>
      <c r="C12" s="26">
        <v>9626289</v>
      </c>
      <c r="D12" s="70">
        <v>1</v>
      </c>
      <c r="E12" s="70">
        <v>1.04</v>
      </c>
      <c r="F12" s="26">
        <v>7648572</v>
      </c>
      <c r="G12" s="26">
        <v>7544729</v>
      </c>
      <c r="H12" s="9"/>
      <c r="I12" s="9"/>
      <c r="J12" s="9"/>
      <c r="K12" s="9"/>
      <c r="L12" s="9"/>
    </row>
    <row r="13" spans="1:12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x14ac:dyDescent="0.25">
      <c r="A14" s="9"/>
      <c r="B14" s="24" t="s">
        <v>168</v>
      </c>
      <c r="C14" s="9"/>
      <c r="D14" s="9"/>
      <c r="E14" s="57">
        <v>5.5E-2</v>
      </c>
      <c r="F14" s="9"/>
      <c r="G14" s="9"/>
      <c r="H14" s="9"/>
      <c r="I14" s="9"/>
      <c r="J14" s="9"/>
      <c r="K14" s="9"/>
      <c r="L14" s="9"/>
    </row>
    <row r="15" spans="1:12" x14ac:dyDescent="0.25">
      <c r="A15" s="4"/>
      <c r="B15" s="24" t="s">
        <v>93</v>
      </c>
      <c r="C15" s="4"/>
      <c r="D15" s="4"/>
      <c r="E15" s="57">
        <v>-5.0000000000000001E-3</v>
      </c>
      <c r="F15" s="4"/>
      <c r="G15" s="4"/>
      <c r="H15" s="9"/>
      <c r="I15" s="9"/>
      <c r="J15" s="9"/>
      <c r="K15" s="9"/>
      <c r="L15" s="9"/>
    </row>
    <row r="16" spans="1:12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8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8" x14ac:dyDescent="0.25">
      <c r="A18" s="6" t="s">
        <v>4</v>
      </c>
      <c r="B18" s="9" t="s">
        <v>169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8"/>
      <c r="N18" s="8"/>
      <c r="O18" s="8"/>
      <c r="P18" s="8"/>
      <c r="Q18" s="8"/>
      <c r="R18" s="8"/>
    </row>
    <row r="19" spans="1:18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8" x14ac:dyDescent="0.25">
      <c r="A20" s="7" t="s">
        <v>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</row>
    <row r="21" spans="1:18" x14ac:dyDescent="0.25">
      <c r="A21" s="7"/>
      <c r="B21" s="1" t="str">
        <f>"Claim trend = (1 + "&amp;(100*E14)&amp;"%)(1 + "&amp;(100*E15)&amp;"%) - 1 ="</f>
        <v>Claim trend = (1 + 5.5%)(1 + -0.5%) - 1 =</v>
      </c>
      <c r="D21" s="144"/>
      <c r="E21" s="174">
        <f>(1+E14)*(1+E15)-1</f>
        <v>4.9725000000000019E-2</v>
      </c>
      <c r="L21" s="7"/>
      <c r="M21" s="7"/>
      <c r="N21" s="8"/>
    </row>
    <row r="22" spans="1:18" x14ac:dyDescent="0.25">
      <c r="A22" s="7"/>
      <c r="D22" s="144"/>
      <c r="E22" s="174"/>
      <c r="L22" s="7"/>
      <c r="M22" s="7"/>
      <c r="N22" s="8"/>
    </row>
    <row r="23" spans="1:18" x14ac:dyDescent="0.25">
      <c r="A23" s="7"/>
      <c r="D23" s="175" t="s">
        <v>385</v>
      </c>
      <c r="E23" s="175"/>
      <c r="F23" s="176"/>
      <c r="G23" s="93" t="s">
        <v>386</v>
      </c>
      <c r="H23" s="175" t="s">
        <v>387</v>
      </c>
      <c r="I23" s="175"/>
      <c r="J23" s="93" t="s">
        <v>308</v>
      </c>
      <c r="L23" s="7"/>
      <c r="M23" s="7"/>
      <c r="N23" s="8"/>
    </row>
    <row r="24" spans="1:18" x14ac:dyDescent="0.25">
      <c r="A24" s="7"/>
      <c r="C24" s="93" t="s">
        <v>388</v>
      </c>
      <c r="D24" s="177" t="s">
        <v>389</v>
      </c>
      <c r="E24" s="175"/>
      <c r="F24" s="93" t="s">
        <v>390</v>
      </c>
      <c r="G24" s="93" t="s">
        <v>391</v>
      </c>
      <c r="H24" s="177" t="s">
        <v>392</v>
      </c>
      <c r="I24" s="175"/>
      <c r="J24" s="93" t="s">
        <v>393</v>
      </c>
      <c r="K24" s="93" t="s">
        <v>394</v>
      </c>
      <c r="L24" s="7"/>
      <c r="M24" s="7"/>
      <c r="N24" s="8"/>
    </row>
    <row r="25" spans="1:18" x14ac:dyDescent="0.25">
      <c r="A25" s="7"/>
      <c r="B25" s="75" t="s">
        <v>249</v>
      </c>
      <c r="C25" s="75" t="s">
        <v>395</v>
      </c>
      <c r="D25" s="75" t="s">
        <v>362</v>
      </c>
      <c r="E25" s="75" t="s">
        <v>280</v>
      </c>
      <c r="F25" s="178">
        <v>4.9725000000000019E-2</v>
      </c>
      <c r="G25" s="75" t="s">
        <v>396</v>
      </c>
      <c r="H25" s="75" t="s">
        <v>362</v>
      </c>
      <c r="I25" s="75" t="s">
        <v>280</v>
      </c>
      <c r="J25" s="75" t="s">
        <v>397</v>
      </c>
      <c r="K25" s="75" t="s">
        <v>175</v>
      </c>
      <c r="L25" s="7"/>
      <c r="M25" s="7"/>
      <c r="N25" s="8"/>
    </row>
    <row r="26" spans="1:18" x14ac:dyDescent="0.25">
      <c r="A26" s="7"/>
      <c r="B26" s="93">
        <f t="shared" ref="B26:B29" si="0">B27-1</f>
        <v>2017</v>
      </c>
      <c r="C26" s="78">
        <f t="shared" ref="C26:C31" si="1">C7</f>
        <v>7830576</v>
      </c>
      <c r="D26" s="78">
        <f t="shared" ref="D26:E31" si="2">F7</f>
        <v>5515481</v>
      </c>
      <c r="E26" s="78">
        <f t="shared" si="2"/>
        <v>5396582</v>
      </c>
      <c r="F26" s="149">
        <f>F27*(1+$E$21)</f>
        <v>1.2746111166309007</v>
      </c>
      <c r="G26" s="149">
        <f t="shared" ref="G26:G31" si="3">D7</f>
        <v>1.139</v>
      </c>
      <c r="H26" s="179">
        <f t="shared" ref="H26:I30" si="4">D26*$F26/($C26*$G26)</f>
        <v>0.78821312391295606</v>
      </c>
      <c r="I26" s="179">
        <f t="shared" si="4"/>
        <v>0.7712213597821167</v>
      </c>
      <c r="J26" s="179">
        <f t="shared" ref="J26:J31" si="5">$H$39*G26/F26</f>
        <v>0.68061594297443317</v>
      </c>
      <c r="K26" s="78">
        <f>J26*C26</f>
        <v>5329614.8682729648</v>
      </c>
      <c r="L26" s="7"/>
      <c r="M26" s="7"/>
      <c r="N26" s="8"/>
    </row>
    <row r="27" spans="1:18" x14ac:dyDescent="0.25">
      <c r="A27" s="7"/>
      <c r="B27" s="93">
        <f t="shared" si="0"/>
        <v>2018</v>
      </c>
      <c r="C27" s="78">
        <f t="shared" si="1"/>
        <v>8092188</v>
      </c>
      <c r="D27" s="78">
        <f t="shared" si="2"/>
        <v>5886678</v>
      </c>
      <c r="E27" s="78">
        <f t="shared" si="2"/>
        <v>5758999</v>
      </c>
      <c r="F27" s="149">
        <f>F28*(1+$E$21)</f>
        <v>1.2142333626720339</v>
      </c>
      <c r="G27" s="149">
        <f t="shared" si="3"/>
        <v>1.133</v>
      </c>
      <c r="H27" s="179">
        <f t="shared" si="4"/>
        <v>0.77960850518872371</v>
      </c>
      <c r="I27" s="179">
        <f t="shared" si="4"/>
        <v>0.76269920008761383</v>
      </c>
      <c r="J27" s="179">
        <f t="shared" si="5"/>
        <v>0.7106959557920125</v>
      </c>
      <c r="K27" s="78">
        <f t="shared" ref="K27:K31" si="6">J27*C27</f>
        <v>5751085.2851086538</v>
      </c>
      <c r="L27" s="7"/>
      <c r="M27" s="7"/>
      <c r="N27" s="8"/>
    </row>
    <row r="28" spans="1:18" x14ac:dyDescent="0.25">
      <c r="A28" s="7"/>
      <c r="B28" s="93">
        <f t="shared" si="0"/>
        <v>2019</v>
      </c>
      <c r="C28" s="78">
        <f t="shared" si="1"/>
        <v>8536126</v>
      </c>
      <c r="D28" s="78">
        <f t="shared" si="2"/>
        <v>6187315</v>
      </c>
      <c r="E28" s="78">
        <f t="shared" si="2"/>
        <v>6051964</v>
      </c>
      <c r="F28" s="149">
        <f>F29*(1+$E$21)</f>
        <v>1.1567156756979531</v>
      </c>
      <c r="G28" s="149">
        <f t="shared" si="3"/>
        <v>1.089</v>
      </c>
      <c r="H28" s="179">
        <f t="shared" si="4"/>
        <v>0.76991033799096475</v>
      </c>
      <c r="I28" s="179">
        <f t="shared" si="4"/>
        <v>0.75306811577382948</v>
      </c>
      <c r="J28" s="179">
        <f t="shared" si="5"/>
        <v>0.71706306706003164</v>
      </c>
      <c r="K28" s="78">
        <f t="shared" si="6"/>
        <v>6120940.6903708801</v>
      </c>
      <c r="L28" s="7"/>
      <c r="M28" s="7"/>
      <c r="N28" s="8"/>
    </row>
    <row r="29" spans="1:18" x14ac:dyDescent="0.25">
      <c r="A29" s="7"/>
      <c r="B29" s="93">
        <f t="shared" si="0"/>
        <v>2020</v>
      </c>
      <c r="C29" s="78">
        <f t="shared" si="1"/>
        <v>8983907</v>
      </c>
      <c r="D29" s="78">
        <f t="shared" si="2"/>
        <v>6565775</v>
      </c>
      <c r="E29" s="78">
        <f t="shared" si="2"/>
        <v>6448346</v>
      </c>
      <c r="F29" s="149">
        <f>F30*(1+$E$21)</f>
        <v>1.101922575625</v>
      </c>
      <c r="G29" s="149">
        <f t="shared" si="3"/>
        <v>1.0489999999999999</v>
      </c>
      <c r="H29" s="179">
        <f t="shared" si="4"/>
        <v>0.76770848570437833</v>
      </c>
      <c r="I29" s="179">
        <f t="shared" si="4"/>
        <v>0.75397800609339871</v>
      </c>
      <c r="J29" s="179">
        <f t="shared" si="5"/>
        <v>0.72507094623048818</v>
      </c>
      <c r="K29" s="78">
        <f t="shared" si="6"/>
        <v>6513969.9493367067</v>
      </c>
      <c r="L29" s="7"/>
      <c r="M29" s="7"/>
      <c r="N29" s="8"/>
    </row>
    <row r="30" spans="1:18" x14ac:dyDescent="0.25">
      <c r="A30" s="7"/>
      <c r="B30" s="93">
        <f>B31-1</f>
        <v>2021</v>
      </c>
      <c r="C30" s="78">
        <f t="shared" si="1"/>
        <v>9288767</v>
      </c>
      <c r="D30" s="78">
        <f t="shared" si="2"/>
        <v>7041612</v>
      </c>
      <c r="E30" s="78">
        <f t="shared" si="2"/>
        <v>6913772</v>
      </c>
      <c r="F30" s="149">
        <f>F31*(1+$E$21)</f>
        <v>1.049725</v>
      </c>
      <c r="G30" s="149">
        <f t="shared" si="3"/>
        <v>1.034</v>
      </c>
      <c r="H30" s="179">
        <f t="shared" si="4"/>
        <v>0.76960702588093632</v>
      </c>
      <c r="I30" s="179">
        <f t="shared" si="4"/>
        <v>0.75563486124184243</v>
      </c>
      <c r="J30" s="179">
        <f t="shared" si="5"/>
        <v>0.75024151801609196</v>
      </c>
      <c r="K30" s="78">
        <f t="shared" si="6"/>
        <v>6968818.6545777805</v>
      </c>
      <c r="L30" s="7"/>
      <c r="M30" s="7"/>
      <c r="N30" s="8"/>
    </row>
    <row r="31" spans="1:18" x14ac:dyDescent="0.25">
      <c r="A31" s="7"/>
      <c r="B31" s="93">
        <f>B12</f>
        <v>2022</v>
      </c>
      <c r="C31" s="78">
        <f t="shared" si="1"/>
        <v>9626289</v>
      </c>
      <c r="D31" s="78">
        <f t="shared" si="2"/>
        <v>7648572</v>
      </c>
      <c r="E31" s="78">
        <f t="shared" si="2"/>
        <v>7544729</v>
      </c>
      <c r="F31" s="149">
        <v>1</v>
      </c>
      <c r="G31" s="149">
        <f t="shared" si="3"/>
        <v>1</v>
      </c>
      <c r="H31" s="172"/>
      <c r="I31" s="172"/>
      <c r="J31" s="172">
        <f t="shared" si="5"/>
        <v>0.76165113878089175</v>
      </c>
      <c r="K31" s="78">
        <f t="shared" si="6"/>
        <v>7331873.9790839721</v>
      </c>
      <c r="L31" s="7"/>
      <c r="M31" s="7"/>
      <c r="N31" s="8"/>
    </row>
    <row r="32" spans="1:18" x14ac:dyDescent="0.25">
      <c r="A32" s="7"/>
      <c r="L32" s="7"/>
      <c r="M32" s="7"/>
      <c r="N32" s="8"/>
    </row>
    <row r="33" spans="1:14" x14ac:dyDescent="0.25">
      <c r="A33" s="7"/>
      <c r="B33" s="1" t="s">
        <v>398</v>
      </c>
      <c r="L33" s="7"/>
      <c r="M33" s="7"/>
      <c r="N33" s="8"/>
    </row>
    <row r="34" spans="1:14" x14ac:dyDescent="0.25">
      <c r="A34" s="7"/>
      <c r="B34" s="1" t="s">
        <v>399</v>
      </c>
      <c r="H34" s="180">
        <f>AVERAGE(H26:H30)</f>
        <v>0.77500949573559175</v>
      </c>
      <c r="I34" s="180">
        <f>AVERAGE(I26:I30)</f>
        <v>0.75932030859576016</v>
      </c>
      <c r="L34" s="7"/>
      <c r="M34" s="7"/>
      <c r="N34" s="8"/>
    </row>
    <row r="35" spans="1:14" x14ac:dyDescent="0.25">
      <c r="A35" s="7"/>
      <c r="B35" s="1" t="s">
        <v>400</v>
      </c>
      <c r="H35" s="180">
        <f>AVERAGE(H26:H30)</f>
        <v>0.77500949573559175</v>
      </c>
      <c r="I35" s="180">
        <f>AVERAGE(I26:I30)</f>
        <v>0.75932030859576016</v>
      </c>
      <c r="L35" s="7"/>
      <c r="M35" s="7"/>
      <c r="N35" s="8"/>
    </row>
    <row r="36" spans="1:14" x14ac:dyDescent="0.25">
      <c r="A36" s="7"/>
      <c r="B36" s="1" t="s">
        <v>401</v>
      </c>
      <c r="H36" s="180">
        <f>(SUM(H26:H30)-MIN(H26:H30)-MAX(H26:H30))/3</f>
        <v>0.77304195635354145</v>
      </c>
      <c r="I36" s="180">
        <f>(SUM(I26:I30)-MIN(I26:I30)-MAX(I26:I30))/3</f>
        <v>0.75743735580761828</v>
      </c>
      <c r="L36" s="7"/>
      <c r="M36" s="7"/>
      <c r="N36" s="8"/>
    </row>
    <row r="37" spans="1:14" x14ac:dyDescent="0.25">
      <c r="B37" s="1" t="s">
        <v>402</v>
      </c>
      <c r="H37" s="180">
        <f>AVERAGE(H28:H30)</f>
        <v>0.76907528319209317</v>
      </c>
      <c r="I37" s="180">
        <f>AVERAGE(I28:I30)</f>
        <v>0.75422699436969021</v>
      </c>
      <c r="M37" s="8"/>
      <c r="N37" s="8"/>
    </row>
    <row r="38" spans="1:14" x14ac:dyDescent="0.25">
      <c r="G38" s="7"/>
      <c r="H38" s="181"/>
      <c r="I38" s="7"/>
      <c r="M38" s="8"/>
      <c r="N38" s="8"/>
    </row>
    <row r="39" spans="1:14" x14ac:dyDescent="0.25">
      <c r="B39" s="1" t="s">
        <v>403</v>
      </c>
      <c r="G39" s="7"/>
      <c r="H39" s="135">
        <f>AVERAGE(H37:I37)</f>
        <v>0.76165113878089175</v>
      </c>
      <c r="I39" s="7"/>
      <c r="M39" s="8"/>
      <c r="N39" s="8"/>
    </row>
    <row r="40" spans="1:14" x14ac:dyDescent="0.25">
      <c r="C40" s="1" t="s">
        <v>404</v>
      </c>
      <c r="G40" s="7"/>
      <c r="H40" s="7"/>
      <c r="I40" s="7"/>
      <c r="M40" s="8"/>
      <c r="N40" s="8"/>
    </row>
    <row r="41" spans="1:14" x14ac:dyDescent="0.25">
      <c r="M41" s="8"/>
      <c r="N41" s="8"/>
    </row>
    <row r="42" spans="1:14" x14ac:dyDescent="0.25">
      <c r="A42" s="3"/>
      <c r="B42" s="3"/>
      <c r="C42" s="3"/>
      <c r="D42" s="3"/>
      <c r="E42" s="3"/>
      <c r="F42" s="3"/>
      <c r="G42" s="4"/>
      <c r="H42" s="4"/>
      <c r="I42" s="4"/>
      <c r="J42" s="4"/>
      <c r="K42" s="4"/>
      <c r="L42" s="4"/>
      <c r="M42" s="8"/>
      <c r="N42" s="8"/>
    </row>
    <row r="43" spans="1:14" x14ac:dyDescent="0.25">
      <c r="A43" s="9" t="s">
        <v>56</v>
      </c>
      <c r="B43" s="3"/>
      <c r="C43" s="3"/>
      <c r="D43" s="3"/>
      <c r="E43" s="3"/>
      <c r="F43" s="3"/>
      <c r="G43" s="4"/>
      <c r="H43" s="4"/>
      <c r="I43" s="4"/>
      <c r="J43" s="4"/>
      <c r="K43" s="4"/>
      <c r="L43" s="4"/>
      <c r="M43" s="8"/>
      <c r="N43" s="8"/>
    </row>
    <row r="44" spans="1:14" x14ac:dyDescent="0.25">
      <c r="A44" s="3"/>
      <c r="B44" s="3"/>
      <c r="C44" s="3"/>
      <c r="D44" s="3"/>
      <c r="E44" s="3"/>
      <c r="F44" s="3"/>
      <c r="G44" s="4"/>
      <c r="H44" s="4"/>
      <c r="I44" s="4"/>
      <c r="J44" s="4"/>
      <c r="K44" s="4"/>
      <c r="L44" s="4"/>
      <c r="M44" s="8"/>
      <c r="N44" s="8"/>
    </row>
    <row r="45" spans="1:14" ht="31.5" x14ac:dyDescent="0.25">
      <c r="A45" s="3"/>
      <c r="B45" s="48" t="s">
        <v>58</v>
      </c>
      <c r="C45" s="48" t="s">
        <v>31</v>
      </c>
      <c r="D45" s="3"/>
      <c r="E45" s="3"/>
      <c r="F45" s="3"/>
      <c r="G45" s="4"/>
      <c r="H45" s="4"/>
      <c r="I45" s="4"/>
      <c r="J45" s="4"/>
      <c r="K45" s="4"/>
      <c r="L45" s="4"/>
      <c r="M45" s="8"/>
      <c r="N45" s="8"/>
    </row>
    <row r="46" spans="1:14" x14ac:dyDescent="0.25">
      <c r="A46" s="3"/>
      <c r="B46" s="33">
        <v>2017</v>
      </c>
      <c r="C46" s="26">
        <v>5313155</v>
      </c>
      <c r="D46" s="3"/>
      <c r="E46" s="3"/>
      <c r="F46" s="3"/>
      <c r="G46" s="4"/>
      <c r="H46" s="4"/>
      <c r="I46" s="4"/>
      <c r="J46" s="4"/>
      <c r="K46" s="4"/>
      <c r="L46" s="4"/>
      <c r="M46" s="8"/>
      <c r="N46" s="8"/>
    </row>
    <row r="47" spans="1:14" x14ac:dyDescent="0.25">
      <c r="A47" s="3"/>
      <c r="B47" s="33">
        <v>2018</v>
      </c>
      <c r="C47" s="26">
        <v>5582317</v>
      </c>
      <c r="D47" s="3"/>
      <c r="E47" s="3"/>
      <c r="F47" s="3"/>
      <c r="G47" s="4"/>
      <c r="H47" s="4"/>
      <c r="I47" s="4"/>
      <c r="J47" s="4"/>
      <c r="K47" s="4"/>
      <c r="L47" s="4"/>
      <c r="M47" s="8"/>
      <c r="N47" s="8"/>
    </row>
    <row r="48" spans="1:14" x14ac:dyDescent="0.25">
      <c r="A48" s="3"/>
      <c r="B48" s="33">
        <v>2019</v>
      </c>
      <c r="C48" s="26">
        <v>5471143</v>
      </c>
      <c r="D48" s="3"/>
      <c r="E48" s="3"/>
      <c r="F48" s="3"/>
      <c r="G48" s="4"/>
      <c r="H48" s="4"/>
      <c r="I48" s="4"/>
      <c r="J48" s="4"/>
      <c r="K48" s="4"/>
      <c r="L48" s="4"/>
      <c r="M48" s="8"/>
      <c r="N48" s="8"/>
    </row>
    <row r="49" spans="1:14" x14ac:dyDescent="0.25">
      <c r="A49" s="3"/>
      <c r="B49" s="33">
        <v>2020</v>
      </c>
      <c r="C49" s="26">
        <v>5175067</v>
      </c>
      <c r="D49" s="3"/>
      <c r="E49" s="3"/>
      <c r="F49" s="3"/>
      <c r="G49" s="4"/>
      <c r="H49" s="4"/>
      <c r="I49" s="4"/>
      <c r="J49" s="4"/>
      <c r="K49" s="4"/>
      <c r="L49" s="4"/>
      <c r="M49" s="8"/>
      <c r="N49" s="8"/>
    </row>
    <row r="50" spans="1:14" x14ac:dyDescent="0.25">
      <c r="A50" s="3"/>
      <c r="B50" s="33">
        <v>2021</v>
      </c>
      <c r="C50" s="26">
        <v>4529697</v>
      </c>
      <c r="D50" s="3"/>
      <c r="E50" s="3"/>
      <c r="F50" s="3"/>
      <c r="G50" s="4"/>
      <c r="H50" s="4"/>
      <c r="I50" s="4"/>
      <c r="J50" s="4"/>
      <c r="K50" s="4"/>
      <c r="L50" s="4"/>
      <c r="M50" s="8"/>
      <c r="N50" s="8"/>
    </row>
    <row r="51" spans="1:14" x14ac:dyDescent="0.25">
      <c r="A51" s="3"/>
      <c r="B51" s="33">
        <v>2022</v>
      </c>
      <c r="C51" s="26">
        <v>3414718</v>
      </c>
      <c r="D51" s="3"/>
      <c r="E51" s="3"/>
      <c r="F51" s="3"/>
      <c r="G51" s="4"/>
      <c r="H51" s="4"/>
      <c r="I51" s="4"/>
      <c r="J51" s="4"/>
      <c r="K51" s="4"/>
      <c r="L51" s="4"/>
      <c r="M51" s="8"/>
      <c r="N51" s="8"/>
    </row>
    <row r="52" spans="1:14" x14ac:dyDescent="0.25">
      <c r="A52" s="3"/>
      <c r="B52" s="3"/>
      <c r="C52" s="3"/>
      <c r="D52" s="3"/>
      <c r="E52" s="3"/>
      <c r="F52" s="3"/>
      <c r="G52" s="4"/>
      <c r="H52" s="4"/>
      <c r="I52" s="4"/>
      <c r="J52" s="4"/>
      <c r="K52" s="4"/>
      <c r="L52" s="4"/>
      <c r="M52" s="8"/>
      <c r="N52" s="8"/>
    </row>
    <row r="54" spans="1:14" x14ac:dyDescent="0.25">
      <c r="A54" s="6" t="s">
        <v>5</v>
      </c>
      <c r="B54" s="9" t="s">
        <v>170</v>
      </c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4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4" x14ac:dyDescent="0.25">
      <c r="A56" s="7" t="s">
        <v>1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4" ht="47.25" x14ac:dyDescent="0.25">
      <c r="B57" s="129" t="s">
        <v>58</v>
      </c>
      <c r="C57" s="129" t="s">
        <v>31</v>
      </c>
      <c r="D57" s="129" t="s">
        <v>405</v>
      </c>
      <c r="E57" s="129" t="s">
        <v>406</v>
      </c>
      <c r="M57" s="7"/>
    </row>
    <row r="58" spans="1:14" x14ac:dyDescent="0.25">
      <c r="B58" s="93">
        <v>2017</v>
      </c>
      <c r="C58" s="78">
        <f>C46</f>
        <v>5313155</v>
      </c>
      <c r="D58" s="150">
        <f t="shared" ref="D58:D63" si="7">G7/C58</f>
        <v>1.0157019699218262</v>
      </c>
      <c r="E58" s="78">
        <f t="shared" ref="E58:E63" si="8">C58+K26*(1-1/D58)</f>
        <v>5395546.7397373766</v>
      </c>
      <c r="M58" s="7"/>
    </row>
    <row r="59" spans="1:14" x14ac:dyDescent="0.25">
      <c r="B59" s="93">
        <v>2018</v>
      </c>
      <c r="C59" s="78">
        <f t="shared" ref="C59:C63" si="9">C47</f>
        <v>5582317</v>
      </c>
      <c r="D59" s="150">
        <f t="shared" si="7"/>
        <v>1.0316502986125653</v>
      </c>
      <c r="E59" s="78">
        <f t="shared" si="8"/>
        <v>5758756.2128464626</v>
      </c>
      <c r="M59" s="7"/>
    </row>
    <row r="60" spans="1:14" x14ac:dyDescent="0.25">
      <c r="B60" s="93">
        <v>2019</v>
      </c>
      <c r="C60" s="78">
        <f t="shared" si="9"/>
        <v>5471143</v>
      </c>
      <c r="D60" s="150">
        <f t="shared" si="7"/>
        <v>1.1061608150253064</v>
      </c>
      <c r="E60" s="78">
        <f t="shared" si="8"/>
        <v>6058583.8527086256</v>
      </c>
    </row>
    <row r="61" spans="1:14" x14ac:dyDescent="0.25">
      <c r="B61" s="93">
        <v>2020</v>
      </c>
      <c r="C61" s="78">
        <f t="shared" si="9"/>
        <v>5175067</v>
      </c>
      <c r="D61" s="150">
        <f t="shared" si="7"/>
        <v>1.2460410657485208</v>
      </c>
      <c r="E61" s="78">
        <f t="shared" si="8"/>
        <v>6461303.9890079554</v>
      </c>
    </row>
    <row r="62" spans="1:14" x14ac:dyDescent="0.25">
      <c r="B62" s="93">
        <v>2021</v>
      </c>
      <c r="C62" s="78">
        <f t="shared" si="9"/>
        <v>4529697</v>
      </c>
      <c r="D62" s="150">
        <f t="shared" si="7"/>
        <v>1.526321076222096</v>
      </c>
      <c r="E62" s="78">
        <f t="shared" si="8"/>
        <v>6932753.7299460433</v>
      </c>
    </row>
    <row r="63" spans="1:14" x14ac:dyDescent="0.25">
      <c r="B63" s="93">
        <v>2022</v>
      </c>
      <c r="C63" s="78">
        <f t="shared" si="9"/>
        <v>3414718</v>
      </c>
      <c r="D63" s="150">
        <f t="shared" si="7"/>
        <v>2.2094735202145537</v>
      </c>
      <c r="E63" s="78">
        <f t="shared" si="8"/>
        <v>7428211.4182832241</v>
      </c>
    </row>
    <row r="65" spans="1:14" x14ac:dyDescent="0.25">
      <c r="A65" s="6" t="s">
        <v>0</v>
      </c>
      <c r="B65" s="9" t="s">
        <v>171</v>
      </c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4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4" x14ac:dyDescent="0.25">
      <c r="A67" s="7" t="s">
        <v>1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4" ht="47.25" x14ac:dyDescent="0.25">
      <c r="A68" s="7"/>
      <c r="B68" s="129" t="s">
        <v>58</v>
      </c>
      <c r="C68" s="129" t="s">
        <v>407</v>
      </c>
      <c r="D68" s="129" t="s">
        <v>408</v>
      </c>
      <c r="E68" s="129" t="s">
        <v>409</v>
      </c>
      <c r="F68" s="7"/>
      <c r="G68" s="7"/>
      <c r="H68" s="7"/>
      <c r="I68" s="7"/>
      <c r="J68" s="7"/>
      <c r="K68" s="7"/>
      <c r="L68" s="7"/>
    </row>
    <row r="69" spans="1:14" x14ac:dyDescent="0.25">
      <c r="B69" s="93">
        <v>2017</v>
      </c>
      <c r="C69" s="124">
        <f t="shared" ref="C69:C74" si="10">1/D58</f>
        <v>0.98454077043580546</v>
      </c>
      <c r="D69" s="78">
        <f t="shared" ref="D69:D74" si="11">C69*K26</f>
        <v>5247223.1285355883</v>
      </c>
      <c r="E69" s="78">
        <f t="shared" ref="E69:E74" si="12">C58-D69</f>
        <v>65931.871464411728</v>
      </c>
    </row>
    <row r="70" spans="1:14" x14ac:dyDescent="0.25">
      <c r="B70" s="93">
        <v>2018</v>
      </c>
      <c r="C70" s="124">
        <f t="shared" si="10"/>
        <v>0.96932071007478915</v>
      </c>
      <c r="D70" s="78">
        <f t="shared" si="11"/>
        <v>5574646.0722621912</v>
      </c>
      <c r="E70" s="78">
        <f t="shared" si="12"/>
        <v>7670.9277378087863</v>
      </c>
    </row>
    <row r="71" spans="1:14" x14ac:dyDescent="0.25">
      <c r="B71" s="93">
        <v>2019</v>
      </c>
      <c r="C71" s="124">
        <f t="shared" si="10"/>
        <v>0.90402768423605961</v>
      </c>
      <c r="D71" s="78">
        <f t="shared" si="11"/>
        <v>5533499.8376622545</v>
      </c>
      <c r="E71" s="78">
        <f t="shared" si="12"/>
        <v>-62356.83766225446</v>
      </c>
      <c r="M71" s="7"/>
      <c r="N71" s="7"/>
    </row>
    <row r="72" spans="1:14" x14ac:dyDescent="0.25">
      <c r="B72" s="93">
        <v>2020</v>
      </c>
      <c r="C72" s="124">
        <f t="shared" si="10"/>
        <v>0.80254176807510014</v>
      </c>
      <c r="D72" s="78">
        <f t="shared" si="11"/>
        <v>5227732.9603287512</v>
      </c>
      <c r="E72" s="78">
        <f t="shared" si="12"/>
        <v>-52665.960328751244</v>
      </c>
      <c r="M72" s="7"/>
      <c r="N72" s="7"/>
    </row>
    <row r="73" spans="1:14" x14ac:dyDescent="0.25">
      <c r="B73" s="93">
        <v>2021</v>
      </c>
      <c r="C73" s="124">
        <f t="shared" si="10"/>
        <v>0.6551701444594934</v>
      </c>
      <c r="D73" s="78">
        <f t="shared" si="11"/>
        <v>4565761.9246317372</v>
      </c>
      <c r="E73" s="78">
        <f t="shared" si="12"/>
        <v>-36064.924631737173</v>
      </c>
      <c r="M73" s="7"/>
      <c r="N73" s="7"/>
    </row>
    <row r="74" spans="1:14" x14ac:dyDescent="0.25">
      <c r="B74" s="75">
        <v>2022</v>
      </c>
      <c r="C74" s="133">
        <f t="shared" si="10"/>
        <v>0.45259650810519503</v>
      </c>
      <c r="D74" s="151">
        <f t="shared" si="11"/>
        <v>3318380.5608007475</v>
      </c>
      <c r="E74" s="151">
        <f t="shared" si="12"/>
        <v>96337.43919925252</v>
      </c>
    </row>
    <row r="75" spans="1:14" x14ac:dyDescent="0.25">
      <c r="E75" s="78">
        <f>SUM(E69:E74)</f>
        <v>18852.515778730158</v>
      </c>
    </row>
    <row r="77" spans="1:14" x14ac:dyDescent="0.25">
      <c r="B77" s="1" t="s">
        <v>410</v>
      </c>
    </row>
    <row r="79" spans="1:14" x14ac:dyDescent="0.25">
      <c r="A79" s="6" t="s">
        <v>2</v>
      </c>
      <c r="B79" s="9" t="s">
        <v>172</v>
      </c>
      <c r="C79" s="9"/>
      <c r="D79" s="4"/>
      <c r="E79" s="4"/>
      <c r="F79" s="4"/>
      <c r="G79" s="4"/>
      <c r="H79" s="4"/>
      <c r="I79" s="4"/>
      <c r="J79" s="4"/>
      <c r="K79" s="4"/>
      <c r="L79" s="4"/>
    </row>
    <row r="80" spans="1:14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3" x14ac:dyDescent="0.25">
      <c r="A81" s="7" t="s">
        <v>1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3" x14ac:dyDescent="0.25">
      <c r="B82" s="1" t="s">
        <v>411</v>
      </c>
      <c r="C82"/>
      <c r="D82"/>
      <c r="E82" s="73">
        <f>SUM(E58:E63)</f>
        <v>38035155.942529693</v>
      </c>
    </row>
    <row r="83" spans="1:13" x14ac:dyDescent="0.25">
      <c r="B83" s="1" t="s">
        <v>412</v>
      </c>
      <c r="C83"/>
      <c r="D83"/>
      <c r="E83" s="73">
        <f>SUM(C58:C63)</f>
        <v>29486097</v>
      </c>
      <c r="M83" s="7"/>
    </row>
    <row r="84" spans="1:13" x14ac:dyDescent="0.25">
      <c r="B84" s="1" t="s">
        <v>413</v>
      </c>
      <c r="C84"/>
      <c r="D84"/>
      <c r="E84" s="73">
        <f>E82-E83</f>
        <v>8549058.9425296932</v>
      </c>
      <c r="M84" s="7"/>
    </row>
  </sheetData>
  <mergeCells count="4">
    <mergeCell ref="B5:B6"/>
    <mergeCell ref="C5:C6"/>
    <mergeCell ref="D5:E5"/>
    <mergeCell ref="F5:G5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E64C3-E02B-49A8-BBEE-79F61F9A4225}">
  <dimension ref="A1:R133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9" width="12.7109375" style="1" customWidth="1"/>
    <col min="10" max="16384" width="8.85546875" style="1"/>
  </cols>
  <sheetData>
    <row r="1" spans="1:12" ht="18.75" x14ac:dyDescent="0.3">
      <c r="A1" s="2" t="s">
        <v>173</v>
      </c>
      <c r="B1" s="4"/>
      <c r="C1" s="9" t="s">
        <v>10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207" t="s">
        <v>174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3"/>
    </row>
    <row r="4" spans="1:12" x14ac:dyDescent="0.25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9"/>
    </row>
    <row r="5" spans="1:12" x14ac:dyDescent="0.25">
      <c r="A5" s="21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25">
      <c r="A6" s="21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25">
      <c r="A7" s="21"/>
      <c r="B7" s="30" t="s">
        <v>30</v>
      </c>
      <c r="C7" s="211" t="s">
        <v>31</v>
      </c>
      <c r="D7" s="211"/>
      <c r="E7" s="211"/>
      <c r="F7" s="211"/>
      <c r="G7" s="211"/>
      <c r="H7" s="211"/>
      <c r="I7" s="69" t="s">
        <v>153</v>
      </c>
      <c r="J7" s="9"/>
      <c r="K7" s="9"/>
      <c r="L7" s="9"/>
    </row>
    <row r="8" spans="1:12" x14ac:dyDescent="0.25">
      <c r="A8" s="21"/>
      <c r="B8" s="31" t="s">
        <v>32</v>
      </c>
      <c r="C8" s="32">
        <v>12</v>
      </c>
      <c r="D8" s="32">
        <v>24</v>
      </c>
      <c r="E8" s="32">
        <v>36</v>
      </c>
      <c r="F8" s="32">
        <v>48</v>
      </c>
      <c r="G8" s="32">
        <v>60</v>
      </c>
      <c r="H8" s="32">
        <v>72</v>
      </c>
      <c r="I8" s="54" t="s">
        <v>175</v>
      </c>
      <c r="J8" s="9"/>
      <c r="K8" s="9"/>
      <c r="L8" s="9"/>
    </row>
    <row r="9" spans="1:12" x14ac:dyDescent="0.25">
      <c r="A9" s="21"/>
      <c r="B9" s="33">
        <v>2017</v>
      </c>
      <c r="C9" s="26">
        <v>4490119</v>
      </c>
      <c r="D9" s="26">
        <v>6618441</v>
      </c>
      <c r="E9" s="26">
        <v>8018024</v>
      </c>
      <c r="F9" s="26">
        <v>9424347</v>
      </c>
      <c r="G9" s="26">
        <v>9996330</v>
      </c>
      <c r="H9" s="26">
        <v>10121653</v>
      </c>
      <c r="I9" s="26">
        <v>10248547</v>
      </c>
      <c r="J9" s="9"/>
      <c r="K9" s="9"/>
      <c r="L9" s="9"/>
    </row>
    <row r="10" spans="1:12" x14ac:dyDescent="0.25">
      <c r="A10" s="21"/>
      <c r="B10" s="33">
        <v>2018</v>
      </c>
      <c r="C10" s="26">
        <v>4892866</v>
      </c>
      <c r="D10" s="26">
        <v>6982903</v>
      </c>
      <c r="E10" s="26">
        <v>8630338</v>
      </c>
      <c r="F10" s="26">
        <v>10114249</v>
      </c>
      <c r="G10" s="26">
        <v>10671269</v>
      </c>
      <c r="H10" s="33"/>
      <c r="I10" s="26">
        <v>10940516</v>
      </c>
      <c r="J10" s="9"/>
      <c r="K10" s="9"/>
      <c r="L10" s="9"/>
    </row>
    <row r="11" spans="1:12" x14ac:dyDescent="0.25">
      <c r="A11" s="21"/>
      <c r="B11" s="33">
        <v>2019</v>
      </c>
      <c r="C11" s="26">
        <v>5116047</v>
      </c>
      <c r="D11" s="26">
        <v>7389572</v>
      </c>
      <c r="E11" s="26">
        <v>9267893</v>
      </c>
      <c r="F11" s="26">
        <v>10572454</v>
      </c>
      <c r="G11" s="33"/>
      <c r="H11" s="33"/>
      <c r="I11" s="26">
        <v>11466607</v>
      </c>
      <c r="J11" s="9"/>
      <c r="K11" s="9"/>
      <c r="L11" s="9"/>
    </row>
    <row r="12" spans="1:12" x14ac:dyDescent="0.25">
      <c r="A12" s="21"/>
      <c r="B12" s="33">
        <v>2020</v>
      </c>
      <c r="C12" s="26">
        <v>5687200</v>
      </c>
      <c r="D12" s="26">
        <v>8006857</v>
      </c>
      <c r="E12" s="26">
        <v>10230447</v>
      </c>
      <c r="F12" s="33"/>
      <c r="G12" s="33"/>
      <c r="H12" s="33"/>
      <c r="I12" s="26">
        <v>12900933</v>
      </c>
      <c r="J12" s="9"/>
      <c r="K12" s="9"/>
      <c r="L12" s="9"/>
    </row>
    <row r="13" spans="1:12" x14ac:dyDescent="0.25">
      <c r="A13" s="21"/>
      <c r="B13" s="33">
        <v>2021</v>
      </c>
      <c r="C13" s="26">
        <v>6277173</v>
      </c>
      <c r="D13" s="26">
        <v>9059236</v>
      </c>
      <c r="E13" s="33"/>
      <c r="F13" s="33"/>
      <c r="G13" s="33"/>
      <c r="H13" s="33"/>
      <c r="I13" s="26">
        <v>14220841</v>
      </c>
      <c r="J13" s="9"/>
      <c r="K13" s="9"/>
      <c r="L13" s="9"/>
    </row>
    <row r="14" spans="1:12" x14ac:dyDescent="0.25">
      <c r="A14" s="21"/>
      <c r="B14" s="33">
        <v>2022</v>
      </c>
      <c r="C14" s="26">
        <v>6920495</v>
      </c>
      <c r="D14" s="33"/>
      <c r="E14" s="33"/>
      <c r="F14" s="33"/>
      <c r="G14" s="33"/>
      <c r="H14" s="33"/>
      <c r="I14" s="26">
        <v>15636155</v>
      </c>
      <c r="J14" s="9"/>
      <c r="K14" s="9"/>
      <c r="L14" s="9"/>
    </row>
    <row r="15" spans="1:12" x14ac:dyDescent="0.25">
      <c r="A15" s="21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x14ac:dyDescent="0.25">
      <c r="A16" s="21"/>
      <c r="B16" s="30" t="s">
        <v>30</v>
      </c>
      <c r="C16" s="211" t="s">
        <v>33</v>
      </c>
      <c r="D16" s="211"/>
      <c r="E16" s="211"/>
      <c r="F16" s="211"/>
      <c r="G16" s="211"/>
      <c r="H16" s="211"/>
      <c r="I16" s="69" t="s">
        <v>153</v>
      </c>
      <c r="J16" s="9"/>
      <c r="K16" s="9"/>
      <c r="L16" s="9"/>
    </row>
    <row r="17" spans="1:12" x14ac:dyDescent="0.25">
      <c r="A17" s="21"/>
      <c r="B17" s="31" t="s">
        <v>32</v>
      </c>
      <c r="C17" s="32">
        <v>12</v>
      </c>
      <c r="D17" s="32">
        <v>24</v>
      </c>
      <c r="E17" s="32">
        <v>36</v>
      </c>
      <c r="F17" s="32">
        <v>48</v>
      </c>
      <c r="G17" s="32">
        <v>60</v>
      </c>
      <c r="H17" s="32">
        <v>72</v>
      </c>
      <c r="I17" s="54" t="s">
        <v>175</v>
      </c>
      <c r="J17" s="9"/>
      <c r="K17" s="9"/>
      <c r="L17" s="9"/>
    </row>
    <row r="18" spans="1:12" x14ac:dyDescent="0.25">
      <c r="A18" s="21"/>
      <c r="B18" s="33">
        <v>2017</v>
      </c>
      <c r="C18" s="26">
        <v>1950824</v>
      </c>
      <c r="D18" s="26">
        <v>4523911</v>
      </c>
      <c r="E18" s="26">
        <v>6506781</v>
      </c>
      <c r="F18" s="26">
        <v>8594540</v>
      </c>
      <c r="G18" s="26">
        <v>9886911</v>
      </c>
      <c r="H18" s="26">
        <v>10121653</v>
      </c>
      <c r="I18" s="26">
        <v>10361968</v>
      </c>
      <c r="J18" s="9"/>
      <c r="K18" s="9"/>
      <c r="L18" s="9"/>
    </row>
    <row r="19" spans="1:12" x14ac:dyDescent="0.25">
      <c r="A19" s="21"/>
      <c r="B19" s="33">
        <v>2018</v>
      </c>
      <c r="C19" s="26">
        <v>2077925</v>
      </c>
      <c r="D19" s="26">
        <v>4668120</v>
      </c>
      <c r="E19" s="26">
        <v>7007477</v>
      </c>
      <c r="F19" s="26">
        <v>9239820</v>
      </c>
      <c r="G19" s="26">
        <v>10671269</v>
      </c>
      <c r="H19" s="33"/>
      <c r="I19" s="26">
        <v>11184014</v>
      </c>
      <c r="J19" s="9"/>
      <c r="K19" s="9"/>
      <c r="L19" s="9"/>
    </row>
    <row r="20" spans="1:12" x14ac:dyDescent="0.25">
      <c r="A20" s="21"/>
      <c r="B20" s="33">
        <v>2019</v>
      </c>
      <c r="C20" s="26">
        <v>2061272</v>
      </c>
      <c r="D20" s="26">
        <v>4882698</v>
      </c>
      <c r="E20" s="26">
        <v>7493669</v>
      </c>
      <c r="F20" s="26">
        <v>10572454</v>
      </c>
      <c r="G20" s="33"/>
      <c r="H20" s="33"/>
      <c r="I20" s="26">
        <v>12771843</v>
      </c>
      <c r="J20" s="9"/>
      <c r="K20" s="9"/>
      <c r="L20" s="9"/>
    </row>
    <row r="21" spans="1:12" x14ac:dyDescent="0.25">
      <c r="A21" s="21"/>
      <c r="B21" s="33">
        <v>2020</v>
      </c>
      <c r="C21" s="26">
        <v>2431961</v>
      </c>
      <c r="D21" s="26">
        <v>5348691</v>
      </c>
      <c r="E21" s="26">
        <v>8813923</v>
      </c>
      <c r="F21" s="33"/>
      <c r="G21" s="33"/>
      <c r="H21" s="33"/>
      <c r="I21" s="26">
        <v>14375085</v>
      </c>
      <c r="J21" s="9"/>
      <c r="K21" s="9"/>
      <c r="L21" s="9"/>
    </row>
    <row r="22" spans="1:12" x14ac:dyDescent="0.25">
      <c r="A22" s="21"/>
      <c r="B22" s="33">
        <v>2021</v>
      </c>
      <c r="C22" s="26">
        <v>2726683</v>
      </c>
      <c r="D22" s="26">
        <v>6334322</v>
      </c>
      <c r="E22" s="33"/>
      <c r="F22" s="33"/>
      <c r="G22" s="33"/>
      <c r="H22" s="33"/>
      <c r="I22" s="26">
        <v>15811681</v>
      </c>
      <c r="J22" s="9"/>
      <c r="K22" s="9"/>
      <c r="L22" s="9"/>
    </row>
    <row r="23" spans="1:12" x14ac:dyDescent="0.25">
      <c r="A23" s="21"/>
      <c r="B23" s="33">
        <v>2022</v>
      </c>
      <c r="C23" s="26">
        <v>2996405</v>
      </c>
      <c r="D23" s="33"/>
      <c r="E23" s="33"/>
      <c r="F23" s="33"/>
      <c r="G23" s="33"/>
      <c r="H23" s="33"/>
      <c r="I23" s="26">
        <v>17138313</v>
      </c>
      <c r="J23" s="9"/>
      <c r="K23" s="9"/>
      <c r="L23" s="9"/>
    </row>
    <row r="24" spans="1:12" x14ac:dyDescent="0.25">
      <c r="A24" s="21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25">
      <c r="A25" s="21"/>
      <c r="B25" s="30" t="s">
        <v>30</v>
      </c>
      <c r="C25" s="211" t="s">
        <v>34</v>
      </c>
      <c r="D25" s="211"/>
      <c r="E25" s="211"/>
      <c r="F25" s="211"/>
      <c r="G25" s="211"/>
      <c r="H25" s="211"/>
      <c r="I25" s="69" t="s">
        <v>153</v>
      </c>
      <c r="J25" s="9"/>
      <c r="K25" s="9"/>
      <c r="L25" s="9"/>
    </row>
    <row r="26" spans="1:12" x14ac:dyDescent="0.25">
      <c r="A26" s="21"/>
      <c r="B26" s="31" t="s">
        <v>32</v>
      </c>
      <c r="C26" s="32">
        <v>12</v>
      </c>
      <c r="D26" s="32">
        <v>24</v>
      </c>
      <c r="E26" s="32">
        <v>36</v>
      </c>
      <c r="F26" s="32">
        <v>48</v>
      </c>
      <c r="G26" s="32">
        <v>60</v>
      </c>
      <c r="H26" s="32">
        <v>72</v>
      </c>
      <c r="I26" s="54" t="s">
        <v>154</v>
      </c>
      <c r="J26" s="9"/>
      <c r="K26" s="9"/>
      <c r="L26" s="9"/>
    </row>
    <row r="27" spans="1:12" x14ac:dyDescent="0.25">
      <c r="A27" s="21"/>
      <c r="B27" s="33">
        <v>2017</v>
      </c>
      <c r="C27" s="26">
        <v>1193</v>
      </c>
      <c r="D27" s="26">
        <v>1488</v>
      </c>
      <c r="E27" s="26">
        <v>1670</v>
      </c>
      <c r="F27" s="26">
        <v>1850</v>
      </c>
      <c r="G27" s="26">
        <v>1921</v>
      </c>
      <c r="H27" s="26">
        <v>1935</v>
      </c>
      <c r="I27" s="26">
        <v>1949</v>
      </c>
      <c r="J27" s="9"/>
      <c r="K27" s="9"/>
      <c r="L27" s="9"/>
    </row>
    <row r="28" spans="1:12" x14ac:dyDescent="0.25">
      <c r="A28" s="21"/>
      <c r="B28" s="33">
        <v>2018</v>
      </c>
      <c r="C28" s="26">
        <v>1204</v>
      </c>
      <c r="D28" s="26">
        <v>1523</v>
      </c>
      <c r="E28" s="26">
        <v>1701</v>
      </c>
      <c r="F28" s="26">
        <v>1864</v>
      </c>
      <c r="G28" s="26">
        <v>1941</v>
      </c>
      <c r="H28" s="33"/>
      <c r="I28" s="26">
        <v>1969</v>
      </c>
      <c r="J28" s="9"/>
      <c r="K28" s="9"/>
      <c r="L28" s="9"/>
    </row>
    <row r="29" spans="1:12" x14ac:dyDescent="0.25">
      <c r="A29" s="21"/>
      <c r="B29" s="33">
        <v>2019</v>
      </c>
      <c r="C29" s="26">
        <v>1229</v>
      </c>
      <c r="D29" s="26">
        <v>1515</v>
      </c>
      <c r="E29" s="26">
        <v>1738</v>
      </c>
      <c r="F29" s="26">
        <v>1874</v>
      </c>
      <c r="G29" s="33"/>
      <c r="H29" s="33"/>
      <c r="I29" s="26">
        <v>1977</v>
      </c>
      <c r="J29" s="9"/>
      <c r="K29" s="9"/>
      <c r="L29" s="9"/>
    </row>
    <row r="30" spans="1:12" x14ac:dyDescent="0.25">
      <c r="A30" s="21"/>
      <c r="B30" s="33">
        <v>2020</v>
      </c>
      <c r="C30" s="26">
        <v>1236</v>
      </c>
      <c r="D30" s="26">
        <v>1554</v>
      </c>
      <c r="E30" s="26">
        <v>1753</v>
      </c>
      <c r="F30" s="33"/>
      <c r="G30" s="33"/>
      <c r="H30" s="33"/>
      <c r="I30" s="26">
        <v>2023</v>
      </c>
      <c r="J30" s="9"/>
      <c r="K30" s="9"/>
      <c r="L30" s="9"/>
    </row>
    <row r="31" spans="1:12" x14ac:dyDescent="0.25">
      <c r="A31" s="21"/>
      <c r="B31" s="33">
        <v>2021</v>
      </c>
      <c r="C31" s="26">
        <v>1278</v>
      </c>
      <c r="D31" s="26">
        <v>1576</v>
      </c>
      <c r="E31" s="33"/>
      <c r="F31" s="33"/>
      <c r="G31" s="33"/>
      <c r="H31" s="33"/>
      <c r="I31" s="26">
        <v>2053</v>
      </c>
      <c r="J31" s="9"/>
      <c r="K31" s="9"/>
      <c r="L31" s="9"/>
    </row>
    <row r="32" spans="1:12" x14ac:dyDescent="0.25">
      <c r="A32" s="21"/>
      <c r="B32" s="33">
        <v>2022</v>
      </c>
      <c r="C32" s="26">
        <v>1273</v>
      </c>
      <c r="D32" s="33"/>
      <c r="E32" s="33"/>
      <c r="F32" s="33"/>
      <c r="G32" s="33"/>
      <c r="H32" s="33"/>
      <c r="I32" s="26">
        <v>2068</v>
      </c>
      <c r="J32" s="9"/>
      <c r="K32" s="9"/>
      <c r="L32" s="9"/>
    </row>
    <row r="33" spans="1:12" x14ac:dyDescent="0.25">
      <c r="A33" s="2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x14ac:dyDescent="0.25">
      <c r="A34" s="21"/>
      <c r="B34" s="30" t="s">
        <v>30</v>
      </c>
      <c r="C34" s="211" t="s">
        <v>35</v>
      </c>
      <c r="D34" s="211"/>
      <c r="E34" s="211"/>
      <c r="F34" s="211"/>
      <c r="G34" s="211"/>
      <c r="H34" s="211"/>
      <c r="I34" s="69" t="s">
        <v>153</v>
      </c>
      <c r="J34" s="9"/>
      <c r="K34" s="9"/>
      <c r="L34" s="9"/>
    </row>
    <row r="35" spans="1:12" x14ac:dyDescent="0.25">
      <c r="A35" s="21"/>
      <c r="B35" s="31" t="s">
        <v>32</v>
      </c>
      <c r="C35" s="32">
        <v>12</v>
      </c>
      <c r="D35" s="32">
        <v>24</v>
      </c>
      <c r="E35" s="32">
        <v>36</v>
      </c>
      <c r="F35" s="32">
        <v>48</v>
      </c>
      <c r="G35" s="32">
        <v>60</v>
      </c>
      <c r="H35" s="32">
        <v>72</v>
      </c>
      <c r="I35" s="54" t="s">
        <v>154</v>
      </c>
      <c r="J35" s="9"/>
      <c r="K35" s="9"/>
      <c r="L35" s="9"/>
    </row>
    <row r="36" spans="1:12" x14ac:dyDescent="0.25">
      <c r="A36" s="21"/>
      <c r="B36" s="33">
        <v>2017</v>
      </c>
      <c r="C36" s="26">
        <v>616</v>
      </c>
      <c r="D36" s="26">
        <v>1070</v>
      </c>
      <c r="E36" s="26">
        <v>1401</v>
      </c>
      <c r="F36" s="26">
        <v>1715</v>
      </c>
      <c r="G36" s="26">
        <v>1910</v>
      </c>
      <c r="H36" s="26">
        <v>1935</v>
      </c>
      <c r="I36" s="26">
        <v>1960</v>
      </c>
      <c r="J36" s="9"/>
      <c r="K36" s="9"/>
      <c r="L36" s="9"/>
    </row>
    <row r="37" spans="1:12" x14ac:dyDescent="0.25">
      <c r="A37" s="21"/>
      <c r="B37" s="33">
        <v>2018</v>
      </c>
      <c r="C37" s="26">
        <v>614</v>
      </c>
      <c r="D37" s="26">
        <v>1096</v>
      </c>
      <c r="E37" s="26">
        <v>1427</v>
      </c>
      <c r="F37" s="26">
        <v>1729</v>
      </c>
      <c r="G37" s="26">
        <v>1941</v>
      </c>
      <c r="H37" s="33"/>
      <c r="I37" s="26">
        <v>1992</v>
      </c>
      <c r="J37" s="9"/>
      <c r="K37" s="9"/>
      <c r="L37" s="9"/>
    </row>
    <row r="38" spans="1:12" x14ac:dyDescent="0.25">
      <c r="A38" s="21"/>
      <c r="B38" s="33">
        <v>2019</v>
      </c>
      <c r="C38" s="26">
        <v>623</v>
      </c>
      <c r="D38" s="26">
        <v>1086</v>
      </c>
      <c r="E38" s="26">
        <v>1463</v>
      </c>
      <c r="F38" s="26">
        <v>1874</v>
      </c>
      <c r="G38" s="33"/>
      <c r="H38" s="33"/>
      <c r="I38" s="26">
        <v>2151</v>
      </c>
      <c r="J38" s="9"/>
      <c r="K38" s="9"/>
      <c r="L38" s="9"/>
    </row>
    <row r="39" spans="1:12" x14ac:dyDescent="0.25">
      <c r="A39" s="9"/>
      <c r="B39" s="33">
        <v>2020</v>
      </c>
      <c r="C39" s="26">
        <v>627</v>
      </c>
      <c r="D39" s="26">
        <v>1117</v>
      </c>
      <c r="E39" s="26">
        <v>1566</v>
      </c>
      <c r="F39" s="33"/>
      <c r="G39" s="33"/>
      <c r="H39" s="33"/>
      <c r="I39" s="26">
        <v>2227</v>
      </c>
      <c r="J39" s="9"/>
      <c r="K39" s="9"/>
      <c r="L39" s="9"/>
    </row>
    <row r="40" spans="1:12" x14ac:dyDescent="0.25">
      <c r="A40" s="9"/>
      <c r="B40" s="33">
        <v>2021</v>
      </c>
      <c r="C40" s="26">
        <v>648</v>
      </c>
      <c r="D40" s="26">
        <v>1211</v>
      </c>
      <c r="E40" s="33"/>
      <c r="F40" s="33"/>
      <c r="G40" s="33"/>
      <c r="H40" s="33"/>
      <c r="I40" s="26">
        <v>2307</v>
      </c>
      <c r="J40" s="9"/>
      <c r="K40" s="9"/>
      <c r="L40" s="9"/>
    </row>
    <row r="41" spans="1:12" x14ac:dyDescent="0.25">
      <c r="A41" s="21"/>
      <c r="B41" s="33">
        <v>2022</v>
      </c>
      <c r="C41" s="26">
        <v>696</v>
      </c>
      <c r="D41" s="33"/>
      <c r="E41" s="33"/>
      <c r="F41" s="33"/>
      <c r="G41" s="33"/>
      <c r="H41" s="33"/>
      <c r="I41" s="26">
        <v>2365</v>
      </c>
      <c r="J41" s="9"/>
      <c r="K41" s="9"/>
      <c r="L41" s="9"/>
    </row>
    <row r="42" spans="1:12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25">
      <c r="A43" s="9"/>
      <c r="B43" s="9" t="s">
        <v>214</v>
      </c>
      <c r="C43" s="9"/>
      <c r="D43" s="9"/>
      <c r="E43" s="9"/>
      <c r="F43" s="57">
        <v>6.2E-2</v>
      </c>
      <c r="G43" s="9"/>
      <c r="H43" s="9"/>
      <c r="I43" s="9"/>
      <c r="J43" s="9"/>
      <c r="K43" s="9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25">
      <c r="A45" s="207" t="s">
        <v>207</v>
      </c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9"/>
    </row>
    <row r="46" spans="1:12" x14ac:dyDescent="0.25">
      <c r="A46" s="207"/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9"/>
    </row>
    <row r="47" spans="1:12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8" x14ac:dyDescent="0.25">
      <c r="A49" s="6" t="s">
        <v>4</v>
      </c>
      <c r="B49" s="9" t="s">
        <v>210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8"/>
      <c r="N49" s="8"/>
      <c r="O49" s="8"/>
      <c r="P49" s="8"/>
      <c r="Q49" s="8"/>
      <c r="R49" s="8"/>
    </row>
    <row r="50" spans="1:18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8" x14ac:dyDescent="0.25">
      <c r="A51" s="7" t="s">
        <v>1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8"/>
    </row>
    <row r="52" spans="1:18" x14ac:dyDescent="0.25">
      <c r="A52" s="7"/>
      <c r="B52" s="1" t="s">
        <v>414</v>
      </c>
      <c r="I52" s="7"/>
      <c r="J52" s="7"/>
      <c r="K52" s="7"/>
      <c r="L52" s="7"/>
      <c r="M52" s="7"/>
      <c r="N52" s="8"/>
    </row>
    <row r="53" spans="1:18" x14ac:dyDescent="0.25">
      <c r="A53" s="7"/>
      <c r="B53" s="114" t="s">
        <v>30</v>
      </c>
      <c r="C53" s="223" t="s">
        <v>415</v>
      </c>
      <c r="D53" s="223"/>
      <c r="E53" s="223"/>
      <c r="F53" s="223"/>
      <c r="G53" s="223"/>
      <c r="H53" s="223"/>
      <c r="I53" s="7"/>
      <c r="J53" s="7"/>
      <c r="K53" s="7"/>
      <c r="L53" s="7"/>
      <c r="M53" s="7"/>
      <c r="N53" s="8"/>
    </row>
    <row r="54" spans="1:18" x14ac:dyDescent="0.25">
      <c r="A54" s="7"/>
      <c r="B54" s="79" t="s">
        <v>32</v>
      </c>
      <c r="C54" s="79">
        <v>12</v>
      </c>
      <c r="D54" s="79">
        <f>C54+12</f>
        <v>24</v>
      </c>
      <c r="E54" s="79">
        <f t="shared" ref="E54:H54" si="0">D54+12</f>
        <v>36</v>
      </c>
      <c r="F54" s="79">
        <f t="shared" si="0"/>
        <v>48</v>
      </c>
      <c r="G54" s="79">
        <f t="shared" si="0"/>
        <v>60</v>
      </c>
      <c r="H54" s="79">
        <f t="shared" si="0"/>
        <v>72</v>
      </c>
      <c r="I54" s="7"/>
      <c r="J54" s="7"/>
      <c r="K54" s="7"/>
      <c r="L54" s="7"/>
      <c r="M54" s="7"/>
      <c r="N54" s="8"/>
    </row>
    <row r="55" spans="1:18" x14ac:dyDescent="0.25">
      <c r="A55" s="7"/>
      <c r="B55" s="114">
        <f t="shared" ref="B55:B58" si="1">B56-1</f>
        <v>2017</v>
      </c>
      <c r="C55" s="88">
        <f t="shared" ref="C55:H55" si="2">IF((C27-C36)=0,0,(C9-C18)/(C27-C36))</f>
        <v>4400.8578856152517</v>
      </c>
      <c r="D55" s="88">
        <f t="shared" si="2"/>
        <v>5010.8373205741627</v>
      </c>
      <c r="E55" s="88">
        <f t="shared" si="2"/>
        <v>5618.0037174721192</v>
      </c>
      <c r="F55" s="88">
        <f t="shared" si="2"/>
        <v>6146.7185185185181</v>
      </c>
      <c r="G55" s="88">
        <f t="shared" si="2"/>
        <v>9947.181818181818</v>
      </c>
      <c r="H55" s="88">
        <f t="shared" si="2"/>
        <v>0</v>
      </c>
      <c r="I55" s="7"/>
      <c r="J55" s="7"/>
      <c r="K55" s="7"/>
      <c r="L55" s="7"/>
      <c r="M55" s="7"/>
      <c r="N55" s="8"/>
    </row>
    <row r="56" spans="1:18" x14ac:dyDescent="0.25">
      <c r="A56" s="7"/>
      <c r="B56" s="114">
        <f t="shared" si="1"/>
        <v>2018</v>
      </c>
      <c r="C56" s="88">
        <f>IF((C28-C37)=0,0,(C10-C19)/(C28-C37))</f>
        <v>4771.0864406779665</v>
      </c>
      <c r="D56" s="88">
        <f>IF((D28-D37)=0,0,(D10-D19)/(D28-D37))</f>
        <v>5421.0374707259953</v>
      </c>
      <c r="E56" s="88">
        <f>IF((E28-E37)=0,0,(E10-E19)/(E28-E37))</f>
        <v>5922.850364963504</v>
      </c>
      <c r="F56" s="88">
        <f>IF((F28-F37)=0,0,(F10-F19)/(F28-F37))</f>
        <v>6477.2518518518518</v>
      </c>
      <c r="G56" s="88">
        <f>IF((G28-G37)=0,0,(G10-G19)/(G28-G37))</f>
        <v>0</v>
      </c>
      <c r="H56" s="88"/>
      <c r="I56" s="7"/>
      <c r="J56" s="7"/>
      <c r="K56" s="7"/>
      <c r="L56" s="7"/>
      <c r="M56" s="7"/>
      <c r="N56" s="8"/>
    </row>
    <row r="57" spans="1:18" x14ac:dyDescent="0.25">
      <c r="A57" s="7"/>
      <c r="B57" s="114">
        <f t="shared" si="1"/>
        <v>2019</v>
      </c>
      <c r="C57" s="88">
        <f>IF((C29-C38)=0,0,(C11-C20)/(C29-C38))</f>
        <v>5040.8828382838283</v>
      </c>
      <c r="D57" s="88">
        <f>IF((D29-D38)=0,0,(D11-D20)/(D29-D38))</f>
        <v>5843.5291375291372</v>
      </c>
      <c r="E57" s="88">
        <f>IF((E29-E38)=0,0,(E11-E20)/(E29-E38))</f>
        <v>6451.7236363636366</v>
      </c>
      <c r="F57" s="88">
        <f>IF((F29-F38)=0,0,(F11-F20)/(F29-F38))</f>
        <v>0</v>
      </c>
      <c r="G57" s="88"/>
      <c r="H57" s="88"/>
      <c r="I57" s="7"/>
      <c r="J57" s="7"/>
      <c r="K57" s="7"/>
      <c r="L57" s="7"/>
      <c r="M57" s="7"/>
      <c r="N57" s="8"/>
    </row>
    <row r="58" spans="1:18" x14ac:dyDescent="0.25">
      <c r="A58" s="7"/>
      <c r="B58" s="114">
        <f t="shared" si="1"/>
        <v>2020</v>
      </c>
      <c r="C58" s="88">
        <f>IF((C30-C39)=0,0,(C12-C21)/(C30-C39))</f>
        <v>5345.2200328407225</v>
      </c>
      <c r="D58" s="88">
        <f>IF((D30-D39)=0,0,(D12-D21)/(D30-D39))</f>
        <v>6082.7597254004577</v>
      </c>
      <c r="E58" s="88">
        <f>IF((E30-E39)=0,0,(E12-E21)/(E30-E39))</f>
        <v>7574.9946524064171</v>
      </c>
      <c r="F58" s="88"/>
      <c r="G58" s="88"/>
      <c r="H58" s="88"/>
      <c r="I58" s="7"/>
      <c r="J58" s="7"/>
      <c r="K58" s="7"/>
      <c r="L58" s="7"/>
      <c r="M58" s="7"/>
      <c r="N58" s="8"/>
    </row>
    <row r="59" spans="1:18" x14ac:dyDescent="0.25">
      <c r="A59" s="7"/>
      <c r="B59" s="114">
        <f>B60-1</f>
        <v>2021</v>
      </c>
      <c r="C59" s="88">
        <f>IF((C31-C40)=0,0,(C13-C22)/(C31-C40))</f>
        <v>5635.6984126984125</v>
      </c>
      <c r="D59" s="88">
        <f>IF((D31-D40)=0,0,(D13-D22)/(D31-D40))</f>
        <v>7465.5178082191778</v>
      </c>
      <c r="E59" s="88"/>
      <c r="F59" s="88"/>
      <c r="G59" s="88"/>
      <c r="H59" s="88"/>
      <c r="I59" s="7"/>
      <c r="J59" s="7"/>
      <c r="K59" s="7"/>
      <c r="L59" s="7"/>
      <c r="M59" s="7"/>
      <c r="N59" s="8"/>
    </row>
    <row r="60" spans="1:18" x14ac:dyDescent="0.25">
      <c r="A60" s="7"/>
      <c r="B60" s="114">
        <v>2022</v>
      </c>
      <c r="C60" s="88">
        <f>IF((C32-C41)=0,0,(C14-C23)/(C32-C41))</f>
        <v>6800.8492201039862</v>
      </c>
      <c r="D60" s="88"/>
      <c r="E60" s="88"/>
      <c r="F60" s="88"/>
      <c r="G60" s="88"/>
      <c r="H60" s="88"/>
      <c r="I60" s="7"/>
      <c r="J60" s="7"/>
      <c r="K60" s="7"/>
      <c r="L60" s="7"/>
      <c r="M60" s="7"/>
      <c r="N60" s="8"/>
    </row>
    <row r="61" spans="1:18" x14ac:dyDescent="0.25">
      <c r="A61" s="7"/>
      <c r="B61" s="114"/>
      <c r="C61" s="88"/>
      <c r="D61" s="88"/>
      <c r="E61" s="88"/>
      <c r="F61" s="88"/>
      <c r="G61" s="88"/>
      <c r="H61" s="88"/>
      <c r="I61" s="7"/>
      <c r="J61" s="7"/>
      <c r="K61" s="7"/>
      <c r="L61" s="7"/>
      <c r="M61" s="7"/>
      <c r="N61" s="8"/>
    </row>
    <row r="62" spans="1:18" x14ac:dyDescent="0.25">
      <c r="A62" s="7"/>
      <c r="B62" s="93" t="s">
        <v>30</v>
      </c>
      <c r="C62" s="224" t="s">
        <v>414</v>
      </c>
      <c r="D62" s="224"/>
      <c r="E62" s="224"/>
      <c r="F62" s="224"/>
      <c r="G62" s="224"/>
      <c r="I62" s="7"/>
      <c r="J62" s="7"/>
      <c r="K62" s="7"/>
      <c r="L62" s="7"/>
      <c r="M62" s="7"/>
      <c r="N62" s="8"/>
    </row>
    <row r="63" spans="1:18" x14ac:dyDescent="0.25">
      <c r="A63" s="7"/>
      <c r="B63" s="75" t="s">
        <v>32</v>
      </c>
      <c r="C63" s="79">
        <v>12</v>
      </c>
      <c r="D63" s="79">
        <f>C63+12</f>
        <v>24</v>
      </c>
      <c r="E63" s="79">
        <f t="shared" ref="E63:G63" si="3">D63+12</f>
        <v>36</v>
      </c>
      <c r="F63" s="79">
        <f t="shared" si="3"/>
        <v>48</v>
      </c>
      <c r="G63" s="79">
        <f t="shared" si="3"/>
        <v>60</v>
      </c>
      <c r="I63" s="7"/>
      <c r="J63" s="7"/>
      <c r="K63" s="7"/>
      <c r="L63" s="7"/>
      <c r="M63" s="7"/>
      <c r="N63" s="8"/>
    </row>
    <row r="64" spans="1:18" x14ac:dyDescent="0.25">
      <c r="A64" s="7"/>
      <c r="B64" s="93" t="str">
        <f>B55&amp;"-"&amp;B56</f>
        <v>2017-2018</v>
      </c>
      <c r="C64" s="172">
        <f>C56/C55-1</f>
        <v>8.4126450952404674E-2</v>
      </c>
      <c r="D64" s="172">
        <f>D56/D55-1</f>
        <v>8.1862595791641013E-2</v>
      </c>
      <c r="E64" s="172">
        <f>E56/E55-1</f>
        <v>5.4262450297657194E-2</v>
      </c>
      <c r="F64" s="172">
        <f>F56/F55-1</f>
        <v>5.3773949846169122E-2</v>
      </c>
      <c r="G64" s="172" t="s">
        <v>42</v>
      </c>
      <c r="I64" s="7"/>
      <c r="J64" s="7"/>
      <c r="K64" s="7"/>
      <c r="L64" s="7"/>
      <c r="M64" s="7"/>
      <c r="N64" s="8"/>
    </row>
    <row r="65" spans="1:14" x14ac:dyDescent="0.25">
      <c r="A65" s="7"/>
      <c r="B65" s="93" t="str">
        <f>B56&amp;"-"&amp;B57</f>
        <v>2018-2019</v>
      </c>
      <c r="C65" s="172">
        <f t="shared" ref="C65:E66" si="4">C57/C56-1</f>
        <v>5.6548209922502313E-2</v>
      </c>
      <c r="D65" s="172">
        <f t="shared" si="4"/>
        <v>7.7935573971703365E-2</v>
      </c>
      <c r="E65" s="172">
        <f t="shared" si="4"/>
        <v>8.9293708064730248E-2</v>
      </c>
      <c r="F65" s="172" t="s">
        <v>42</v>
      </c>
      <c r="G65" s="172"/>
      <c r="I65" s="7"/>
      <c r="J65" s="7"/>
      <c r="K65" s="7"/>
      <c r="L65" s="7"/>
      <c r="M65" s="7"/>
      <c r="N65" s="8"/>
    </row>
    <row r="66" spans="1:14" x14ac:dyDescent="0.25">
      <c r="A66" s="7"/>
      <c r="B66" s="93" t="str">
        <f>B57&amp;"-"&amp;B58</f>
        <v>2019-2020</v>
      </c>
      <c r="C66" s="172">
        <f t="shared" si="4"/>
        <v>6.0373788544648255E-2</v>
      </c>
      <c r="D66" s="172">
        <f t="shared" si="4"/>
        <v>4.0939401899256378E-2</v>
      </c>
      <c r="E66" s="172">
        <f t="shared" si="4"/>
        <v>0.17410401922855545</v>
      </c>
      <c r="F66" s="172"/>
      <c r="G66" s="172"/>
      <c r="I66" s="7"/>
      <c r="J66" s="7"/>
      <c r="K66" s="7"/>
      <c r="L66" s="7"/>
      <c r="M66" s="7"/>
      <c r="N66" s="8"/>
    </row>
    <row r="67" spans="1:14" x14ac:dyDescent="0.25">
      <c r="A67" s="7"/>
      <c r="B67" s="93" t="str">
        <f>B58&amp;"-"&amp;B59</f>
        <v>2020-2021</v>
      </c>
      <c r="C67" s="172">
        <f>C59/C58-1</f>
        <v>5.4343577640023844E-2</v>
      </c>
      <c r="D67" s="172">
        <f>D59/D58-1</f>
        <v>0.22732413332793389</v>
      </c>
      <c r="E67" s="172"/>
      <c r="F67" s="172"/>
      <c r="G67" s="172"/>
      <c r="I67" s="7"/>
      <c r="J67" s="7"/>
      <c r="K67" s="7"/>
      <c r="L67" s="7"/>
      <c r="M67" s="7"/>
      <c r="N67" s="8"/>
    </row>
    <row r="68" spans="1:14" x14ac:dyDescent="0.25">
      <c r="A68" s="7"/>
      <c r="B68" s="93" t="str">
        <f>B59&amp;"-"&amp;B60</f>
        <v>2021-2022</v>
      </c>
      <c r="C68" s="172">
        <f>C60/C59-1</f>
        <v>0.20674470528448508</v>
      </c>
      <c r="D68" s="172"/>
      <c r="E68" s="172"/>
      <c r="F68" s="172"/>
      <c r="G68" s="172"/>
      <c r="I68" s="7"/>
      <c r="J68" s="7"/>
      <c r="K68" s="7"/>
      <c r="L68" s="7"/>
      <c r="M68" s="7"/>
      <c r="N68" s="8"/>
    </row>
    <row r="69" spans="1:14" x14ac:dyDescent="0.25">
      <c r="A69" s="7"/>
      <c r="I69" s="7"/>
      <c r="J69" s="7"/>
      <c r="K69" s="7"/>
      <c r="L69" s="7"/>
      <c r="M69" s="7"/>
      <c r="N69" s="8"/>
    </row>
    <row r="70" spans="1:14" x14ac:dyDescent="0.25">
      <c r="A70" s="7"/>
      <c r="B70" s="1" t="s">
        <v>418</v>
      </c>
      <c r="I70" s="7"/>
      <c r="J70" s="7"/>
      <c r="K70" s="7"/>
      <c r="L70" s="7"/>
      <c r="M70" s="7"/>
      <c r="N70" s="8"/>
    </row>
    <row r="71" spans="1:14" x14ac:dyDescent="0.25">
      <c r="A71" s="7"/>
      <c r="B71" s="114" t="s">
        <v>30</v>
      </c>
      <c r="C71" s="223" t="s">
        <v>416</v>
      </c>
      <c r="D71" s="223"/>
      <c r="E71" s="223"/>
      <c r="F71" s="223"/>
      <c r="G71" s="223"/>
      <c r="H71" s="223"/>
      <c r="I71" s="7"/>
      <c r="J71" s="7"/>
      <c r="K71" s="7"/>
      <c r="L71" s="7"/>
      <c r="M71" s="7"/>
      <c r="N71" s="8"/>
    </row>
    <row r="72" spans="1:14" x14ac:dyDescent="0.25">
      <c r="A72" s="7"/>
      <c r="B72" s="79" t="s">
        <v>32</v>
      </c>
      <c r="C72" s="79">
        <v>12</v>
      </c>
      <c r="D72" s="79">
        <f>C72+12</f>
        <v>24</v>
      </c>
      <c r="E72" s="79">
        <f t="shared" ref="E72:H72" si="5">D72+12</f>
        <v>36</v>
      </c>
      <c r="F72" s="79">
        <f t="shared" si="5"/>
        <v>48</v>
      </c>
      <c r="G72" s="79">
        <f t="shared" si="5"/>
        <v>60</v>
      </c>
      <c r="H72" s="79">
        <f t="shared" si="5"/>
        <v>72</v>
      </c>
      <c r="I72" s="7"/>
      <c r="J72" s="7"/>
      <c r="K72" s="7"/>
      <c r="L72" s="7"/>
      <c r="M72" s="7"/>
      <c r="N72" s="8"/>
    </row>
    <row r="73" spans="1:14" x14ac:dyDescent="0.25">
      <c r="A73" s="7"/>
      <c r="B73" s="114">
        <f t="shared" ref="B73:B76" si="6">B74-1</f>
        <v>2017</v>
      </c>
      <c r="C73" s="88">
        <f t="shared" ref="C73:H73" si="7">C9/C27</f>
        <v>3763.7208717518861</v>
      </c>
      <c r="D73" s="88">
        <f t="shared" si="7"/>
        <v>4447.8770161290322</v>
      </c>
      <c r="E73" s="88">
        <f t="shared" si="7"/>
        <v>4801.2119760479045</v>
      </c>
      <c r="F73" s="88">
        <f t="shared" si="7"/>
        <v>5094.2416216216216</v>
      </c>
      <c r="G73" s="88">
        <f t="shared" si="7"/>
        <v>5203.7116085372199</v>
      </c>
      <c r="H73" s="88">
        <f t="shared" si="7"/>
        <v>5230.8284237726102</v>
      </c>
      <c r="I73" s="7"/>
      <c r="J73" s="7"/>
      <c r="K73" s="7"/>
      <c r="L73" s="7"/>
      <c r="M73" s="7"/>
      <c r="N73" s="8"/>
    </row>
    <row r="74" spans="1:14" x14ac:dyDescent="0.25">
      <c r="A74" s="7"/>
      <c r="B74" s="114">
        <f t="shared" si="6"/>
        <v>2018</v>
      </c>
      <c r="C74" s="88">
        <f>C10/C28</f>
        <v>4063.84219269103</v>
      </c>
      <c r="D74" s="88">
        <f>D10/D28</f>
        <v>4584.9658568614577</v>
      </c>
      <c r="E74" s="88">
        <f>E10/E28</f>
        <v>5073.6848912404466</v>
      </c>
      <c r="F74" s="88">
        <f>F10/F28</f>
        <v>5426.0992489270384</v>
      </c>
      <c r="G74" s="88">
        <f>G10/G28</f>
        <v>5497.8201957753736</v>
      </c>
      <c r="H74" s="88"/>
      <c r="I74" s="7"/>
      <c r="J74" s="7"/>
      <c r="K74" s="7"/>
      <c r="L74" s="7"/>
      <c r="M74" s="7"/>
      <c r="N74" s="8"/>
    </row>
    <row r="75" spans="1:14" x14ac:dyDescent="0.25">
      <c r="A75" s="7"/>
      <c r="B75" s="114">
        <f t="shared" si="6"/>
        <v>2019</v>
      </c>
      <c r="C75" s="88">
        <f>C11/C29</f>
        <v>4162.7721724979656</v>
      </c>
      <c r="D75" s="88">
        <f>D11/D29</f>
        <v>4877.6052805280524</v>
      </c>
      <c r="E75" s="88">
        <f>E11/E29</f>
        <v>5332.5046029919449</v>
      </c>
      <c r="F75" s="88">
        <f>F11/F29</f>
        <v>5641.6510138740659</v>
      </c>
      <c r="G75" s="88"/>
      <c r="H75" s="88"/>
      <c r="I75" s="7"/>
      <c r="J75" s="7"/>
      <c r="K75" s="7"/>
      <c r="L75" s="7"/>
      <c r="M75" s="7"/>
      <c r="N75" s="8"/>
    </row>
    <row r="76" spans="1:14" x14ac:dyDescent="0.25">
      <c r="A76" s="7"/>
      <c r="B76" s="114">
        <f t="shared" si="6"/>
        <v>2020</v>
      </c>
      <c r="C76" s="88">
        <f>C12/C30</f>
        <v>4601.294498381877</v>
      </c>
      <c r="D76" s="88">
        <f>D12/D30</f>
        <v>5152.4176319176322</v>
      </c>
      <c r="E76" s="88">
        <f>E12/E30</f>
        <v>5835.9652025099831</v>
      </c>
      <c r="F76" s="88"/>
      <c r="G76" s="88"/>
      <c r="H76" s="88"/>
      <c r="I76" s="7"/>
      <c r="J76" s="7"/>
      <c r="K76" s="7"/>
      <c r="L76" s="7"/>
      <c r="M76" s="7"/>
      <c r="N76" s="8"/>
    </row>
    <row r="77" spans="1:14" x14ac:dyDescent="0.25">
      <c r="A77" s="7"/>
      <c r="B77" s="114">
        <f>B78-1</f>
        <v>2021</v>
      </c>
      <c r="C77" s="88">
        <f>C13/C31</f>
        <v>4911.7159624413143</v>
      </c>
      <c r="D77" s="88">
        <f>D13/D31</f>
        <v>5748.2461928934008</v>
      </c>
      <c r="E77" s="88"/>
      <c r="F77" s="88"/>
      <c r="G77" s="88"/>
      <c r="H77" s="88"/>
      <c r="I77" s="7"/>
      <c r="J77" s="7"/>
      <c r="K77" s="7"/>
      <c r="L77" s="7"/>
      <c r="M77" s="7"/>
      <c r="N77" s="8"/>
    </row>
    <row r="78" spans="1:14" x14ac:dyDescent="0.25">
      <c r="A78" s="7"/>
      <c r="B78" s="114">
        <v>2022</v>
      </c>
      <c r="C78" s="88">
        <f>C14/C32</f>
        <v>5436.3668499607229</v>
      </c>
      <c r="D78" s="88"/>
      <c r="E78" s="88"/>
      <c r="F78" s="88"/>
      <c r="G78" s="88"/>
      <c r="H78" s="88"/>
      <c r="I78" s="7"/>
      <c r="J78" s="7"/>
      <c r="K78" s="7"/>
      <c r="L78" s="7"/>
      <c r="M78" s="7"/>
      <c r="N78" s="8"/>
    </row>
    <row r="79" spans="1:14" x14ac:dyDescent="0.25">
      <c r="A79" s="7"/>
      <c r="B79" s="114"/>
      <c r="C79" s="88"/>
      <c r="D79" s="88"/>
      <c r="E79" s="88"/>
      <c r="F79" s="88"/>
      <c r="G79" s="88"/>
      <c r="H79" s="88"/>
      <c r="I79" s="7"/>
      <c r="J79" s="7"/>
      <c r="K79" s="7"/>
      <c r="L79" s="7"/>
      <c r="M79" s="7"/>
      <c r="N79" s="8"/>
    </row>
    <row r="80" spans="1:14" x14ac:dyDescent="0.25">
      <c r="A80" s="7"/>
      <c r="B80" s="93" t="s">
        <v>30</v>
      </c>
      <c r="C80" s="224" t="s">
        <v>417</v>
      </c>
      <c r="D80" s="224"/>
      <c r="E80" s="224"/>
      <c r="F80" s="224"/>
      <c r="G80" s="224"/>
      <c r="I80" s="7"/>
      <c r="J80" s="7"/>
      <c r="K80" s="7"/>
      <c r="L80" s="7"/>
      <c r="M80" s="7"/>
      <c r="N80" s="8"/>
    </row>
    <row r="81" spans="1:14" x14ac:dyDescent="0.25">
      <c r="A81" s="7"/>
      <c r="B81" s="75" t="s">
        <v>32</v>
      </c>
      <c r="C81" s="79">
        <v>12</v>
      </c>
      <c r="D81" s="79">
        <f>C81+12</f>
        <v>24</v>
      </c>
      <c r="E81" s="79">
        <f t="shared" ref="E81:G81" si="8">D81+12</f>
        <v>36</v>
      </c>
      <c r="F81" s="79">
        <f t="shared" si="8"/>
        <v>48</v>
      </c>
      <c r="G81" s="79">
        <f t="shared" si="8"/>
        <v>60</v>
      </c>
      <c r="I81" s="7"/>
      <c r="J81" s="7"/>
      <c r="K81" s="7"/>
      <c r="L81" s="7"/>
      <c r="M81" s="7"/>
      <c r="N81" s="8"/>
    </row>
    <row r="82" spans="1:14" x14ac:dyDescent="0.25">
      <c r="A82" s="7"/>
      <c r="B82" s="93" t="str">
        <f>B73&amp;"-"&amp;B74</f>
        <v>2017-2018</v>
      </c>
      <c r="C82" s="172">
        <f>C74/C73-1</f>
        <v>7.9740589476670509E-2</v>
      </c>
      <c r="D82" s="172">
        <f>D74/D73-1</f>
        <v>3.0821185081176816E-2</v>
      </c>
      <c r="E82" s="172">
        <f>E74/E73-1</f>
        <v>5.6750861355808535E-2</v>
      </c>
      <c r="F82" s="172">
        <f>F74/F73-1</f>
        <v>6.5143676322085842E-2</v>
      </c>
      <c r="G82" s="172">
        <f>G74/G73-1</f>
        <v>5.6519002082213499E-2</v>
      </c>
      <c r="I82" s="7"/>
      <c r="J82" s="7"/>
      <c r="K82" s="7"/>
      <c r="L82" s="7"/>
      <c r="M82" s="7"/>
      <c r="N82" s="8"/>
    </row>
    <row r="83" spans="1:14" x14ac:dyDescent="0.25">
      <c r="A83" s="7"/>
      <c r="B83" s="93" t="str">
        <f>B74&amp;"-"&amp;B75</f>
        <v>2018-2019</v>
      </c>
      <c r="C83" s="172">
        <f>C75/C74-1</f>
        <v>2.4343952131031354E-2</v>
      </c>
      <c r="D83" s="172">
        <f>D75/D74-1</f>
        <v>6.3825867586048801E-2</v>
      </c>
      <c r="E83" s="172">
        <f>E75/E74-1</f>
        <v>5.1012177007354609E-2</v>
      </c>
      <c r="F83" s="172">
        <f>F75/F74-1</f>
        <v>3.9724994891984444E-2</v>
      </c>
      <c r="G83" s="172"/>
      <c r="I83" s="7"/>
      <c r="J83" s="7"/>
      <c r="K83" s="7"/>
      <c r="L83" s="7"/>
      <c r="M83" s="7"/>
      <c r="N83" s="8"/>
    </row>
    <row r="84" spans="1:14" x14ac:dyDescent="0.25">
      <c r="A84" s="7"/>
      <c r="B84" s="93" t="str">
        <f>B75&amp;"-"&amp;B76</f>
        <v>2019-2020</v>
      </c>
      <c r="C84" s="172">
        <f>C76/C75-1</f>
        <v>0.10534382082715954</v>
      </c>
      <c r="D84" s="172">
        <f>D76/D75-1</f>
        <v>5.6341654476769865E-2</v>
      </c>
      <c r="E84" s="172">
        <f>E76/E75-1</f>
        <v>9.4413533039532371E-2</v>
      </c>
      <c r="F84" s="172"/>
      <c r="G84" s="172"/>
      <c r="I84" s="7"/>
      <c r="J84" s="7"/>
      <c r="K84" s="7"/>
      <c r="L84" s="7"/>
      <c r="M84" s="7"/>
      <c r="N84" s="8"/>
    </row>
    <row r="85" spans="1:14" x14ac:dyDescent="0.25">
      <c r="A85" s="7"/>
      <c r="B85" s="93" t="str">
        <f>B76&amp;"-"&amp;B77</f>
        <v>2020-2021</v>
      </c>
      <c r="C85" s="172">
        <f>C77/C76-1</f>
        <v>6.7463941759998702E-2</v>
      </c>
      <c r="D85" s="172">
        <f>D77/D76-1</f>
        <v>0.1156405795378066</v>
      </c>
      <c r="E85" s="172"/>
      <c r="F85" s="172"/>
      <c r="G85" s="172"/>
      <c r="I85" s="7"/>
      <c r="J85" s="7"/>
      <c r="K85" s="7"/>
      <c r="L85" s="7"/>
      <c r="M85" s="7"/>
      <c r="N85" s="8"/>
    </row>
    <row r="86" spans="1:14" x14ac:dyDescent="0.25">
      <c r="A86" s="7"/>
      <c r="B86" s="93" t="str">
        <f>B77&amp;"-"&amp;B78</f>
        <v>2021-2022</v>
      </c>
      <c r="C86" s="179">
        <f>C78/C77-1</f>
        <v>0.10681621077669901</v>
      </c>
      <c r="D86" s="179"/>
      <c r="E86" s="179"/>
      <c r="F86" s="179"/>
      <c r="G86" s="179"/>
      <c r="I86" s="7"/>
      <c r="J86" s="7"/>
      <c r="K86" s="7"/>
      <c r="L86" s="7"/>
      <c r="M86" s="7"/>
      <c r="N86" s="8"/>
    </row>
    <row r="87" spans="1:14" x14ac:dyDescent="0.25">
      <c r="A87" s="7"/>
      <c r="B87" s="93"/>
      <c r="C87" s="179"/>
      <c r="D87" s="179"/>
      <c r="E87" s="179"/>
      <c r="F87" s="179"/>
      <c r="G87" s="179"/>
      <c r="I87" s="7"/>
      <c r="J87" s="7"/>
      <c r="K87" s="7"/>
      <c r="L87" s="7"/>
      <c r="M87" s="7"/>
      <c r="N87" s="8"/>
    </row>
    <row r="88" spans="1:14" x14ac:dyDescent="0.25">
      <c r="A88" s="7"/>
      <c r="B88" s="7" t="s">
        <v>419</v>
      </c>
      <c r="C88" s="114"/>
      <c r="D88" s="88"/>
      <c r="E88" s="88"/>
      <c r="F88" s="88"/>
      <c r="G88" s="88"/>
      <c r="H88" s="88"/>
      <c r="I88" s="7"/>
      <c r="J88" s="7"/>
      <c r="K88" s="7"/>
      <c r="L88" s="7"/>
      <c r="M88" s="7"/>
      <c r="N88" s="8"/>
    </row>
    <row r="89" spans="1:14" x14ac:dyDescent="0.25">
      <c r="M89" s="8"/>
      <c r="N89" s="8"/>
    </row>
    <row r="90" spans="1:14" x14ac:dyDescent="0.25">
      <c r="A90" s="3"/>
      <c r="B90" s="3"/>
      <c r="C90" s="3"/>
      <c r="D90" s="3"/>
      <c r="E90" s="3"/>
      <c r="F90" s="3"/>
      <c r="G90" s="4"/>
      <c r="H90" s="4"/>
      <c r="I90" s="4"/>
      <c r="J90" s="4"/>
      <c r="K90" s="4"/>
      <c r="L90" s="4"/>
      <c r="M90" s="8"/>
      <c r="N90" s="8"/>
    </row>
    <row r="91" spans="1:14" x14ac:dyDescent="0.25">
      <c r="A91" s="207" t="s">
        <v>176</v>
      </c>
      <c r="B91" s="207"/>
      <c r="C91" s="207"/>
      <c r="D91" s="207"/>
      <c r="E91" s="207"/>
      <c r="F91" s="207"/>
      <c r="G91" s="207"/>
      <c r="H91" s="207"/>
      <c r="I91" s="207"/>
      <c r="J91" s="207"/>
      <c r="K91" s="207"/>
      <c r="L91" s="4"/>
      <c r="M91" s="8"/>
      <c r="N91" s="8"/>
    </row>
    <row r="92" spans="1:14" x14ac:dyDescent="0.25">
      <c r="A92" s="207"/>
      <c r="B92" s="207"/>
      <c r="C92" s="207"/>
      <c r="D92" s="207"/>
      <c r="E92" s="207"/>
      <c r="F92" s="207"/>
      <c r="G92" s="207"/>
      <c r="H92" s="207"/>
      <c r="I92" s="207"/>
      <c r="J92" s="207"/>
      <c r="K92" s="207"/>
      <c r="L92" s="4"/>
      <c r="M92" s="8"/>
      <c r="N92" s="8"/>
    </row>
    <row r="93" spans="1:14" x14ac:dyDescent="0.25">
      <c r="A93" s="3"/>
      <c r="B93" s="3"/>
      <c r="C93" s="3"/>
      <c r="D93" s="3"/>
      <c r="E93" s="3"/>
      <c r="F93" s="3"/>
      <c r="G93" s="4"/>
      <c r="H93" s="4"/>
      <c r="I93" s="4"/>
      <c r="J93" s="4"/>
      <c r="K93" s="4"/>
      <c r="L93" s="4"/>
      <c r="M93" s="8"/>
      <c r="N93" s="8"/>
    </row>
    <row r="95" spans="1:14" x14ac:dyDescent="0.25">
      <c r="A95" s="6" t="s">
        <v>5</v>
      </c>
      <c r="B95" s="9" t="s">
        <v>177</v>
      </c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4" x14ac:dyDescent="0.25">
      <c r="A96" s="3"/>
      <c r="B96" s="3"/>
      <c r="C96" s="3"/>
      <c r="D96" s="3"/>
      <c r="E96" s="3"/>
      <c r="F96" s="3"/>
      <c r="G96" s="4"/>
      <c r="H96" s="4"/>
      <c r="I96" s="4"/>
      <c r="J96" s="4"/>
      <c r="K96" s="4"/>
      <c r="L96" s="4"/>
    </row>
    <row r="97" spans="1:12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1:12" x14ac:dyDescent="0.25">
      <c r="A98" s="7" t="s">
        <v>1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1:12" x14ac:dyDescent="0.25">
      <c r="A99" s="7"/>
      <c r="B99" s="7" t="s">
        <v>420</v>
      </c>
      <c r="C99" s="7"/>
      <c r="D99" s="7"/>
      <c r="E99" s="7"/>
      <c r="F99" s="7"/>
      <c r="G99" s="7"/>
      <c r="H99" s="7"/>
      <c r="I99" s="7"/>
      <c r="J99" s="7"/>
      <c r="K99" s="7"/>
      <c r="L99" s="7"/>
    </row>
    <row r="101" spans="1:12" x14ac:dyDescent="0.25">
      <c r="A101" s="3"/>
      <c r="B101" s="3"/>
      <c r="C101" s="3"/>
      <c r="D101" s="3"/>
      <c r="E101" s="3"/>
      <c r="F101" s="3"/>
      <c r="G101" s="4"/>
      <c r="H101" s="4"/>
      <c r="I101" s="4"/>
      <c r="J101" s="4"/>
      <c r="K101" s="4"/>
      <c r="L101" s="4"/>
    </row>
    <row r="102" spans="1:12" x14ac:dyDescent="0.25">
      <c r="A102" s="9" t="s">
        <v>178</v>
      </c>
      <c r="B102" s="3"/>
      <c r="C102" s="3"/>
      <c r="D102" s="3"/>
      <c r="E102" s="3"/>
      <c r="F102" s="3"/>
      <c r="G102" s="4"/>
      <c r="H102" s="4"/>
      <c r="I102" s="4"/>
      <c r="J102" s="4"/>
      <c r="K102" s="4"/>
      <c r="L102" s="4"/>
    </row>
    <row r="103" spans="1:12" x14ac:dyDescent="0.25">
      <c r="A103" s="3"/>
      <c r="B103" s="3"/>
      <c r="C103" s="3"/>
      <c r="D103" s="3"/>
      <c r="E103" s="3"/>
      <c r="F103" s="3"/>
      <c r="G103" s="4"/>
      <c r="H103" s="4"/>
      <c r="I103" s="4"/>
      <c r="J103" s="4"/>
      <c r="K103" s="4"/>
      <c r="L103" s="4"/>
    </row>
    <row r="105" spans="1:12" x14ac:dyDescent="0.25">
      <c r="A105" s="6" t="s">
        <v>0</v>
      </c>
      <c r="B105" s="207" t="s">
        <v>219</v>
      </c>
      <c r="C105" s="207"/>
      <c r="D105" s="207"/>
      <c r="E105" s="207"/>
      <c r="F105" s="207"/>
      <c r="G105" s="207"/>
      <c r="H105" s="207"/>
      <c r="I105" s="207"/>
      <c r="J105" s="207"/>
      <c r="K105" s="207"/>
      <c r="L105" s="207"/>
    </row>
    <row r="106" spans="1:12" x14ac:dyDescent="0.25">
      <c r="A106" s="3"/>
      <c r="B106" s="207"/>
      <c r="C106" s="207"/>
      <c r="D106" s="207"/>
      <c r="E106" s="207"/>
      <c r="F106" s="207"/>
      <c r="G106" s="207"/>
      <c r="H106" s="207"/>
      <c r="I106" s="207"/>
      <c r="J106" s="207"/>
      <c r="K106" s="207"/>
      <c r="L106" s="207"/>
    </row>
    <row r="107" spans="1:12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1:12" x14ac:dyDescent="0.25">
      <c r="A108" s="7" t="s">
        <v>1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1:12" x14ac:dyDescent="0.25">
      <c r="A109" s="7"/>
      <c r="B109" s="7" t="s">
        <v>421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1" spans="1:12" x14ac:dyDescent="0.25">
      <c r="A111" s="6" t="s">
        <v>2</v>
      </c>
      <c r="B111" s="207" t="s">
        <v>179</v>
      </c>
      <c r="C111" s="207"/>
      <c r="D111" s="207"/>
      <c r="E111" s="207"/>
      <c r="F111" s="207"/>
      <c r="G111" s="207"/>
      <c r="H111" s="207"/>
      <c r="I111" s="207"/>
      <c r="J111" s="207"/>
      <c r="K111" s="207"/>
      <c r="L111" s="207"/>
    </row>
    <row r="112" spans="1:12" x14ac:dyDescent="0.25">
      <c r="A112" s="3"/>
      <c r="B112" s="207"/>
      <c r="C112" s="207"/>
      <c r="D112" s="207"/>
      <c r="E112" s="207"/>
      <c r="F112" s="207"/>
      <c r="G112" s="207"/>
      <c r="H112" s="207"/>
      <c r="I112" s="207"/>
      <c r="J112" s="207"/>
      <c r="K112" s="207"/>
      <c r="L112" s="207"/>
    </row>
    <row r="113" spans="1:13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</row>
    <row r="114" spans="1:13" x14ac:dyDescent="0.25">
      <c r="A114" s="7" t="s">
        <v>1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</row>
    <row r="115" spans="1:13" x14ac:dyDescent="0.25">
      <c r="B115" s="1" t="s">
        <v>422</v>
      </c>
    </row>
    <row r="116" spans="1:13" x14ac:dyDescent="0.25">
      <c r="B116" s="114" t="s">
        <v>30</v>
      </c>
      <c r="C116" s="223" t="s">
        <v>423</v>
      </c>
      <c r="D116" s="223"/>
      <c r="E116" s="223"/>
      <c r="F116" s="223"/>
      <c r="G116" s="223"/>
      <c r="H116" s="223"/>
    </row>
    <row r="117" spans="1:13" x14ac:dyDescent="0.25">
      <c r="B117" s="79" t="s">
        <v>32</v>
      </c>
      <c r="C117" s="79">
        <v>12</v>
      </c>
      <c r="D117" s="79">
        <f>C117+12</f>
        <v>24</v>
      </c>
      <c r="E117" s="79">
        <f t="shared" ref="E117:H117" si="9">D117+12</f>
        <v>36</v>
      </c>
      <c r="F117" s="79">
        <f t="shared" si="9"/>
        <v>48</v>
      </c>
      <c r="G117" s="79">
        <f t="shared" si="9"/>
        <v>60</v>
      </c>
      <c r="H117" s="79">
        <f t="shared" si="9"/>
        <v>72</v>
      </c>
      <c r="M117" s="7"/>
    </row>
    <row r="118" spans="1:13" x14ac:dyDescent="0.25">
      <c r="B118" s="114">
        <f t="shared" ref="B118:B121" si="10">B119-1</f>
        <v>2017</v>
      </c>
      <c r="C118" s="119">
        <f t="shared" ref="C118:H118" si="11">C36/C27</f>
        <v>0.51634534786253139</v>
      </c>
      <c r="D118" s="119">
        <f t="shared" si="11"/>
        <v>0.71908602150537637</v>
      </c>
      <c r="E118" s="119">
        <f t="shared" si="11"/>
        <v>0.83892215568862272</v>
      </c>
      <c r="F118" s="119">
        <f t="shared" si="11"/>
        <v>0.927027027027027</v>
      </c>
      <c r="G118" s="119">
        <f t="shared" si="11"/>
        <v>0.99427381572097862</v>
      </c>
      <c r="H118" s="119">
        <f t="shared" si="11"/>
        <v>1</v>
      </c>
      <c r="M118" s="7"/>
    </row>
    <row r="119" spans="1:13" x14ac:dyDescent="0.25">
      <c r="B119" s="114">
        <f t="shared" si="10"/>
        <v>2018</v>
      </c>
      <c r="C119" s="119">
        <f>C37/C28</f>
        <v>0.50996677740863783</v>
      </c>
      <c r="D119" s="119">
        <f>D37/D28</f>
        <v>0.71963230466185157</v>
      </c>
      <c r="E119" s="119">
        <f>E37/E28</f>
        <v>0.83891828336272778</v>
      </c>
      <c r="F119" s="119">
        <f>F37/F28</f>
        <v>0.92757510729613735</v>
      </c>
      <c r="G119" s="119">
        <f>G37/G28</f>
        <v>1</v>
      </c>
      <c r="H119" s="119"/>
    </row>
    <row r="120" spans="1:13" x14ac:dyDescent="0.25">
      <c r="B120" s="114">
        <f t="shared" si="10"/>
        <v>2019</v>
      </c>
      <c r="C120" s="119">
        <f>C38/C29</f>
        <v>0.50691619202603744</v>
      </c>
      <c r="D120" s="119">
        <f>D38/D29</f>
        <v>0.7168316831683168</v>
      </c>
      <c r="E120" s="119">
        <f>E38/E29</f>
        <v>0.84177215189873422</v>
      </c>
      <c r="F120" s="119">
        <f>F38/F29</f>
        <v>1</v>
      </c>
      <c r="G120" s="119"/>
      <c r="H120" s="119"/>
    </row>
    <row r="121" spans="1:13" x14ac:dyDescent="0.25">
      <c r="B121" s="114">
        <f t="shared" si="10"/>
        <v>2020</v>
      </c>
      <c r="C121" s="119">
        <f>C39/C30</f>
        <v>0.50728155339805825</v>
      </c>
      <c r="D121" s="119">
        <f>D39/D30</f>
        <v>0.71879021879021876</v>
      </c>
      <c r="E121" s="119">
        <f>E39/E30</f>
        <v>0.89332572732458637</v>
      </c>
      <c r="F121" s="119"/>
      <c r="G121" s="119"/>
      <c r="H121" s="119"/>
    </row>
    <row r="122" spans="1:13" x14ac:dyDescent="0.25">
      <c r="B122" s="114">
        <f>B123-1</f>
        <v>2021</v>
      </c>
      <c r="C122" s="119">
        <f>C40/C31</f>
        <v>0.50704225352112675</v>
      </c>
      <c r="D122" s="119">
        <f>D40/D31</f>
        <v>0.76840101522842641</v>
      </c>
      <c r="E122" s="119"/>
      <c r="F122" s="119"/>
      <c r="G122" s="119"/>
      <c r="H122" s="119"/>
    </row>
    <row r="123" spans="1:13" x14ac:dyDescent="0.25">
      <c r="B123" s="114">
        <v>2022</v>
      </c>
      <c r="C123" s="119">
        <f>C41/C32</f>
        <v>0.54673998428908088</v>
      </c>
      <c r="D123" s="119"/>
      <c r="E123" s="119"/>
      <c r="F123" s="119"/>
      <c r="G123" s="119"/>
      <c r="H123" s="119"/>
    </row>
    <row r="125" spans="1:13" x14ac:dyDescent="0.25">
      <c r="B125" s="93" t="s">
        <v>30</v>
      </c>
      <c r="C125" s="224" t="s">
        <v>422</v>
      </c>
      <c r="D125" s="224"/>
      <c r="E125" s="224"/>
      <c r="F125" s="224"/>
      <c r="G125" s="224"/>
    </row>
    <row r="126" spans="1:13" x14ac:dyDescent="0.25">
      <c r="B126" s="75" t="s">
        <v>32</v>
      </c>
      <c r="C126" s="79">
        <v>12</v>
      </c>
      <c r="D126" s="79">
        <f>C126+12</f>
        <v>24</v>
      </c>
      <c r="E126" s="79">
        <f t="shared" ref="E126:G126" si="12">D126+12</f>
        <v>36</v>
      </c>
      <c r="F126" s="79">
        <f t="shared" si="12"/>
        <v>48</v>
      </c>
      <c r="G126" s="79">
        <f t="shared" si="12"/>
        <v>60</v>
      </c>
    </row>
    <row r="127" spans="1:13" x14ac:dyDescent="0.25">
      <c r="B127" s="93" t="str">
        <f>B118&amp;"-"&amp;B119</f>
        <v>2017-2018</v>
      </c>
      <c r="C127" s="172">
        <f>C119/C118-1</f>
        <v>-1.2353302843336023E-2</v>
      </c>
      <c r="D127" s="172">
        <f>D119/D118-1</f>
        <v>7.5969096900485589E-4</v>
      </c>
      <c r="E127" s="172">
        <f>E119/E118-1</f>
        <v>-4.6158345785585198E-6</v>
      </c>
      <c r="F127" s="172">
        <f>F119/F118-1</f>
        <v>5.9122361390917533E-4</v>
      </c>
      <c r="G127" s="172" t="s">
        <v>42</v>
      </c>
    </row>
    <row r="128" spans="1:13" x14ac:dyDescent="0.25">
      <c r="B128" s="93" t="str">
        <f>B119&amp;"-"&amp;B120</f>
        <v>2018-2019</v>
      </c>
      <c r="C128" s="172">
        <f t="shared" ref="C128:E129" si="13">C120/C119-1</f>
        <v>-5.9819296427539026E-3</v>
      </c>
      <c r="D128" s="172">
        <f t="shared" si="13"/>
        <v>-3.8917395389174159E-3</v>
      </c>
      <c r="E128" s="172">
        <f t="shared" si="13"/>
        <v>3.4018432934457277E-3</v>
      </c>
      <c r="F128" s="172" t="s">
        <v>42</v>
      </c>
      <c r="G128" s="172"/>
    </row>
    <row r="129" spans="2:7" x14ac:dyDescent="0.25">
      <c r="B129" s="93" t="str">
        <f>B120&amp;"-"&amp;B121</f>
        <v>2019-2020</v>
      </c>
      <c r="C129" s="172">
        <f t="shared" si="13"/>
        <v>7.2075301157870086E-4</v>
      </c>
      <c r="D129" s="172">
        <f t="shared" si="13"/>
        <v>2.7322112957472999E-3</v>
      </c>
      <c r="E129" s="172">
        <f t="shared" si="13"/>
        <v>6.1244097122440833E-2</v>
      </c>
      <c r="F129" s="172"/>
      <c r="G129" s="172"/>
    </row>
    <row r="130" spans="2:7" x14ac:dyDescent="0.25">
      <c r="B130" s="93" t="str">
        <f>B121&amp;"-"&amp;B122</f>
        <v>2020-2021</v>
      </c>
      <c r="C130" s="172">
        <f>C122/C121-1</f>
        <v>-4.7172990093669043E-4</v>
      </c>
      <c r="D130" s="172">
        <f>D122/D121-1</f>
        <v>6.9019854668732838E-2</v>
      </c>
      <c r="E130" s="172"/>
      <c r="F130" s="172"/>
      <c r="G130" s="172"/>
    </row>
    <row r="131" spans="2:7" x14ac:dyDescent="0.25">
      <c r="B131" s="93" t="str">
        <f>B122&amp;"-"&amp;B123</f>
        <v>2021-2022</v>
      </c>
      <c r="C131" s="172">
        <f>C123/C122-1</f>
        <v>7.8292746792353984E-2</v>
      </c>
      <c r="D131" s="172"/>
      <c r="E131" s="172"/>
      <c r="F131" s="172"/>
      <c r="G131" s="172"/>
    </row>
    <row r="133" spans="2:7" x14ac:dyDescent="0.25">
      <c r="B133" s="1" t="s">
        <v>424</v>
      </c>
    </row>
  </sheetData>
  <mergeCells count="15">
    <mergeCell ref="C116:H116"/>
    <mergeCell ref="C125:G125"/>
    <mergeCell ref="A3:K4"/>
    <mergeCell ref="A45:K46"/>
    <mergeCell ref="A91:K92"/>
    <mergeCell ref="B105:L106"/>
    <mergeCell ref="B111:L112"/>
    <mergeCell ref="C7:H7"/>
    <mergeCell ref="C16:H16"/>
    <mergeCell ref="C25:H25"/>
    <mergeCell ref="C34:H34"/>
    <mergeCell ref="C53:H53"/>
    <mergeCell ref="C62:G62"/>
    <mergeCell ref="C71:H71"/>
    <mergeCell ref="C80:G80"/>
  </mergeCell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29A9F-9F81-4C3E-9EE7-7DCEE063407C}">
  <dimension ref="A1:R75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2" width="13.7109375" style="1" customWidth="1"/>
    <col min="3" max="3" width="17.28515625" style="1" customWidth="1"/>
    <col min="4" max="4" width="14.5703125" style="1" customWidth="1"/>
    <col min="5" max="5" width="16.7109375" style="1" customWidth="1"/>
    <col min="6" max="6" width="17.42578125" style="1" customWidth="1"/>
    <col min="7" max="7" width="15.85546875" style="1" customWidth="1"/>
    <col min="8" max="12" width="10.7109375" style="1" customWidth="1"/>
    <col min="13" max="16384" width="8.85546875" style="1"/>
  </cols>
  <sheetData>
    <row r="1" spans="1:12" ht="18.75" x14ac:dyDescent="0.3">
      <c r="A1" s="2" t="s">
        <v>180</v>
      </c>
      <c r="B1" s="4"/>
      <c r="C1" s="9" t="s">
        <v>181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ht="15.6" customHeight="1" x14ac:dyDescent="0.25">
      <c r="A3" s="9" t="s">
        <v>182</v>
      </c>
      <c r="B3" s="9"/>
      <c r="C3" s="9"/>
      <c r="D3" s="9"/>
      <c r="E3" s="9"/>
      <c r="F3" s="9"/>
      <c r="G3" s="9"/>
      <c r="H3" s="9"/>
      <c r="I3" s="9"/>
      <c r="J3" s="9"/>
      <c r="K3" s="9"/>
      <c r="L3" s="3"/>
    </row>
    <row r="4" spans="1:12" x14ac:dyDescent="0.25">
      <c r="A4" s="10"/>
      <c r="B4" s="4"/>
      <c r="C4" s="4"/>
      <c r="D4" s="4"/>
      <c r="E4" s="4"/>
      <c r="F4" s="4"/>
      <c r="G4" s="4"/>
      <c r="H4" s="9"/>
      <c r="I4" s="9"/>
      <c r="J4" s="9"/>
      <c r="K4" s="9"/>
      <c r="L4" s="9"/>
    </row>
    <row r="5" spans="1:12" ht="78.75" x14ac:dyDescent="0.25">
      <c r="A5" s="10"/>
      <c r="B5" s="48" t="s">
        <v>58</v>
      </c>
      <c r="C5" s="48" t="s">
        <v>62</v>
      </c>
      <c r="D5" s="48" t="s">
        <v>183</v>
      </c>
      <c r="E5" s="48" t="s">
        <v>184</v>
      </c>
      <c r="F5" s="4"/>
      <c r="G5" s="4"/>
      <c r="H5" s="9"/>
      <c r="I5" s="9"/>
      <c r="J5" s="9"/>
      <c r="K5" s="9"/>
      <c r="L5" s="9"/>
    </row>
    <row r="6" spans="1:12" x14ac:dyDescent="0.25">
      <c r="A6" s="10"/>
      <c r="B6" s="38">
        <v>2017</v>
      </c>
      <c r="C6" s="41">
        <v>11434</v>
      </c>
      <c r="D6" s="41">
        <v>1235</v>
      </c>
      <c r="E6" s="41">
        <v>4104</v>
      </c>
      <c r="F6" s="4"/>
      <c r="G6" s="4"/>
      <c r="H6" s="9"/>
      <c r="I6" s="9"/>
      <c r="J6" s="9"/>
      <c r="K6" s="9"/>
      <c r="L6" s="9"/>
    </row>
    <row r="7" spans="1:12" x14ac:dyDescent="0.25">
      <c r="A7" s="10"/>
      <c r="B7" s="38">
        <v>2018</v>
      </c>
      <c r="C7" s="41">
        <v>11635</v>
      </c>
      <c r="D7" s="41">
        <v>1247</v>
      </c>
      <c r="E7" s="41">
        <v>4384</v>
      </c>
      <c r="F7" s="4"/>
      <c r="G7" s="4"/>
      <c r="H7" s="9"/>
      <c r="I7" s="9"/>
      <c r="J7" s="9"/>
      <c r="K7" s="9"/>
      <c r="L7" s="9"/>
    </row>
    <row r="8" spans="1:12" x14ac:dyDescent="0.25">
      <c r="A8" s="4"/>
      <c r="B8" s="38">
        <v>2019</v>
      </c>
      <c r="C8" s="41">
        <v>11681</v>
      </c>
      <c r="D8" s="41">
        <v>1249</v>
      </c>
      <c r="E8" s="41">
        <v>4751</v>
      </c>
      <c r="F8" s="4"/>
      <c r="G8" s="4"/>
      <c r="H8" s="9"/>
      <c r="I8" s="9"/>
      <c r="J8" s="9"/>
      <c r="K8" s="9"/>
      <c r="L8" s="9"/>
    </row>
    <row r="9" spans="1:12" x14ac:dyDescent="0.25">
      <c r="A9" s="4"/>
      <c r="B9" s="38">
        <v>2020</v>
      </c>
      <c r="C9" s="41">
        <v>11821</v>
      </c>
      <c r="D9" s="41">
        <v>1260</v>
      </c>
      <c r="E9" s="41">
        <v>5066</v>
      </c>
      <c r="F9" s="4"/>
      <c r="G9" s="4"/>
      <c r="H9" s="9"/>
      <c r="I9" s="9"/>
      <c r="J9" s="9"/>
      <c r="K9" s="9"/>
      <c r="L9" s="9"/>
    </row>
    <row r="10" spans="1:12" x14ac:dyDescent="0.25">
      <c r="A10" s="10"/>
      <c r="B10" s="38">
        <v>2021</v>
      </c>
      <c r="C10" s="41">
        <v>12044</v>
      </c>
      <c r="D10" s="41">
        <v>1256</v>
      </c>
      <c r="E10" s="41">
        <v>5531</v>
      </c>
      <c r="F10" s="4"/>
      <c r="G10" s="4"/>
      <c r="H10" s="9"/>
      <c r="I10" s="9"/>
      <c r="J10" s="9"/>
      <c r="K10" s="9"/>
      <c r="L10" s="9"/>
    </row>
    <row r="11" spans="1:12" x14ac:dyDescent="0.25">
      <c r="A11" s="4"/>
      <c r="B11" s="38">
        <v>2022</v>
      </c>
      <c r="C11" s="41">
        <v>12240</v>
      </c>
      <c r="D11" s="41">
        <v>1301</v>
      </c>
      <c r="E11" s="41">
        <v>5897</v>
      </c>
      <c r="F11" s="4"/>
      <c r="G11" s="4"/>
      <c r="H11" s="9"/>
      <c r="I11" s="9"/>
      <c r="J11" s="9"/>
      <c r="K11" s="9"/>
      <c r="L11" s="9"/>
    </row>
    <row r="12" spans="1:12" x14ac:dyDescent="0.25">
      <c r="A12" s="4"/>
      <c r="B12" s="4"/>
      <c r="C12" s="4"/>
      <c r="D12" s="4"/>
      <c r="E12" s="4"/>
      <c r="F12" s="4"/>
      <c r="G12" s="4"/>
      <c r="H12" s="9"/>
      <c r="I12" s="9"/>
      <c r="J12" s="9"/>
      <c r="K12" s="9"/>
      <c r="L12" s="9"/>
    </row>
    <row r="13" spans="1:12" x14ac:dyDescent="0.25">
      <c r="A13" s="4"/>
      <c r="B13" s="24" t="s">
        <v>168</v>
      </c>
      <c r="C13" s="4"/>
      <c r="D13" s="4"/>
      <c r="E13" s="57">
        <v>7.4999999999999997E-2</v>
      </c>
      <c r="F13" s="4"/>
      <c r="G13" s="4"/>
      <c r="H13" s="9"/>
      <c r="I13" s="9"/>
      <c r="J13" s="9"/>
      <c r="K13" s="9"/>
      <c r="L13" s="9"/>
    </row>
    <row r="14" spans="1:12" x14ac:dyDescent="0.25">
      <c r="A14" s="4"/>
      <c r="B14" s="24" t="s">
        <v>185</v>
      </c>
      <c r="C14" s="4"/>
      <c r="D14" s="4"/>
      <c r="E14" s="4"/>
      <c r="F14" s="4"/>
      <c r="G14" s="4"/>
      <c r="H14" s="9"/>
      <c r="I14" s="9"/>
      <c r="J14" s="9"/>
      <c r="K14" s="9"/>
      <c r="L14" s="9"/>
    </row>
    <row r="15" spans="1:12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8" x14ac:dyDescent="0.25">
      <c r="A17" s="6" t="s">
        <v>4</v>
      </c>
      <c r="B17" s="9" t="s">
        <v>208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8"/>
      <c r="N17" s="8"/>
      <c r="O17" s="8"/>
      <c r="P17" s="8"/>
      <c r="Q17" s="8"/>
      <c r="R17" s="8"/>
    </row>
    <row r="18" spans="1:18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8" x14ac:dyDescent="0.25">
      <c r="A19" s="7" t="s">
        <v>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</row>
    <row r="20" spans="1:18" ht="78.75" x14ac:dyDescent="0.25">
      <c r="A20" s="7"/>
      <c r="B20" s="129" t="s">
        <v>58</v>
      </c>
      <c r="C20" s="129" t="s">
        <v>62</v>
      </c>
      <c r="D20" s="129" t="s">
        <v>183</v>
      </c>
      <c r="E20" s="129" t="s">
        <v>425</v>
      </c>
      <c r="F20" s="129" t="s">
        <v>426</v>
      </c>
      <c r="G20" s="7"/>
      <c r="H20" s="7"/>
      <c r="I20" s="7"/>
      <c r="J20" s="7"/>
      <c r="K20" s="7"/>
      <c r="L20" s="7"/>
      <c r="M20" s="7"/>
      <c r="N20" s="8"/>
    </row>
    <row r="21" spans="1:18" x14ac:dyDescent="0.25">
      <c r="A21" s="7"/>
      <c r="B21" s="182">
        <f t="shared" ref="B21:B25" si="0">B22-1</f>
        <v>2017</v>
      </c>
      <c r="C21" s="183">
        <f t="shared" ref="C21:D26" si="1">C6</f>
        <v>11434</v>
      </c>
      <c r="D21" s="183">
        <f t="shared" si="1"/>
        <v>1235</v>
      </c>
      <c r="E21" s="184">
        <f>D21/C21</f>
        <v>0.1080111946825258</v>
      </c>
      <c r="G21" s="7"/>
      <c r="H21" s="7"/>
      <c r="I21" s="7"/>
      <c r="J21" s="7"/>
      <c r="K21" s="7"/>
      <c r="L21" s="7"/>
      <c r="M21" s="7"/>
      <c r="N21" s="8"/>
    </row>
    <row r="22" spans="1:18" x14ac:dyDescent="0.25">
      <c r="A22" s="7"/>
      <c r="B22" s="182">
        <f t="shared" si="0"/>
        <v>2018</v>
      </c>
      <c r="C22" s="183">
        <f t="shared" si="1"/>
        <v>11635</v>
      </c>
      <c r="D22" s="183">
        <f t="shared" si="1"/>
        <v>1247</v>
      </c>
      <c r="E22" s="184">
        <f t="shared" ref="E22:E26" si="2">D22/C22</f>
        <v>0.10717662226042114</v>
      </c>
      <c r="F22" s="185">
        <f>E22/E21-1</f>
        <v>-7.726721517688051E-3</v>
      </c>
      <c r="G22" s="7"/>
      <c r="H22" s="7"/>
      <c r="I22" s="7"/>
      <c r="J22" s="7"/>
      <c r="K22" s="7"/>
      <c r="L22" s="7"/>
      <c r="M22" s="7"/>
      <c r="N22" s="8"/>
    </row>
    <row r="23" spans="1:18" x14ac:dyDescent="0.25">
      <c r="A23" s="7"/>
      <c r="B23" s="182">
        <f t="shared" si="0"/>
        <v>2019</v>
      </c>
      <c r="C23" s="183">
        <f t="shared" si="1"/>
        <v>11681</v>
      </c>
      <c r="D23" s="183">
        <f t="shared" si="1"/>
        <v>1249</v>
      </c>
      <c r="E23" s="184">
        <f t="shared" si="2"/>
        <v>0.10692577690266244</v>
      </c>
      <c r="F23" s="185">
        <f t="shared" ref="F23:F26" si="3">E23/E22-1</f>
        <v>-2.3404857558319003E-3</v>
      </c>
      <c r="G23" s="7"/>
      <c r="H23" s="7"/>
      <c r="I23" s="7"/>
      <c r="J23" s="7"/>
      <c r="K23" s="7"/>
      <c r="L23" s="7"/>
      <c r="M23" s="7"/>
      <c r="N23" s="8"/>
    </row>
    <row r="24" spans="1:18" x14ac:dyDescent="0.25">
      <c r="A24" s="7"/>
      <c r="B24" s="182">
        <f t="shared" si="0"/>
        <v>2020</v>
      </c>
      <c r="C24" s="183">
        <f t="shared" si="1"/>
        <v>11821</v>
      </c>
      <c r="D24" s="183">
        <f t="shared" si="1"/>
        <v>1260</v>
      </c>
      <c r="E24" s="184">
        <f t="shared" si="2"/>
        <v>0.10658996700786735</v>
      </c>
      <c r="F24" s="185">
        <f t="shared" si="3"/>
        <v>-3.1405887759018425E-3</v>
      </c>
      <c r="G24" s="7"/>
      <c r="H24" s="7"/>
      <c r="I24" s="7"/>
      <c r="J24" s="7"/>
      <c r="K24" s="7"/>
      <c r="L24" s="7"/>
      <c r="M24" s="7"/>
      <c r="N24" s="8"/>
    </row>
    <row r="25" spans="1:18" x14ac:dyDescent="0.25">
      <c r="A25" s="7"/>
      <c r="B25" s="182">
        <f t="shared" si="0"/>
        <v>2021</v>
      </c>
      <c r="C25" s="183">
        <f t="shared" si="1"/>
        <v>12044</v>
      </c>
      <c r="D25" s="183">
        <f t="shared" si="1"/>
        <v>1256</v>
      </c>
      <c r="E25" s="184">
        <f t="shared" si="2"/>
        <v>0.10428429093324477</v>
      </c>
      <c r="F25" s="185">
        <f t="shared" si="3"/>
        <v>-2.1631267363582118E-2</v>
      </c>
      <c r="G25" s="7"/>
      <c r="H25" s="7"/>
      <c r="I25" s="7"/>
      <c r="J25" s="7"/>
      <c r="K25" s="7"/>
      <c r="L25" s="7"/>
      <c r="M25" s="7"/>
      <c r="N25" s="8"/>
    </row>
    <row r="26" spans="1:18" x14ac:dyDescent="0.25">
      <c r="A26" s="7"/>
      <c r="B26" s="129">
        <f>$B$11</f>
        <v>2022</v>
      </c>
      <c r="C26" s="188">
        <f t="shared" si="1"/>
        <v>12240</v>
      </c>
      <c r="D26" s="188">
        <f t="shared" si="1"/>
        <v>1301</v>
      </c>
      <c r="E26" s="133">
        <f t="shared" si="2"/>
        <v>0.10629084967320261</v>
      </c>
      <c r="F26" s="189">
        <f t="shared" si="3"/>
        <v>1.9241236834436348E-2</v>
      </c>
      <c r="G26" s="7"/>
      <c r="H26" s="7"/>
      <c r="I26" s="7"/>
      <c r="J26" s="7"/>
      <c r="K26" s="7"/>
      <c r="L26" s="7"/>
      <c r="M26" s="7"/>
      <c r="N26" s="8"/>
    </row>
    <row r="27" spans="1:18" x14ac:dyDescent="0.25">
      <c r="A27" s="7"/>
      <c r="E27" s="1" t="s">
        <v>297</v>
      </c>
      <c r="F27" s="185">
        <f>AVERAGE(F22:F26)</f>
        <v>-3.119565315713513E-3</v>
      </c>
      <c r="G27" s="7"/>
      <c r="H27" s="7"/>
      <c r="I27" s="7"/>
      <c r="J27" s="7"/>
      <c r="K27" s="7"/>
      <c r="L27" s="7"/>
      <c r="M27" s="7"/>
      <c r="N27" s="8"/>
    </row>
    <row r="28" spans="1:18" x14ac:dyDescent="0.25">
      <c r="A28" s="7"/>
      <c r="F28" s="186"/>
      <c r="G28" s="7"/>
      <c r="H28" s="7"/>
      <c r="I28" s="7"/>
      <c r="J28" s="7"/>
      <c r="K28" s="7"/>
      <c r="L28" s="7"/>
      <c r="M28" s="7"/>
      <c r="N28" s="8"/>
    </row>
    <row r="29" spans="1:18" x14ac:dyDescent="0.25">
      <c r="A29" s="7"/>
      <c r="B29" s="226" t="s">
        <v>427</v>
      </c>
      <c r="C29" s="226"/>
      <c r="D29" s="226"/>
      <c r="E29" s="226"/>
      <c r="F29" s="187">
        <f>F27</f>
        <v>-3.119565315713513E-3</v>
      </c>
      <c r="G29" s="7"/>
      <c r="H29" s="7"/>
      <c r="I29" s="7"/>
      <c r="J29" s="7"/>
      <c r="K29" s="7"/>
      <c r="L29" s="7"/>
      <c r="M29" s="7"/>
      <c r="N29" s="8"/>
    </row>
    <row r="30" spans="1:18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8"/>
    </row>
    <row r="31" spans="1:18" x14ac:dyDescent="0.25">
      <c r="A31" s="7"/>
      <c r="B31" s="7" t="s">
        <v>428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8"/>
    </row>
    <row r="33" spans="1:12" x14ac:dyDescent="0.25">
      <c r="A33" s="6" t="s">
        <v>5</v>
      </c>
      <c r="B33" s="9" t="s">
        <v>186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5">
      <c r="A35" s="7" t="s">
        <v>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ht="31.5" x14ac:dyDescent="0.25">
      <c r="A36" s="7"/>
      <c r="B36" s="80" t="s">
        <v>58</v>
      </c>
      <c r="C36" s="80" t="s">
        <v>443</v>
      </c>
      <c r="D36" s="80" t="s">
        <v>429</v>
      </c>
      <c r="E36" s="80" t="s">
        <v>430</v>
      </c>
      <c r="F36" s="7"/>
      <c r="G36" s="7"/>
      <c r="H36" s="7"/>
      <c r="I36" s="7"/>
      <c r="J36" s="7"/>
      <c r="K36" s="7"/>
      <c r="L36" s="7"/>
    </row>
    <row r="37" spans="1:12" x14ac:dyDescent="0.25">
      <c r="A37" s="7"/>
      <c r="B37" s="190">
        <f t="shared" ref="B37:B41" si="4">B38-1</f>
        <v>2017</v>
      </c>
      <c r="C37" s="81">
        <f t="shared" ref="C37:C40" si="5">C38*(1+$F$29)</f>
        <v>0.98449918718589968</v>
      </c>
      <c r="D37" s="191">
        <f t="shared" ref="D37:D42" si="6">C37*E21</f>
        <v>0.10633693337192462</v>
      </c>
      <c r="E37" s="192">
        <f t="shared" ref="E37:E42" si="7">$D$47*C21/C37</f>
        <v>1229.92418405788</v>
      </c>
      <c r="F37" s="7"/>
      <c r="G37" s="7"/>
      <c r="H37" s="7"/>
      <c r="I37" s="7"/>
      <c r="J37" s="7"/>
      <c r="K37" s="7"/>
      <c r="L37" s="7"/>
    </row>
    <row r="38" spans="1:12" x14ac:dyDescent="0.25">
      <c r="A38" s="7"/>
      <c r="B38" s="190">
        <f t="shared" si="4"/>
        <v>2018</v>
      </c>
      <c r="C38" s="81">
        <f t="shared" si="5"/>
        <v>0.98758000752386321</v>
      </c>
      <c r="D38" s="191">
        <f t="shared" si="6"/>
        <v>0.10584548941832896</v>
      </c>
      <c r="E38" s="192">
        <f t="shared" si="7"/>
        <v>1247.6409286451133</v>
      </c>
      <c r="F38" s="7"/>
      <c r="G38" s="7"/>
      <c r="H38" s="7"/>
      <c r="I38" s="7"/>
      <c r="J38" s="7"/>
      <c r="K38" s="7"/>
      <c r="L38" s="7"/>
    </row>
    <row r="39" spans="1:12" x14ac:dyDescent="0.25">
      <c r="A39" s="7"/>
      <c r="B39" s="190">
        <f t="shared" si="4"/>
        <v>2019</v>
      </c>
      <c r="C39" s="81">
        <f t="shared" si="5"/>
        <v>0.99067046875750076</v>
      </c>
      <c r="D39" s="191">
        <f t="shared" si="6"/>
        <v>0.10592820952642056</v>
      </c>
      <c r="E39" s="192">
        <f t="shared" si="7"/>
        <v>1248.6661021189686</v>
      </c>
      <c r="F39" s="7"/>
      <c r="G39" s="7"/>
      <c r="H39" s="7"/>
      <c r="I39" s="7"/>
      <c r="J39" s="7"/>
      <c r="K39" s="7"/>
      <c r="L39" s="7"/>
    </row>
    <row r="40" spans="1:12" x14ac:dyDescent="0.25">
      <c r="A40" s="7"/>
      <c r="B40" s="190">
        <f t="shared" si="4"/>
        <v>2020</v>
      </c>
      <c r="C40" s="81">
        <f t="shared" si="5"/>
        <v>0.99377060105633186</v>
      </c>
      <c r="D40" s="191">
        <f t="shared" si="6"/>
        <v>0.10592597557998293</v>
      </c>
      <c r="E40" s="192">
        <f t="shared" si="7"/>
        <v>1259.6897273760198</v>
      </c>
      <c r="F40" s="7"/>
      <c r="G40" s="7"/>
      <c r="H40" s="7"/>
      <c r="I40" s="7"/>
      <c r="J40" s="7"/>
      <c r="K40" s="7"/>
      <c r="L40" s="7"/>
    </row>
    <row r="41" spans="1:12" x14ac:dyDescent="0.25">
      <c r="A41" s="7"/>
      <c r="B41" s="190">
        <f t="shared" si="4"/>
        <v>2021</v>
      </c>
      <c r="C41" s="81">
        <f>C42*(1+$F$29)</f>
        <v>0.99688043468428644</v>
      </c>
      <c r="D41" s="191">
        <f t="shared" si="6"/>
        <v>0.10395896927627564</v>
      </c>
      <c r="E41" s="192">
        <f t="shared" si="7"/>
        <v>1279.4496199829944</v>
      </c>
      <c r="F41" s="7"/>
      <c r="G41" s="7"/>
      <c r="H41" s="7"/>
      <c r="I41" s="7"/>
      <c r="J41" s="7"/>
      <c r="K41" s="7"/>
      <c r="L41" s="7"/>
    </row>
    <row r="42" spans="1:12" x14ac:dyDescent="0.25">
      <c r="A42" s="7"/>
      <c r="B42" s="80">
        <f>$B$11</f>
        <v>2022</v>
      </c>
      <c r="C42" s="85">
        <v>1</v>
      </c>
      <c r="D42" s="140">
        <f t="shared" si="6"/>
        <v>0.10629084967320261</v>
      </c>
      <c r="E42" s="193">
        <f t="shared" si="7"/>
        <v>1296.2146720609085</v>
      </c>
      <c r="F42" s="7"/>
      <c r="G42" s="7"/>
      <c r="H42" s="7"/>
      <c r="I42" s="7"/>
      <c r="J42" s="7"/>
      <c r="K42" s="7"/>
      <c r="L42" s="7"/>
    </row>
    <row r="43" spans="1:12" x14ac:dyDescent="0.25">
      <c r="A43" s="7"/>
      <c r="B43" s="228" t="str">
        <f>"Average excluding "&amp;B42</f>
        <v>Average excluding 2022</v>
      </c>
      <c r="C43" s="228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25">
      <c r="A44" s="7"/>
      <c r="B44" s="89" t="s">
        <v>431</v>
      </c>
      <c r="C44" s="7"/>
      <c r="D44" s="135">
        <f>AVERAGE(D37:D41)</f>
        <v>0.10559911543458655</v>
      </c>
      <c r="E44" s="7"/>
      <c r="F44" s="7"/>
      <c r="G44" s="7"/>
      <c r="H44" s="7"/>
      <c r="I44" s="7"/>
      <c r="J44" s="7"/>
      <c r="K44" s="7"/>
      <c r="L44" s="7"/>
    </row>
    <row r="45" spans="1:12" x14ac:dyDescent="0.25">
      <c r="A45" s="7"/>
      <c r="B45" s="89" t="s">
        <v>432</v>
      </c>
      <c r="C45" s="7"/>
      <c r="D45" s="135">
        <f>AVERAGE(D39:D41)</f>
        <v>0.10527105146089304</v>
      </c>
      <c r="E45" s="7"/>
      <c r="F45" s="7"/>
      <c r="G45" s="7"/>
      <c r="H45" s="7"/>
      <c r="I45" s="7"/>
      <c r="J45" s="7"/>
      <c r="K45" s="7"/>
      <c r="L45" s="7"/>
    </row>
    <row r="46" spans="1:12" x14ac:dyDescent="0.25">
      <c r="A46" s="7"/>
      <c r="B46" s="89" t="s">
        <v>433</v>
      </c>
      <c r="C46" s="7"/>
      <c r="D46" s="135">
        <f>AVERAGE(D38,D39,D40)</f>
        <v>0.10589989150824415</v>
      </c>
      <c r="E46" s="7"/>
      <c r="F46" s="7"/>
      <c r="G46" s="7"/>
      <c r="H46" s="7"/>
      <c r="I46" s="7"/>
      <c r="J46" s="7"/>
      <c r="K46" s="7"/>
      <c r="L46" s="7"/>
    </row>
    <row r="47" spans="1:12" x14ac:dyDescent="0.25">
      <c r="A47" s="7"/>
      <c r="B47" s="227" t="str">
        <f>"Selected freq. at "&amp;B42&amp;" cost level"</f>
        <v>Selected freq. at 2022 cost level</v>
      </c>
      <c r="C47" s="227"/>
      <c r="D47" s="135">
        <f>D46</f>
        <v>0.10589989150824415</v>
      </c>
      <c r="E47" s="7" t="s">
        <v>455</v>
      </c>
      <c r="F47" s="7"/>
      <c r="H47" s="7"/>
      <c r="I47" s="7"/>
      <c r="J47" s="7"/>
      <c r="K47" s="7"/>
      <c r="L47" s="7"/>
    </row>
    <row r="48" spans="1:12" x14ac:dyDescent="0.25">
      <c r="A48" s="7"/>
      <c r="B48" s="7"/>
      <c r="C48" s="7"/>
      <c r="D48" s="7"/>
      <c r="E48" s="7"/>
      <c r="F48" s="7"/>
      <c r="H48" s="7"/>
      <c r="I48" s="7"/>
      <c r="J48" s="7"/>
      <c r="K48" s="7"/>
      <c r="L48" s="7"/>
    </row>
    <row r="49" spans="1:13" ht="31.5" x14ac:dyDescent="0.25">
      <c r="A49" s="7"/>
      <c r="B49" s="80" t="s">
        <v>58</v>
      </c>
      <c r="C49" s="80" t="s">
        <v>434</v>
      </c>
      <c r="D49" s="80" t="s">
        <v>442</v>
      </c>
      <c r="E49" s="80" t="s">
        <v>435</v>
      </c>
      <c r="F49" s="80" t="s">
        <v>436</v>
      </c>
      <c r="G49" s="80" t="s">
        <v>406</v>
      </c>
      <c r="H49" s="7"/>
      <c r="I49" s="7"/>
      <c r="J49" s="7"/>
      <c r="K49" s="7"/>
      <c r="L49" s="7"/>
    </row>
    <row r="50" spans="1:13" x14ac:dyDescent="0.25">
      <c r="A50" s="7"/>
      <c r="B50" s="190">
        <f t="shared" ref="B50:B54" si="8">B51-1</f>
        <v>2017</v>
      </c>
      <c r="C50" s="88">
        <f t="shared" ref="C50:C55" si="9">E6</f>
        <v>4104</v>
      </c>
      <c r="D50" s="81">
        <f t="shared" ref="D50:D53" si="10">D51*(1+$E$13)</f>
        <v>1.4356293261718749</v>
      </c>
      <c r="E50" s="194">
        <f>D50*C50</f>
        <v>5891.8227546093749</v>
      </c>
      <c r="F50" s="194">
        <f t="shared" ref="F50:F55" si="11">$E$60/D50</f>
        <v>4110.2470719998037</v>
      </c>
      <c r="G50" s="88">
        <f t="shared" ref="G50:G55" si="12">F50*E37</f>
        <v>5055292.2763056485</v>
      </c>
      <c r="H50" s="7"/>
      <c r="I50" s="7"/>
      <c r="J50" s="7"/>
      <c r="K50" s="7"/>
      <c r="L50" s="7"/>
    </row>
    <row r="51" spans="1:13" x14ac:dyDescent="0.25">
      <c r="A51" s="7"/>
      <c r="B51" s="190">
        <f t="shared" si="8"/>
        <v>2018</v>
      </c>
      <c r="C51" s="88">
        <f t="shared" si="9"/>
        <v>4384</v>
      </c>
      <c r="D51" s="81">
        <f t="shared" si="10"/>
        <v>1.3354691406249999</v>
      </c>
      <c r="E51" s="194">
        <f t="shared" ref="E51:E55" si="13">D51*C51</f>
        <v>5854.6967124999992</v>
      </c>
      <c r="F51" s="194">
        <f t="shared" si="11"/>
        <v>4418.5156023997888</v>
      </c>
      <c r="G51" s="88">
        <f t="shared" si="12"/>
        <v>5512720.9094109945</v>
      </c>
      <c r="H51" s="7"/>
      <c r="I51" s="7"/>
      <c r="J51" s="7"/>
      <c r="K51" s="7"/>
      <c r="L51" s="7"/>
    </row>
    <row r="52" spans="1:13" x14ac:dyDescent="0.25">
      <c r="A52" s="7"/>
      <c r="B52" s="190">
        <f t="shared" si="8"/>
        <v>2019</v>
      </c>
      <c r="C52" s="88">
        <f t="shared" si="9"/>
        <v>4751</v>
      </c>
      <c r="D52" s="81">
        <f t="shared" si="10"/>
        <v>1.2422968749999999</v>
      </c>
      <c r="E52" s="194">
        <f t="shared" si="13"/>
        <v>5902.1524531249997</v>
      </c>
      <c r="F52" s="194">
        <f t="shared" si="11"/>
        <v>4749.9042725797726</v>
      </c>
      <c r="G52" s="88">
        <f t="shared" si="12"/>
        <v>5931044.4534804197</v>
      </c>
      <c r="H52" s="7"/>
      <c r="I52" s="7"/>
      <c r="J52" s="7"/>
      <c r="K52" s="7"/>
      <c r="L52" s="7"/>
    </row>
    <row r="53" spans="1:13" x14ac:dyDescent="0.25">
      <c r="A53" s="7"/>
      <c r="B53" s="190">
        <f t="shared" si="8"/>
        <v>2020</v>
      </c>
      <c r="C53" s="88">
        <f t="shared" si="9"/>
        <v>5066</v>
      </c>
      <c r="D53" s="81">
        <f t="shared" si="10"/>
        <v>1.1556249999999999</v>
      </c>
      <c r="E53" s="194">
        <f t="shared" si="13"/>
        <v>5854.3962499999998</v>
      </c>
      <c r="F53" s="194">
        <f t="shared" si="11"/>
        <v>5106.1470930232554</v>
      </c>
      <c r="G53" s="88">
        <f t="shared" si="12"/>
        <v>6432161.0395523207</v>
      </c>
      <c r="H53" s="7"/>
      <c r="I53" s="7"/>
      <c r="J53" s="7"/>
      <c r="K53" s="7"/>
      <c r="L53" s="7"/>
    </row>
    <row r="54" spans="1:13" x14ac:dyDescent="0.25">
      <c r="A54" s="7"/>
      <c r="B54" s="190">
        <f t="shared" si="8"/>
        <v>2021</v>
      </c>
      <c r="C54" s="88">
        <f t="shared" si="9"/>
        <v>5531</v>
      </c>
      <c r="D54" s="81">
        <f>D55*(1+$E$13)</f>
        <v>1.075</v>
      </c>
      <c r="E54" s="194">
        <f t="shared" si="13"/>
        <v>5945.8249999999998</v>
      </c>
      <c r="F54" s="194">
        <f t="shared" si="11"/>
        <v>5489.1081249999997</v>
      </c>
      <c r="G54" s="88">
        <f t="shared" si="12"/>
        <v>7023037.304576816</v>
      </c>
      <c r="H54" s="7"/>
      <c r="I54" s="7"/>
      <c r="J54" s="7"/>
      <c r="K54" s="7"/>
      <c r="L54" s="7"/>
    </row>
    <row r="55" spans="1:13" x14ac:dyDescent="0.25">
      <c r="A55" s="7"/>
      <c r="B55" s="80">
        <f>$B$11</f>
        <v>2022</v>
      </c>
      <c r="C55" s="138">
        <f t="shared" si="9"/>
        <v>5897</v>
      </c>
      <c r="D55" s="85">
        <v>1</v>
      </c>
      <c r="E55" s="195">
        <f t="shared" si="13"/>
        <v>5897</v>
      </c>
      <c r="F55" s="195">
        <f t="shared" si="11"/>
        <v>5900.7912343749995</v>
      </c>
      <c r="G55" s="138">
        <f t="shared" si="12"/>
        <v>7648692.174765273</v>
      </c>
      <c r="H55" s="7"/>
      <c r="I55" s="7"/>
      <c r="J55" s="7"/>
      <c r="K55" s="7"/>
      <c r="L55" s="7"/>
    </row>
    <row r="56" spans="1:13" x14ac:dyDescent="0.25">
      <c r="B56" s="7" t="str">
        <f>"Average excluding "&amp;B55</f>
        <v>Average excluding 2022</v>
      </c>
      <c r="C56" s="7"/>
      <c r="D56" s="7"/>
      <c r="E56" s="7"/>
      <c r="F56" s="7"/>
      <c r="G56" s="88">
        <f>SUM(G50:G55)</f>
        <v>37602948.158091471</v>
      </c>
      <c r="H56" s="7"/>
      <c r="M56" s="7"/>
    </row>
    <row r="57" spans="1:13" x14ac:dyDescent="0.25">
      <c r="B57" s="89" t="s">
        <v>431</v>
      </c>
      <c r="C57" s="7"/>
      <c r="D57" s="90"/>
      <c r="E57" s="194">
        <f>AVERAGE(E50:E54)</f>
        <v>5889.7786340468747</v>
      </c>
      <c r="F57" s="7"/>
      <c r="G57" s="7"/>
      <c r="H57" s="7"/>
      <c r="M57" s="7"/>
    </row>
    <row r="58" spans="1:13" x14ac:dyDescent="0.25">
      <c r="B58" s="89" t="s">
        <v>432</v>
      </c>
      <c r="C58" s="7"/>
      <c r="D58" s="90"/>
      <c r="E58" s="194">
        <f>AVERAGE(E52:E54)</f>
        <v>5900.7912343749995</v>
      </c>
      <c r="F58" s="7"/>
      <c r="G58" s="7"/>
      <c r="H58" s="7"/>
      <c r="M58" s="7"/>
    </row>
    <row r="59" spans="1:13" x14ac:dyDescent="0.25">
      <c r="B59" s="89" t="s">
        <v>433</v>
      </c>
      <c r="C59" s="7"/>
      <c r="D59" s="90"/>
      <c r="E59" s="194">
        <f>AVERAGE(E51,E52,E50)</f>
        <v>5882.8906400781243</v>
      </c>
      <c r="F59" s="7"/>
      <c r="G59" s="7"/>
      <c r="H59" s="7"/>
    </row>
    <row r="60" spans="1:13" x14ac:dyDescent="0.25">
      <c r="B60" s="7" t="str">
        <f>"Selected severity at "&amp;B55&amp;" cost level"</f>
        <v>Selected severity at 2022 cost level</v>
      </c>
      <c r="C60" s="7"/>
      <c r="D60" s="90"/>
      <c r="E60" s="194">
        <f>E58</f>
        <v>5900.7912343749995</v>
      </c>
      <c r="F60" s="7" t="s">
        <v>437</v>
      </c>
      <c r="G60" s="7"/>
      <c r="H60" s="7"/>
    </row>
    <row r="62" spans="1:13" x14ac:dyDescent="0.25">
      <c r="A62" s="3"/>
      <c r="B62" s="3"/>
      <c r="C62" s="3"/>
      <c r="D62" s="3"/>
      <c r="E62" s="3"/>
      <c r="F62" s="3"/>
      <c r="G62" s="4"/>
      <c r="H62" s="4"/>
      <c r="I62" s="4"/>
      <c r="J62" s="4"/>
      <c r="K62" s="4"/>
      <c r="L62" s="4"/>
    </row>
    <row r="63" spans="1:13" x14ac:dyDescent="0.25">
      <c r="A63" s="9" t="s">
        <v>187</v>
      </c>
      <c r="B63" s="3"/>
      <c r="C63" s="3"/>
      <c r="D63" s="3"/>
      <c r="E63" s="3"/>
      <c r="F63" s="3"/>
      <c r="G63" s="4"/>
      <c r="H63" s="4"/>
      <c r="I63" s="4"/>
      <c r="J63" s="4"/>
      <c r="K63" s="4"/>
      <c r="L63" s="4"/>
    </row>
    <row r="64" spans="1:13" x14ac:dyDescent="0.25">
      <c r="A64" s="3"/>
      <c r="B64" s="3"/>
      <c r="C64" s="3"/>
      <c r="D64" s="3"/>
      <c r="E64" s="3"/>
      <c r="F64" s="3"/>
      <c r="G64" s="4"/>
      <c r="H64" s="4"/>
      <c r="I64" s="4"/>
      <c r="J64" s="4"/>
      <c r="K64" s="4"/>
      <c r="L64" s="4"/>
    </row>
    <row r="66" spans="1:14" x14ac:dyDescent="0.25">
      <c r="A66" s="6" t="s">
        <v>0</v>
      </c>
      <c r="B66" s="9" t="s">
        <v>188</v>
      </c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4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4" x14ac:dyDescent="0.25">
      <c r="A68" s="7" t="s">
        <v>1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4" x14ac:dyDescent="0.25">
      <c r="A69" s="7"/>
      <c r="B69" s="113" t="s">
        <v>242</v>
      </c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4" x14ac:dyDescent="0.25">
      <c r="A70" s="7"/>
      <c r="B70" s="7" t="s">
        <v>441</v>
      </c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4" x14ac:dyDescent="0.25">
      <c r="B71" s="1" t="s">
        <v>438</v>
      </c>
    </row>
    <row r="72" spans="1:14" x14ac:dyDescent="0.25">
      <c r="B72" s="1" t="s">
        <v>439</v>
      </c>
    </row>
    <row r="73" spans="1:14" x14ac:dyDescent="0.25">
      <c r="B73" s="1" t="s">
        <v>440</v>
      </c>
      <c r="M73" s="7"/>
      <c r="N73" s="7"/>
    </row>
    <row r="74" spans="1:14" x14ac:dyDescent="0.25">
      <c r="M74" s="7"/>
      <c r="N74" s="7"/>
    </row>
    <row r="75" spans="1:14" x14ac:dyDescent="0.25">
      <c r="M75" s="7"/>
      <c r="N75" s="7"/>
    </row>
  </sheetData>
  <mergeCells count="3">
    <mergeCell ref="B29:E29"/>
    <mergeCell ref="B47:C47"/>
    <mergeCell ref="B43:C4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97A36-663D-40C5-9C3A-407203181420}">
  <dimension ref="A1:R115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8" width="14.7109375" style="1" customWidth="1"/>
    <col min="9" max="16384" width="8.85546875" style="1"/>
  </cols>
  <sheetData>
    <row r="1" spans="1:12" ht="18.75" x14ac:dyDescent="0.3">
      <c r="A1" s="2" t="s">
        <v>26</v>
      </c>
      <c r="B1" s="4"/>
      <c r="C1" s="9" t="s">
        <v>10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9" t="s">
        <v>27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2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6" spans="1:12" x14ac:dyDescent="0.25">
      <c r="A6" s="5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8" spans="1:12" x14ac:dyDescent="0.25">
      <c r="A8" s="5" t="s">
        <v>28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2" x14ac:dyDescent="0.25">
      <c r="A11" s="9" t="s">
        <v>29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2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2" x14ac:dyDescent="0.25">
      <c r="A13" s="29"/>
      <c r="B13" s="30" t="s">
        <v>30</v>
      </c>
      <c r="C13" s="211" t="s">
        <v>31</v>
      </c>
      <c r="D13" s="211"/>
      <c r="E13" s="211"/>
      <c r="F13" s="211"/>
      <c r="G13" s="211"/>
      <c r="H13" s="211"/>
      <c r="I13" s="29"/>
      <c r="J13" s="29"/>
      <c r="K13" s="29"/>
      <c r="L13" s="29"/>
    </row>
    <row r="14" spans="1:12" x14ac:dyDescent="0.25">
      <c r="A14" s="29"/>
      <c r="B14" s="31" t="s">
        <v>32</v>
      </c>
      <c r="C14" s="32">
        <v>12</v>
      </c>
      <c r="D14" s="32">
        <v>24</v>
      </c>
      <c r="E14" s="32">
        <v>36</v>
      </c>
      <c r="F14" s="32">
        <v>48</v>
      </c>
      <c r="G14" s="32">
        <v>60</v>
      </c>
      <c r="H14" s="32">
        <v>72</v>
      </c>
      <c r="I14" s="29"/>
      <c r="J14" s="29"/>
      <c r="K14" s="29"/>
      <c r="L14" s="29"/>
    </row>
    <row r="15" spans="1:12" x14ac:dyDescent="0.25">
      <c r="A15" s="29"/>
      <c r="B15" s="33">
        <v>2017</v>
      </c>
      <c r="C15" s="26">
        <v>2147785</v>
      </c>
      <c r="D15" s="26">
        <v>3025674</v>
      </c>
      <c r="E15" s="26">
        <v>3620901</v>
      </c>
      <c r="F15" s="26">
        <v>4136684</v>
      </c>
      <c r="G15" s="26">
        <v>4362359</v>
      </c>
      <c r="H15" s="26">
        <v>4382594</v>
      </c>
      <c r="I15" s="29"/>
      <c r="J15" s="29"/>
      <c r="K15" s="29"/>
      <c r="L15" s="29"/>
    </row>
    <row r="16" spans="1:12" x14ac:dyDescent="0.25">
      <c r="A16" s="29"/>
      <c r="B16" s="33">
        <v>2018</v>
      </c>
      <c r="C16" s="26">
        <v>2219814</v>
      </c>
      <c r="D16" s="26">
        <v>3071925</v>
      </c>
      <c r="E16" s="26">
        <v>3876926</v>
      </c>
      <c r="F16" s="26">
        <v>4331668</v>
      </c>
      <c r="G16" s="26">
        <v>4596920</v>
      </c>
      <c r="H16" s="34"/>
      <c r="I16" s="29"/>
      <c r="J16" s="29"/>
      <c r="K16" s="29"/>
      <c r="L16" s="29"/>
    </row>
    <row r="17" spans="1:12" x14ac:dyDescent="0.25">
      <c r="A17" s="29"/>
      <c r="B17" s="33">
        <v>2019</v>
      </c>
      <c r="C17" s="26">
        <v>2342602</v>
      </c>
      <c r="D17" s="26">
        <v>4154013</v>
      </c>
      <c r="E17" s="26">
        <v>4922135</v>
      </c>
      <c r="F17" s="26">
        <v>5074225</v>
      </c>
      <c r="G17" s="34"/>
      <c r="H17" s="34"/>
      <c r="I17" s="29"/>
      <c r="J17" s="29"/>
      <c r="K17" s="29"/>
      <c r="L17" s="29"/>
    </row>
    <row r="18" spans="1:12" x14ac:dyDescent="0.25">
      <c r="A18" s="29"/>
      <c r="B18" s="33">
        <v>2020</v>
      </c>
      <c r="C18" s="26">
        <v>2591328</v>
      </c>
      <c r="D18" s="26">
        <v>3398123</v>
      </c>
      <c r="E18" s="26">
        <v>4339405</v>
      </c>
      <c r="F18" s="34"/>
      <c r="G18" s="34"/>
      <c r="H18" s="34"/>
      <c r="I18" s="29"/>
      <c r="J18" s="29"/>
      <c r="K18" s="29"/>
      <c r="L18" s="29"/>
    </row>
    <row r="19" spans="1:12" x14ac:dyDescent="0.25">
      <c r="A19" s="29"/>
      <c r="B19" s="33">
        <v>2021</v>
      </c>
      <c r="C19" s="26">
        <v>2582962</v>
      </c>
      <c r="D19" s="26">
        <v>3768518</v>
      </c>
      <c r="E19" s="34"/>
      <c r="F19" s="34"/>
      <c r="G19" s="34"/>
      <c r="H19" s="34"/>
      <c r="I19" s="29"/>
      <c r="J19" s="29"/>
      <c r="K19" s="29"/>
      <c r="L19" s="29"/>
    </row>
    <row r="20" spans="1:12" x14ac:dyDescent="0.25">
      <c r="A20" s="29"/>
      <c r="B20" s="33">
        <v>2022</v>
      </c>
      <c r="C20" s="26">
        <v>2735738</v>
      </c>
      <c r="D20" s="34"/>
      <c r="E20" s="34"/>
      <c r="F20" s="34"/>
      <c r="G20" s="34"/>
      <c r="H20" s="34"/>
      <c r="I20" s="29"/>
      <c r="J20" s="29"/>
      <c r="K20" s="29"/>
      <c r="L20" s="29"/>
    </row>
    <row r="21" spans="1:12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12" x14ac:dyDescent="0.25">
      <c r="A22" s="29"/>
      <c r="B22" s="30" t="s">
        <v>30</v>
      </c>
      <c r="C22" s="211" t="s">
        <v>33</v>
      </c>
      <c r="D22" s="211"/>
      <c r="E22" s="211"/>
      <c r="F22" s="211"/>
      <c r="G22" s="211"/>
      <c r="H22" s="211"/>
      <c r="I22" s="29"/>
      <c r="J22" s="29"/>
      <c r="K22" s="29"/>
      <c r="L22" s="29"/>
    </row>
    <row r="23" spans="1:12" x14ac:dyDescent="0.25">
      <c r="A23" s="29"/>
      <c r="B23" s="31" t="s">
        <v>32</v>
      </c>
      <c r="C23" s="32">
        <v>12</v>
      </c>
      <c r="D23" s="32">
        <v>24</v>
      </c>
      <c r="E23" s="32">
        <v>36</v>
      </c>
      <c r="F23" s="32">
        <v>48</v>
      </c>
      <c r="G23" s="32">
        <v>60</v>
      </c>
      <c r="H23" s="32">
        <v>72</v>
      </c>
      <c r="I23" s="29"/>
      <c r="J23" s="29"/>
      <c r="K23" s="29"/>
      <c r="L23" s="29"/>
    </row>
    <row r="24" spans="1:12" x14ac:dyDescent="0.25">
      <c r="A24" s="29"/>
      <c r="B24" s="33">
        <v>2017</v>
      </c>
      <c r="C24" s="26">
        <v>1249954</v>
      </c>
      <c r="D24" s="26">
        <v>2244328</v>
      </c>
      <c r="E24" s="26">
        <v>3004204</v>
      </c>
      <c r="F24" s="26">
        <v>3728241</v>
      </c>
      <c r="G24" s="26">
        <v>4161007</v>
      </c>
      <c r="H24" s="26">
        <v>4367084</v>
      </c>
      <c r="I24" s="29"/>
      <c r="J24" s="29"/>
      <c r="K24" s="29"/>
      <c r="L24" s="29"/>
    </row>
    <row r="25" spans="1:12" x14ac:dyDescent="0.25">
      <c r="A25" s="29"/>
      <c r="B25" s="33">
        <v>2018</v>
      </c>
      <c r="C25" s="26">
        <v>1271502</v>
      </c>
      <c r="D25" s="26">
        <v>2218377</v>
      </c>
      <c r="E25" s="26">
        <v>3235509</v>
      </c>
      <c r="F25" s="26">
        <v>3896228</v>
      </c>
      <c r="G25" s="26">
        <v>4382244</v>
      </c>
      <c r="H25" s="34"/>
      <c r="I25" s="29"/>
      <c r="J25" s="29"/>
      <c r="K25" s="29"/>
      <c r="L25" s="29"/>
    </row>
    <row r="26" spans="1:12" x14ac:dyDescent="0.25">
      <c r="A26" s="29"/>
      <c r="B26" s="33">
        <v>2019</v>
      </c>
      <c r="C26" s="26">
        <v>1346283</v>
      </c>
      <c r="D26" s="26">
        <v>2368791</v>
      </c>
      <c r="E26" s="26">
        <v>3339691</v>
      </c>
      <c r="F26" s="26">
        <v>4154460</v>
      </c>
      <c r="G26" s="34"/>
      <c r="H26" s="34"/>
      <c r="I26" s="29"/>
      <c r="J26" s="29"/>
      <c r="K26" s="29"/>
      <c r="L26" s="29"/>
    </row>
    <row r="27" spans="1:12" x14ac:dyDescent="0.25">
      <c r="A27" s="29"/>
      <c r="B27" s="33">
        <v>2020</v>
      </c>
      <c r="C27" s="26">
        <v>1525699</v>
      </c>
      <c r="D27" s="26">
        <v>2505764</v>
      </c>
      <c r="E27" s="26">
        <v>3625546</v>
      </c>
      <c r="F27" s="34"/>
      <c r="G27" s="34"/>
      <c r="H27" s="34"/>
      <c r="I27" s="29"/>
      <c r="J27" s="29"/>
      <c r="K27" s="29"/>
      <c r="L27" s="29"/>
    </row>
    <row r="28" spans="1:12" x14ac:dyDescent="0.25">
      <c r="A28" s="29"/>
      <c r="B28" s="33">
        <v>2021</v>
      </c>
      <c r="C28" s="26">
        <v>1435742</v>
      </c>
      <c r="D28" s="26">
        <v>2756999</v>
      </c>
      <c r="E28" s="34"/>
      <c r="F28" s="34"/>
      <c r="G28" s="34"/>
      <c r="H28" s="34"/>
      <c r="I28" s="29"/>
      <c r="J28" s="29"/>
      <c r="K28" s="29"/>
      <c r="L28" s="29"/>
    </row>
    <row r="29" spans="1:12" x14ac:dyDescent="0.25">
      <c r="A29" s="29"/>
      <c r="B29" s="33">
        <v>2022</v>
      </c>
      <c r="C29" s="26">
        <v>1589295</v>
      </c>
      <c r="D29" s="34"/>
      <c r="E29" s="34"/>
      <c r="F29" s="34"/>
      <c r="G29" s="34"/>
      <c r="H29" s="34"/>
      <c r="I29" s="29"/>
      <c r="J29" s="29"/>
      <c r="K29" s="29"/>
      <c r="L29" s="29"/>
    </row>
    <row r="30" spans="1:12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12" x14ac:dyDescent="0.25">
      <c r="A31" s="29"/>
      <c r="B31" s="30" t="s">
        <v>30</v>
      </c>
      <c r="C31" s="211" t="s">
        <v>34</v>
      </c>
      <c r="D31" s="211"/>
      <c r="E31" s="211"/>
      <c r="F31" s="211"/>
      <c r="G31" s="211"/>
      <c r="H31" s="211"/>
      <c r="I31" s="29"/>
      <c r="J31" s="29"/>
      <c r="K31" s="29"/>
      <c r="L31" s="29"/>
    </row>
    <row r="32" spans="1:12" x14ac:dyDescent="0.25">
      <c r="A32" s="29"/>
      <c r="B32" s="31" t="s">
        <v>32</v>
      </c>
      <c r="C32" s="32">
        <v>12</v>
      </c>
      <c r="D32" s="32">
        <v>24</v>
      </c>
      <c r="E32" s="32">
        <v>36</v>
      </c>
      <c r="F32" s="32">
        <v>48</v>
      </c>
      <c r="G32" s="32">
        <v>60</v>
      </c>
      <c r="H32" s="32">
        <v>72</v>
      </c>
      <c r="I32" s="29"/>
      <c r="J32" s="29"/>
      <c r="K32" s="29"/>
      <c r="L32" s="29"/>
    </row>
    <row r="33" spans="1:12" x14ac:dyDescent="0.25">
      <c r="A33" s="29"/>
      <c r="B33" s="33">
        <v>2017</v>
      </c>
      <c r="C33" s="26">
        <v>729</v>
      </c>
      <c r="D33" s="26">
        <v>895</v>
      </c>
      <c r="E33" s="26">
        <v>998</v>
      </c>
      <c r="F33" s="26">
        <v>1082</v>
      </c>
      <c r="G33" s="26">
        <v>1119</v>
      </c>
      <c r="H33" s="26">
        <v>1122</v>
      </c>
      <c r="I33" s="29"/>
      <c r="J33" s="29"/>
      <c r="K33" s="29"/>
      <c r="L33" s="29"/>
    </row>
    <row r="34" spans="1:12" x14ac:dyDescent="0.25">
      <c r="A34" s="29"/>
      <c r="B34" s="33">
        <v>2018</v>
      </c>
      <c r="C34" s="26">
        <v>727</v>
      </c>
      <c r="D34" s="26">
        <v>900</v>
      </c>
      <c r="E34" s="26">
        <v>1019</v>
      </c>
      <c r="F34" s="26">
        <v>1089</v>
      </c>
      <c r="G34" s="26">
        <v>1130</v>
      </c>
      <c r="H34" s="34"/>
      <c r="I34" s="29"/>
      <c r="J34" s="29"/>
      <c r="K34" s="29"/>
      <c r="L34" s="29"/>
    </row>
    <row r="35" spans="1:12" x14ac:dyDescent="0.25">
      <c r="A35" s="29"/>
      <c r="B35" s="33">
        <v>2019</v>
      </c>
      <c r="C35" s="26">
        <v>743</v>
      </c>
      <c r="D35" s="26">
        <v>911</v>
      </c>
      <c r="E35" s="26">
        <v>1022</v>
      </c>
      <c r="F35" s="26">
        <v>1102</v>
      </c>
      <c r="G35" s="34"/>
      <c r="H35" s="34"/>
      <c r="I35" s="29"/>
      <c r="J35" s="29"/>
      <c r="K35" s="29"/>
      <c r="L35" s="29"/>
    </row>
    <row r="36" spans="1:12" x14ac:dyDescent="0.25">
      <c r="A36" s="29"/>
      <c r="B36" s="33">
        <v>2020</v>
      </c>
      <c r="C36" s="26">
        <v>765</v>
      </c>
      <c r="D36" s="26">
        <v>902</v>
      </c>
      <c r="E36" s="26">
        <v>1042</v>
      </c>
      <c r="F36" s="34"/>
      <c r="G36" s="34"/>
      <c r="H36" s="34"/>
      <c r="I36" s="29"/>
      <c r="J36" s="29"/>
      <c r="K36" s="29"/>
      <c r="L36" s="29"/>
    </row>
    <row r="37" spans="1:12" x14ac:dyDescent="0.25">
      <c r="A37" s="29"/>
      <c r="B37" s="33">
        <v>2021</v>
      </c>
      <c r="C37" s="26">
        <v>763</v>
      </c>
      <c r="D37" s="26">
        <v>939</v>
      </c>
      <c r="E37" s="34"/>
      <c r="F37" s="34"/>
      <c r="G37" s="34"/>
      <c r="H37" s="34"/>
      <c r="I37" s="29"/>
      <c r="J37" s="29"/>
      <c r="K37" s="29"/>
      <c r="L37" s="29"/>
    </row>
    <row r="38" spans="1:12" x14ac:dyDescent="0.25">
      <c r="A38" s="29"/>
      <c r="B38" s="33">
        <v>2022</v>
      </c>
      <c r="C38" s="26">
        <v>767</v>
      </c>
      <c r="D38" s="34"/>
      <c r="E38" s="34"/>
      <c r="F38" s="34"/>
      <c r="G38" s="34"/>
      <c r="H38" s="34"/>
      <c r="I38" s="29"/>
      <c r="J38" s="29"/>
      <c r="K38" s="29"/>
      <c r="L38" s="29"/>
    </row>
    <row r="39" spans="1:12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1:12" x14ac:dyDescent="0.25">
      <c r="A40" s="29"/>
      <c r="B40" s="30" t="s">
        <v>30</v>
      </c>
      <c r="C40" s="211" t="s">
        <v>35</v>
      </c>
      <c r="D40" s="211"/>
      <c r="E40" s="211"/>
      <c r="F40" s="211"/>
      <c r="G40" s="211"/>
      <c r="H40" s="211"/>
      <c r="I40" s="29"/>
      <c r="J40" s="29"/>
      <c r="K40" s="29"/>
      <c r="L40" s="29"/>
    </row>
    <row r="41" spans="1:12" x14ac:dyDescent="0.25">
      <c r="A41" s="29"/>
      <c r="B41" s="31" t="s">
        <v>32</v>
      </c>
      <c r="C41" s="32">
        <v>12</v>
      </c>
      <c r="D41" s="32">
        <v>24</v>
      </c>
      <c r="E41" s="32">
        <v>36</v>
      </c>
      <c r="F41" s="32">
        <v>48</v>
      </c>
      <c r="G41" s="32">
        <v>60</v>
      </c>
      <c r="H41" s="32">
        <v>72</v>
      </c>
      <c r="I41" s="29"/>
      <c r="J41" s="29"/>
      <c r="K41" s="29"/>
      <c r="L41" s="29"/>
    </row>
    <row r="42" spans="1:12" x14ac:dyDescent="0.25">
      <c r="A42" s="29"/>
      <c r="B42" s="33">
        <v>2017</v>
      </c>
      <c r="C42" s="26">
        <v>466</v>
      </c>
      <c r="D42" s="26">
        <v>697</v>
      </c>
      <c r="E42" s="26">
        <v>855</v>
      </c>
      <c r="F42" s="26">
        <v>991</v>
      </c>
      <c r="G42" s="26">
        <v>1075</v>
      </c>
      <c r="H42" s="26">
        <v>1118</v>
      </c>
      <c r="I42" s="29"/>
      <c r="J42" s="29"/>
      <c r="K42" s="29"/>
      <c r="L42" s="29"/>
    </row>
    <row r="43" spans="1:12" x14ac:dyDescent="0.25">
      <c r="A43" s="29"/>
      <c r="B43" s="33">
        <v>2018</v>
      </c>
      <c r="C43" s="26">
        <v>469</v>
      </c>
      <c r="D43" s="26">
        <v>696</v>
      </c>
      <c r="E43" s="26">
        <v>877</v>
      </c>
      <c r="F43" s="26">
        <v>997</v>
      </c>
      <c r="G43" s="26">
        <v>1085</v>
      </c>
      <c r="H43" s="34"/>
      <c r="I43" s="29"/>
      <c r="J43" s="29"/>
      <c r="K43" s="29"/>
      <c r="L43" s="29"/>
    </row>
    <row r="44" spans="1:12" x14ac:dyDescent="0.25">
      <c r="A44" s="29"/>
      <c r="B44" s="33">
        <v>2019</v>
      </c>
      <c r="C44" s="26">
        <v>474</v>
      </c>
      <c r="D44" s="26">
        <v>706</v>
      </c>
      <c r="E44" s="26">
        <v>874</v>
      </c>
      <c r="F44" s="26">
        <v>1007</v>
      </c>
      <c r="G44" s="34"/>
      <c r="H44" s="34"/>
      <c r="I44" s="29"/>
      <c r="J44" s="29"/>
      <c r="K44" s="29"/>
      <c r="L44" s="29"/>
    </row>
    <row r="45" spans="1:12" x14ac:dyDescent="0.25">
      <c r="A45" s="29"/>
      <c r="B45" s="33">
        <v>2020</v>
      </c>
      <c r="C45" s="26">
        <v>489</v>
      </c>
      <c r="D45" s="26">
        <v>700</v>
      </c>
      <c r="E45" s="26">
        <v>896</v>
      </c>
      <c r="F45" s="34"/>
      <c r="G45" s="34"/>
      <c r="H45" s="34"/>
      <c r="I45" s="29"/>
      <c r="J45" s="29"/>
      <c r="K45" s="29"/>
      <c r="L45" s="29"/>
    </row>
    <row r="46" spans="1:12" x14ac:dyDescent="0.25">
      <c r="A46" s="29"/>
      <c r="B46" s="33">
        <v>2021</v>
      </c>
      <c r="C46" s="26">
        <v>491</v>
      </c>
      <c r="D46" s="26">
        <v>727</v>
      </c>
      <c r="E46" s="34"/>
      <c r="F46" s="34"/>
      <c r="G46" s="34"/>
      <c r="H46" s="34"/>
      <c r="I46" s="29"/>
      <c r="J46" s="29"/>
      <c r="K46" s="29"/>
      <c r="L46" s="29"/>
    </row>
    <row r="47" spans="1:12" x14ac:dyDescent="0.25">
      <c r="A47" s="29"/>
      <c r="B47" s="33">
        <v>2022</v>
      </c>
      <c r="C47" s="26">
        <v>494</v>
      </c>
      <c r="D47" s="34"/>
      <c r="E47" s="34"/>
      <c r="F47" s="34"/>
      <c r="G47" s="34"/>
      <c r="H47" s="34"/>
      <c r="I47" s="29"/>
      <c r="J47" s="29"/>
      <c r="K47" s="29"/>
      <c r="L47" s="29"/>
    </row>
    <row r="48" spans="1:12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</row>
    <row r="49" spans="1:18" x14ac:dyDescent="0.25">
      <c r="A49" s="35" t="s">
        <v>192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</row>
    <row r="50" spans="1:18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</row>
    <row r="51" spans="1:18" x14ac:dyDescent="0.25">
      <c r="A51" s="29"/>
      <c r="B51" s="212"/>
      <c r="C51" s="212"/>
      <c r="D51" s="212" t="s">
        <v>36</v>
      </c>
      <c r="E51" s="212"/>
      <c r="F51" s="212" t="s">
        <v>37</v>
      </c>
      <c r="G51" s="212"/>
      <c r="H51" s="29"/>
      <c r="I51" s="29"/>
      <c r="J51" s="29"/>
      <c r="K51" s="29"/>
      <c r="L51" s="29"/>
    </row>
    <row r="52" spans="1:18" x14ac:dyDescent="0.25">
      <c r="A52" s="29"/>
      <c r="B52" s="212" t="s">
        <v>38</v>
      </c>
      <c r="C52" s="212"/>
      <c r="D52" s="36" t="s">
        <v>39</v>
      </c>
      <c r="E52" s="36" t="s">
        <v>40</v>
      </c>
      <c r="F52" s="36" t="s">
        <v>39</v>
      </c>
      <c r="G52" s="36" t="s">
        <v>40</v>
      </c>
      <c r="H52" s="29"/>
      <c r="I52" s="29"/>
      <c r="J52" s="29"/>
      <c r="K52" s="29"/>
      <c r="L52" s="29"/>
    </row>
    <row r="53" spans="1:18" x14ac:dyDescent="0.25">
      <c r="A53" s="29"/>
      <c r="B53" s="213" t="s">
        <v>41</v>
      </c>
      <c r="C53" s="213"/>
      <c r="D53" s="37">
        <v>43730</v>
      </c>
      <c r="E53" s="38" t="s">
        <v>42</v>
      </c>
      <c r="F53" s="37">
        <v>43730</v>
      </c>
      <c r="G53" s="38" t="s">
        <v>42</v>
      </c>
      <c r="H53" s="29"/>
      <c r="I53" s="29"/>
      <c r="J53" s="29"/>
      <c r="K53" s="29"/>
      <c r="L53" s="29"/>
    </row>
    <row r="54" spans="1:18" ht="31.15" customHeight="1" x14ac:dyDescent="0.25">
      <c r="A54" s="29"/>
      <c r="B54" s="213" t="s">
        <v>43</v>
      </c>
      <c r="C54" s="213"/>
      <c r="D54" s="39">
        <v>44136</v>
      </c>
      <c r="E54" s="40">
        <v>900000</v>
      </c>
      <c r="F54" s="39">
        <v>43770</v>
      </c>
      <c r="G54" s="40">
        <v>90000</v>
      </c>
      <c r="H54" s="29"/>
      <c r="I54" s="29"/>
      <c r="J54" s="29"/>
      <c r="K54" s="29"/>
      <c r="L54" s="29"/>
    </row>
    <row r="55" spans="1:18" x14ac:dyDescent="0.25">
      <c r="A55" s="29"/>
      <c r="B55" s="213" t="s">
        <v>44</v>
      </c>
      <c r="C55" s="213"/>
      <c r="D55" s="37">
        <v>44166</v>
      </c>
      <c r="E55" s="41">
        <v>1500</v>
      </c>
      <c r="F55" s="37">
        <v>44166</v>
      </c>
      <c r="G55" s="41">
        <v>1500</v>
      </c>
      <c r="H55" s="29"/>
      <c r="I55" s="29"/>
      <c r="J55" s="29"/>
      <c r="K55" s="29"/>
      <c r="L55" s="29"/>
    </row>
    <row r="56" spans="1:18" x14ac:dyDescent="0.25">
      <c r="A56" s="29"/>
      <c r="B56" s="213" t="s">
        <v>44</v>
      </c>
      <c r="C56" s="213"/>
      <c r="D56" s="37">
        <v>44378</v>
      </c>
      <c r="E56" s="41">
        <v>1000</v>
      </c>
      <c r="F56" s="37">
        <v>44378</v>
      </c>
      <c r="G56" s="41">
        <v>1000</v>
      </c>
      <c r="H56" s="29"/>
      <c r="I56" s="29"/>
      <c r="J56" s="29"/>
      <c r="K56" s="29"/>
      <c r="L56" s="29"/>
    </row>
    <row r="57" spans="1:18" x14ac:dyDescent="0.25">
      <c r="A57" s="29"/>
      <c r="B57" s="213" t="s">
        <v>44</v>
      </c>
      <c r="C57" s="213"/>
      <c r="D57" s="37">
        <v>44621</v>
      </c>
      <c r="E57" s="41">
        <v>57500</v>
      </c>
      <c r="F57" s="37">
        <v>44621</v>
      </c>
      <c r="G57" s="41">
        <v>57500</v>
      </c>
      <c r="H57" s="29"/>
      <c r="I57" s="29"/>
      <c r="J57" s="29"/>
      <c r="K57" s="29"/>
      <c r="L57" s="29"/>
    </row>
    <row r="58" spans="1:18" x14ac:dyDescent="0.25">
      <c r="A58" s="29"/>
      <c r="B58" s="213" t="s">
        <v>45</v>
      </c>
      <c r="C58" s="213"/>
      <c r="D58" s="37">
        <v>44621</v>
      </c>
      <c r="E58" s="42">
        <v>-500000</v>
      </c>
      <c r="F58" s="37">
        <v>44621</v>
      </c>
      <c r="G58" s="42">
        <v>-50000</v>
      </c>
      <c r="H58" s="29"/>
      <c r="I58" s="29"/>
      <c r="J58" s="29"/>
      <c r="K58" s="29"/>
      <c r="L58" s="29"/>
    </row>
    <row r="59" spans="1:18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</row>
    <row r="60" spans="1:18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8" x14ac:dyDescent="0.25">
      <c r="A61" s="6" t="s">
        <v>0</v>
      </c>
      <c r="B61" s="9" t="s">
        <v>46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8"/>
      <c r="N61" s="8"/>
      <c r="O61" s="8"/>
      <c r="P61" s="8"/>
      <c r="Q61" s="8"/>
      <c r="R61" s="8"/>
    </row>
    <row r="62" spans="1:18" x14ac:dyDescent="0.25">
      <c r="A62" s="3"/>
      <c r="B62" s="3"/>
      <c r="C62" s="3"/>
      <c r="D62" s="3"/>
      <c r="E62" s="3"/>
      <c r="F62" s="3"/>
      <c r="G62" s="4"/>
      <c r="H62" s="4"/>
      <c r="I62" s="4"/>
      <c r="J62" s="4"/>
      <c r="K62" s="4"/>
      <c r="L62" s="4"/>
    </row>
    <row r="63" spans="1:18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8" x14ac:dyDescent="0.25">
      <c r="A64" s="7" t="s">
        <v>1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8"/>
    </row>
    <row r="65" spans="1:14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8"/>
    </row>
    <row r="66" spans="1:14" x14ac:dyDescent="0.25">
      <c r="A66" s="1" t="s">
        <v>255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8"/>
    </row>
    <row r="67" spans="1:14" x14ac:dyDescent="0.25">
      <c r="A67" s="75" t="s">
        <v>249</v>
      </c>
      <c r="B67" s="75"/>
      <c r="C67" s="92"/>
      <c r="D67" s="75">
        <v>12</v>
      </c>
      <c r="E67" s="75">
        <v>24</v>
      </c>
      <c r="F67" s="75">
        <v>36</v>
      </c>
      <c r="G67" s="75">
        <v>48</v>
      </c>
      <c r="H67" s="7"/>
      <c r="I67" s="7"/>
      <c r="J67" s="7"/>
      <c r="K67" s="7"/>
      <c r="L67" s="7"/>
      <c r="M67" s="7"/>
      <c r="N67" s="8"/>
    </row>
    <row r="68" spans="1:14" x14ac:dyDescent="0.25">
      <c r="A68" s="93">
        <v>2019</v>
      </c>
      <c r="B68" s="94" t="s">
        <v>250</v>
      </c>
      <c r="D68" s="78">
        <v>0</v>
      </c>
      <c r="E68" s="78">
        <f>E55</f>
        <v>1500</v>
      </c>
      <c r="F68" s="78">
        <f>E68+E56</f>
        <v>2500</v>
      </c>
      <c r="G68" s="78">
        <f>F68+E57</f>
        <v>60000</v>
      </c>
      <c r="H68" s="7"/>
      <c r="I68" s="7"/>
      <c r="J68" s="7"/>
      <c r="K68" s="7"/>
      <c r="L68" s="7"/>
      <c r="M68" s="7"/>
      <c r="N68" s="8"/>
    </row>
    <row r="69" spans="1:14" x14ac:dyDescent="0.25">
      <c r="A69" s="93">
        <v>2019</v>
      </c>
      <c r="B69" s="94" t="s">
        <v>251</v>
      </c>
      <c r="D69" s="78">
        <v>0</v>
      </c>
      <c r="E69" s="78">
        <f>E54</f>
        <v>900000</v>
      </c>
      <c r="F69" s="78">
        <f>E69</f>
        <v>900000</v>
      </c>
      <c r="G69" s="78">
        <f>F69+E58</f>
        <v>400000</v>
      </c>
      <c r="H69" s="7"/>
      <c r="I69" s="7"/>
      <c r="J69" s="7"/>
      <c r="K69" s="7"/>
      <c r="L69" s="7"/>
      <c r="M69" s="7"/>
      <c r="N69" s="8"/>
    </row>
    <row r="70" spans="1:14" x14ac:dyDescent="0.25">
      <c r="A70" s="93">
        <v>2019</v>
      </c>
      <c r="B70" s="94" t="s">
        <v>31</v>
      </c>
      <c r="D70" s="78">
        <f>SUM(D68:D69)</f>
        <v>0</v>
      </c>
      <c r="E70" s="78">
        <f>SUM(E68:E69)</f>
        <v>901500</v>
      </c>
      <c r="F70" s="78">
        <f>SUM(F68:F69)</f>
        <v>902500</v>
      </c>
      <c r="G70" s="78">
        <f>SUM(G68:G69)</f>
        <v>460000</v>
      </c>
      <c r="H70" s="7"/>
      <c r="I70" s="7"/>
      <c r="J70" s="7"/>
      <c r="K70" s="7"/>
      <c r="L70" s="7"/>
      <c r="M70" s="7"/>
      <c r="N70" s="8"/>
    </row>
    <row r="71" spans="1:14" x14ac:dyDescent="0.25">
      <c r="A71" s="93">
        <v>2019</v>
      </c>
      <c r="B71" s="94" t="s">
        <v>34</v>
      </c>
      <c r="D71" s="78">
        <v>0</v>
      </c>
      <c r="E71" s="78">
        <v>1</v>
      </c>
      <c r="F71" s="78">
        <v>1</v>
      </c>
      <c r="G71" s="78">
        <v>1</v>
      </c>
      <c r="H71" s="7"/>
      <c r="I71" s="7"/>
      <c r="J71" s="7"/>
      <c r="K71" s="7"/>
      <c r="L71" s="7"/>
      <c r="M71" s="7"/>
      <c r="N71" s="8"/>
    </row>
    <row r="72" spans="1:14" x14ac:dyDescent="0.25">
      <c r="H72" s="7"/>
      <c r="I72" s="7"/>
      <c r="J72" s="7"/>
      <c r="K72" s="7"/>
      <c r="L72" s="7"/>
      <c r="M72" s="7"/>
      <c r="N72" s="8"/>
    </row>
    <row r="73" spans="1:14" x14ac:dyDescent="0.25">
      <c r="A73" s="1" t="s">
        <v>252</v>
      </c>
      <c r="H73" s="7"/>
      <c r="I73" s="7"/>
      <c r="J73" s="7"/>
      <c r="K73" s="7"/>
      <c r="L73" s="7"/>
      <c r="M73" s="7"/>
      <c r="N73" s="8"/>
    </row>
    <row r="74" spans="1:14" x14ac:dyDescent="0.25">
      <c r="A74" s="75" t="s">
        <v>249</v>
      </c>
      <c r="B74" s="75"/>
      <c r="C74" s="92"/>
      <c r="D74" s="75">
        <v>12</v>
      </c>
      <c r="E74" s="75">
        <v>24</v>
      </c>
      <c r="F74" s="75">
        <v>36</v>
      </c>
      <c r="G74" s="75">
        <v>48</v>
      </c>
      <c r="H74" s="7"/>
      <c r="I74" s="7"/>
      <c r="J74" s="7"/>
      <c r="K74" s="7"/>
      <c r="L74" s="7"/>
      <c r="M74" s="7"/>
      <c r="N74" s="8"/>
    </row>
    <row r="75" spans="1:14" x14ac:dyDescent="0.25">
      <c r="A75" s="93">
        <v>2019</v>
      </c>
      <c r="B75" s="94" t="s">
        <v>250</v>
      </c>
      <c r="D75" s="78">
        <v>0</v>
      </c>
      <c r="E75" s="78">
        <f>G55</f>
        <v>1500</v>
      </c>
      <c r="F75" s="78">
        <f>E75+G56</f>
        <v>2500</v>
      </c>
      <c r="G75" s="78">
        <f>F75+G57</f>
        <v>60000</v>
      </c>
      <c r="H75" s="7"/>
      <c r="I75" s="7"/>
      <c r="J75" s="7"/>
      <c r="K75" s="7"/>
      <c r="L75" s="7"/>
      <c r="M75" s="7"/>
      <c r="N75" s="8"/>
    </row>
    <row r="76" spans="1:14" x14ac:dyDescent="0.25">
      <c r="A76" s="93">
        <v>2019</v>
      </c>
      <c r="B76" s="94" t="s">
        <v>251</v>
      </c>
      <c r="D76" s="78">
        <f>G54</f>
        <v>90000</v>
      </c>
      <c r="E76" s="78">
        <f>D76</f>
        <v>90000</v>
      </c>
      <c r="F76" s="78">
        <f>E76</f>
        <v>90000</v>
      </c>
      <c r="G76" s="78">
        <f>F76+G58</f>
        <v>40000</v>
      </c>
      <c r="H76" s="7"/>
      <c r="I76" s="7"/>
      <c r="J76" s="7"/>
      <c r="K76" s="7"/>
      <c r="L76" s="7"/>
      <c r="M76" s="7"/>
      <c r="N76" s="8"/>
    </row>
    <row r="77" spans="1:14" x14ac:dyDescent="0.25">
      <c r="A77" s="93">
        <v>2019</v>
      </c>
      <c r="B77" s="94" t="s">
        <v>31</v>
      </c>
      <c r="D77" s="78">
        <f>SUM(D75:D76)</f>
        <v>90000</v>
      </c>
      <c r="E77" s="78">
        <f>SUM(E75:E76)</f>
        <v>91500</v>
      </c>
      <c r="F77" s="78">
        <f>SUM(F75:F76)</f>
        <v>92500</v>
      </c>
      <c r="G77" s="78">
        <f>SUM(G75:G76)</f>
        <v>100000</v>
      </c>
      <c r="H77" s="7"/>
      <c r="I77" s="7"/>
      <c r="J77" s="7"/>
      <c r="K77" s="7"/>
      <c r="L77" s="7"/>
      <c r="M77" s="7"/>
      <c r="N77" s="8"/>
    </row>
    <row r="78" spans="1:14" x14ac:dyDescent="0.25">
      <c r="A78" s="93">
        <v>2019</v>
      </c>
      <c r="B78" s="94" t="s">
        <v>34</v>
      </c>
      <c r="D78" s="78">
        <v>1</v>
      </c>
      <c r="E78" s="78">
        <v>1</v>
      </c>
      <c r="F78" s="78">
        <v>1</v>
      </c>
      <c r="G78" s="78">
        <v>1</v>
      </c>
      <c r="H78" s="7"/>
      <c r="I78" s="7"/>
      <c r="J78" s="7"/>
      <c r="K78" s="7"/>
      <c r="L78" s="7"/>
      <c r="M78" s="7"/>
      <c r="N78" s="8"/>
    </row>
    <row r="79" spans="1:14" x14ac:dyDescent="0.25">
      <c r="H79" s="7"/>
      <c r="I79" s="7"/>
      <c r="J79" s="7"/>
      <c r="K79" s="7"/>
      <c r="L79" s="7"/>
      <c r="M79" s="7"/>
      <c r="N79" s="8"/>
    </row>
    <row r="80" spans="1:14" x14ac:dyDescent="0.25">
      <c r="A80" s="95" t="s">
        <v>30</v>
      </c>
      <c r="B80" s="209" t="s">
        <v>253</v>
      </c>
      <c r="C80" s="210"/>
      <c r="D80" s="210"/>
      <c r="E80" s="210"/>
      <c r="F80" s="210"/>
      <c r="G80" s="210"/>
      <c r="H80" s="7"/>
      <c r="I80" s="7"/>
      <c r="J80" s="7"/>
      <c r="K80" s="7"/>
      <c r="L80" s="7"/>
      <c r="M80" s="7"/>
      <c r="N80" s="8"/>
    </row>
    <row r="81" spans="1:14" x14ac:dyDescent="0.25">
      <c r="A81" s="98" t="s">
        <v>32</v>
      </c>
      <c r="B81" s="96">
        <v>12</v>
      </c>
      <c r="C81" s="97">
        <v>24</v>
      </c>
      <c r="D81" s="97">
        <v>36</v>
      </c>
      <c r="E81" s="97">
        <v>48</v>
      </c>
      <c r="F81" s="97">
        <v>60</v>
      </c>
      <c r="G81" s="97">
        <v>72</v>
      </c>
      <c r="H81" s="7"/>
      <c r="I81" s="7"/>
      <c r="J81" s="7"/>
      <c r="K81" s="7"/>
      <c r="L81" s="7"/>
      <c r="M81" s="7"/>
      <c r="N81" s="8"/>
    </row>
    <row r="82" spans="1:14" x14ac:dyDescent="0.25">
      <c r="A82" s="99">
        <v>2017</v>
      </c>
      <c r="B82" s="100">
        <f>C15</f>
        <v>2147785</v>
      </c>
      <c r="C82" s="100">
        <f t="shared" ref="C82:G82" si="0">D15</f>
        <v>3025674</v>
      </c>
      <c r="D82" s="100">
        <f t="shared" si="0"/>
        <v>3620901</v>
      </c>
      <c r="E82" s="100">
        <f t="shared" si="0"/>
        <v>4136684</v>
      </c>
      <c r="F82" s="100">
        <f t="shared" si="0"/>
        <v>4362359</v>
      </c>
      <c r="G82" s="100">
        <f t="shared" si="0"/>
        <v>4382594</v>
      </c>
      <c r="H82" s="7"/>
      <c r="I82" s="7"/>
      <c r="J82" s="7"/>
      <c r="K82" s="7"/>
      <c r="L82" s="7"/>
      <c r="M82" s="7"/>
      <c r="N82" s="8"/>
    </row>
    <row r="83" spans="1:14" x14ac:dyDescent="0.25">
      <c r="A83" s="101">
        <v>2018</v>
      </c>
      <c r="B83" s="100">
        <f t="shared" ref="B83:F83" si="1">C16</f>
        <v>2219814</v>
      </c>
      <c r="C83" s="100">
        <f t="shared" si="1"/>
        <v>3071925</v>
      </c>
      <c r="D83" s="100">
        <f t="shared" si="1"/>
        <v>3876926</v>
      </c>
      <c r="E83" s="100">
        <f t="shared" si="1"/>
        <v>4331668</v>
      </c>
      <c r="F83" s="100">
        <f t="shared" si="1"/>
        <v>4596920</v>
      </c>
      <c r="G83" s="100"/>
      <c r="H83" s="7"/>
      <c r="I83" s="7"/>
      <c r="J83" s="7"/>
      <c r="K83" s="7"/>
      <c r="L83" s="7"/>
      <c r="M83" s="7"/>
      <c r="N83" s="8"/>
    </row>
    <row r="84" spans="1:14" x14ac:dyDescent="0.25">
      <c r="A84" s="102">
        <v>2019</v>
      </c>
      <c r="B84" s="103">
        <f>C17-D70+D77</f>
        <v>2432602</v>
      </c>
      <c r="C84" s="103">
        <f t="shared" ref="C84:E84" si="2">D17-E70+E77</f>
        <v>3344013</v>
      </c>
      <c r="D84" s="103">
        <f t="shared" si="2"/>
        <v>4112135</v>
      </c>
      <c r="E84" s="103">
        <f t="shared" si="2"/>
        <v>4714225</v>
      </c>
      <c r="F84" s="100"/>
      <c r="G84" s="100"/>
      <c r="H84" s="7"/>
      <c r="I84" s="7"/>
      <c r="J84" s="7"/>
      <c r="K84" s="7"/>
      <c r="L84" s="7"/>
      <c r="M84" s="7"/>
      <c r="N84" s="8"/>
    </row>
    <row r="85" spans="1:14" x14ac:dyDescent="0.25">
      <c r="A85" s="101">
        <v>2020</v>
      </c>
      <c r="B85" s="100">
        <f t="shared" ref="B85:D85" si="3">C18</f>
        <v>2591328</v>
      </c>
      <c r="C85" s="100">
        <f t="shared" si="3"/>
        <v>3398123</v>
      </c>
      <c r="D85" s="100">
        <f t="shared" si="3"/>
        <v>4339405</v>
      </c>
      <c r="E85" s="100"/>
      <c r="F85" s="100"/>
      <c r="G85" s="100"/>
      <c r="H85" s="7"/>
      <c r="I85" s="7"/>
      <c r="J85" s="7"/>
      <c r="K85" s="7"/>
      <c r="L85" s="7"/>
      <c r="M85" s="7"/>
      <c r="N85" s="8"/>
    </row>
    <row r="86" spans="1:14" x14ac:dyDescent="0.25">
      <c r="A86" s="101">
        <v>2021</v>
      </c>
      <c r="B86" s="100">
        <f t="shared" ref="B86:C86" si="4">C19</f>
        <v>2582962</v>
      </c>
      <c r="C86" s="100">
        <f t="shared" si="4"/>
        <v>3768518</v>
      </c>
      <c r="D86" s="100"/>
      <c r="E86" s="100"/>
      <c r="F86" s="100"/>
      <c r="G86" s="100"/>
      <c r="H86" s="7"/>
      <c r="I86" s="7"/>
      <c r="J86" s="7"/>
      <c r="K86" s="7"/>
      <c r="L86" s="7"/>
      <c r="M86" s="7"/>
      <c r="N86" s="8"/>
    </row>
    <row r="87" spans="1:14" x14ac:dyDescent="0.25">
      <c r="A87" s="101">
        <v>2022</v>
      </c>
      <c r="B87" s="100">
        <f>C20</f>
        <v>2735738</v>
      </c>
      <c r="C87" s="100"/>
      <c r="D87" s="100"/>
      <c r="E87" s="100"/>
      <c r="F87" s="100"/>
      <c r="G87" s="100"/>
      <c r="H87" s="7"/>
      <c r="I87" s="7"/>
      <c r="J87" s="7"/>
      <c r="K87" s="7"/>
      <c r="L87" s="7"/>
      <c r="M87" s="7"/>
      <c r="N87" s="8"/>
    </row>
    <row r="88" spans="1:14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8"/>
    </row>
    <row r="89" spans="1:14" x14ac:dyDescent="0.25">
      <c r="A89" s="95" t="s">
        <v>30</v>
      </c>
      <c r="B89" s="209" t="s">
        <v>254</v>
      </c>
      <c r="C89" s="210"/>
      <c r="D89" s="210"/>
      <c r="E89" s="210"/>
      <c r="F89" s="210"/>
      <c r="G89" s="210"/>
      <c r="H89" s="7"/>
      <c r="I89" s="7"/>
      <c r="J89" s="7"/>
      <c r="K89" s="7"/>
      <c r="L89" s="7"/>
      <c r="M89" s="7"/>
      <c r="N89" s="8"/>
    </row>
    <row r="90" spans="1:14" x14ac:dyDescent="0.25">
      <c r="A90" s="98" t="s">
        <v>32</v>
      </c>
      <c r="B90" s="96">
        <v>12</v>
      </c>
      <c r="C90" s="97">
        <v>24</v>
      </c>
      <c r="D90" s="97">
        <v>36</v>
      </c>
      <c r="E90" s="97">
        <v>48</v>
      </c>
      <c r="F90" s="97">
        <v>60</v>
      </c>
      <c r="G90" s="97">
        <v>72</v>
      </c>
      <c r="H90" s="7"/>
      <c r="I90" s="7"/>
      <c r="J90" s="7"/>
      <c r="K90" s="7"/>
      <c r="L90" s="7"/>
      <c r="M90" s="7"/>
      <c r="N90" s="8"/>
    </row>
    <row r="91" spans="1:14" x14ac:dyDescent="0.25">
      <c r="A91" s="99">
        <v>2017</v>
      </c>
      <c r="B91" s="100">
        <f>C33</f>
        <v>729</v>
      </c>
      <c r="C91" s="100">
        <f t="shared" ref="C91:G91" si="5">D33</f>
        <v>895</v>
      </c>
      <c r="D91" s="100">
        <f t="shared" si="5"/>
        <v>998</v>
      </c>
      <c r="E91" s="100">
        <f t="shared" si="5"/>
        <v>1082</v>
      </c>
      <c r="F91" s="100">
        <f t="shared" si="5"/>
        <v>1119</v>
      </c>
      <c r="G91" s="100">
        <f t="shared" si="5"/>
        <v>1122</v>
      </c>
      <c r="H91" s="7"/>
      <c r="I91" s="7"/>
      <c r="J91" s="7"/>
      <c r="K91" s="7"/>
      <c r="L91" s="7"/>
      <c r="M91" s="7"/>
      <c r="N91" s="8"/>
    </row>
    <row r="92" spans="1:14" x14ac:dyDescent="0.25">
      <c r="A92" s="101">
        <v>2018</v>
      </c>
      <c r="B92" s="100">
        <f t="shared" ref="B92:F92" si="6">C34</f>
        <v>727</v>
      </c>
      <c r="C92" s="100">
        <f t="shared" si="6"/>
        <v>900</v>
      </c>
      <c r="D92" s="100">
        <f t="shared" si="6"/>
        <v>1019</v>
      </c>
      <c r="E92" s="100">
        <f t="shared" si="6"/>
        <v>1089</v>
      </c>
      <c r="F92" s="100">
        <f t="shared" si="6"/>
        <v>1130</v>
      </c>
      <c r="G92" s="100"/>
      <c r="H92" s="7"/>
      <c r="I92" s="7"/>
      <c r="J92" s="7"/>
      <c r="K92" s="7"/>
      <c r="L92" s="7"/>
      <c r="M92" s="7"/>
      <c r="N92" s="8"/>
    </row>
    <row r="93" spans="1:14" x14ac:dyDescent="0.25">
      <c r="A93" s="102">
        <v>2019</v>
      </c>
      <c r="B93" s="103">
        <f>C35-D71+D78</f>
        <v>744</v>
      </c>
      <c r="C93" s="103">
        <f t="shared" ref="C93:E93" si="7">D35-E71+E78</f>
        <v>911</v>
      </c>
      <c r="D93" s="103">
        <f t="shared" si="7"/>
        <v>1022</v>
      </c>
      <c r="E93" s="103">
        <f t="shared" si="7"/>
        <v>1102</v>
      </c>
      <c r="F93" s="100"/>
      <c r="G93" s="100"/>
      <c r="H93" s="7"/>
      <c r="I93" s="7"/>
      <c r="J93" s="7"/>
      <c r="K93" s="7"/>
      <c r="L93" s="7"/>
      <c r="M93" s="7"/>
      <c r="N93" s="8"/>
    </row>
    <row r="94" spans="1:14" x14ac:dyDescent="0.25">
      <c r="A94" s="101">
        <v>2020</v>
      </c>
      <c r="B94" s="100">
        <f t="shared" ref="B94:C96" si="8">C36</f>
        <v>765</v>
      </c>
      <c r="C94" s="100">
        <f t="shared" si="8"/>
        <v>902</v>
      </c>
      <c r="D94" s="100">
        <f>E36</f>
        <v>1042</v>
      </c>
      <c r="E94" s="100"/>
      <c r="F94" s="100"/>
      <c r="G94" s="100"/>
      <c r="H94" s="7"/>
      <c r="I94" s="7"/>
      <c r="J94" s="7"/>
      <c r="K94" s="7"/>
      <c r="L94" s="7"/>
      <c r="M94" s="7"/>
      <c r="N94" s="8"/>
    </row>
    <row r="95" spans="1:14" x14ac:dyDescent="0.25">
      <c r="A95" s="101">
        <v>2021</v>
      </c>
      <c r="B95" s="100">
        <f t="shared" si="8"/>
        <v>763</v>
      </c>
      <c r="C95" s="100">
        <f t="shared" si="8"/>
        <v>939</v>
      </c>
      <c r="D95" s="100"/>
      <c r="E95" s="100"/>
      <c r="F95" s="100"/>
      <c r="G95" s="100"/>
      <c r="H95" s="7"/>
      <c r="I95" s="7"/>
      <c r="J95" s="7"/>
      <c r="K95" s="7"/>
      <c r="L95" s="7"/>
      <c r="M95" s="7"/>
      <c r="N95" s="8"/>
    </row>
    <row r="96" spans="1:14" x14ac:dyDescent="0.25">
      <c r="A96" s="101">
        <v>2022</v>
      </c>
      <c r="B96" s="100">
        <f t="shared" si="8"/>
        <v>767</v>
      </c>
      <c r="C96" s="100"/>
      <c r="D96" s="100"/>
      <c r="E96" s="100"/>
      <c r="F96" s="100"/>
      <c r="G96" s="100"/>
      <c r="H96" s="7"/>
      <c r="I96" s="7"/>
      <c r="J96" s="7"/>
      <c r="K96" s="7"/>
      <c r="L96" s="7"/>
      <c r="M96" s="7"/>
      <c r="N96" s="8"/>
    </row>
    <row r="97" spans="1:14" x14ac:dyDescent="0.25">
      <c r="A97" s="104"/>
      <c r="B97"/>
      <c r="M97" s="8"/>
      <c r="N97" s="8"/>
    </row>
    <row r="98" spans="1:14" x14ac:dyDescent="0.25">
      <c r="A98" s="1" t="s">
        <v>260</v>
      </c>
      <c r="B98"/>
      <c r="C98"/>
      <c r="M98" s="8"/>
      <c r="N98" s="8"/>
    </row>
    <row r="99" spans="1:14" x14ac:dyDescent="0.25">
      <c r="M99" s="8"/>
      <c r="N99" s="8"/>
    </row>
    <row r="100" spans="1:14" x14ac:dyDescent="0.25">
      <c r="A100" s="3"/>
      <c r="B100" s="3"/>
      <c r="C100" s="3"/>
      <c r="D100" s="3"/>
      <c r="E100" s="3"/>
      <c r="F100" s="3"/>
      <c r="G100" s="4"/>
      <c r="H100" s="4"/>
      <c r="I100" s="4"/>
      <c r="J100" s="4"/>
      <c r="K100" s="4"/>
      <c r="L100" s="4"/>
      <c r="M100" s="8"/>
      <c r="N100" s="8"/>
    </row>
    <row r="101" spans="1:14" x14ac:dyDescent="0.25">
      <c r="A101" s="9" t="s">
        <v>47</v>
      </c>
      <c r="B101" s="9"/>
      <c r="C101" s="9"/>
      <c r="D101" s="9"/>
      <c r="E101" s="9"/>
      <c r="F101" s="3"/>
      <c r="G101" s="4"/>
      <c r="H101" s="4"/>
      <c r="I101" s="4"/>
      <c r="J101" s="4"/>
      <c r="K101" s="4"/>
      <c r="L101" s="4"/>
      <c r="M101" s="8"/>
      <c r="N101" s="8"/>
    </row>
    <row r="102" spans="1:14" x14ac:dyDescent="0.25">
      <c r="A102" s="9"/>
      <c r="B102" s="26">
        <v>15700</v>
      </c>
      <c r="C102" s="9" t="s">
        <v>48</v>
      </c>
      <c r="D102" s="9"/>
      <c r="E102" s="9"/>
      <c r="F102" s="3"/>
      <c r="G102" s="4"/>
      <c r="H102" s="4"/>
      <c r="I102" s="4"/>
      <c r="J102" s="4"/>
      <c r="K102" s="4"/>
      <c r="L102" s="4"/>
      <c r="M102" s="8"/>
      <c r="N102" s="8"/>
    </row>
    <row r="103" spans="1:14" x14ac:dyDescent="0.25">
      <c r="A103" s="9"/>
      <c r="B103" s="26">
        <v>-8500</v>
      </c>
      <c r="C103" s="9" t="s">
        <v>49</v>
      </c>
      <c r="D103" s="9"/>
      <c r="E103" s="9"/>
      <c r="F103" s="3"/>
      <c r="G103" s="4"/>
      <c r="H103" s="4"/>
      <c r="I103" s="4"/>
      <c r="J103" s="4"/>
      <c r="K103" s="4"/>
      <c r="L103" s="4"/>
      <c r="M103" s="8"/>
      <c r="N103" s="8"/>
    </row>
    <row r="104" spans="1:14" x14ac:dyDescent="0.25">
      <c r="A104" s="9"/>
      <c r="B104" s="9"/>
      <c r="C104" s="9"/>
      <c r="D104" s="9"/>
      <c r="E104" s="9"/>
      <c r="F104" s="3"/>
      <c r="G104" s="4"/>
      <c r="H104" s="4"/>
      <c r="I104" s="4"/>
      <c r="J104" s="4"/>
      <c r="K104" s="4"/>
      <c r="L104" s="4"/>
      <c r="M104" s="8"/>
      <c r="N104" s="8"/>
    </row>
    <row r="106" spans="1:14" x14ac:dyDescent="0.25">
      <c r="A106" s="6" t="s">
        <v>2</v>
      </c>
      <c r="B106" s="9" t="s">
        <v>50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4" x14ac:dyDescent="0.25">
      <c r="A107" s="3"/>
      <c r="B107" s="3"/>
      <c r="C107" s="3"/>
      <c r="D107" s="3"/>
      <c r="E107" s="3"/>
      <c r="F107" s="3"/>
      <c r="G107" s="4"/>
      <c r="H107" s="4"/>
      <c r="I107" s="4"/>
      <c r="J107" s="4"/>
      <c r="K107" s="4"/>
      <c r="L107" s="4"/>
    </row>
    <row r="108" spans="1:14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1:14" x14ac:dyDescent="0.25">
      <c r="A109" s="7" t="s">
        <v>1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0" spans="1:14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pans="1:14" x14ac:dyDescent="0.25">
      <c r="A111" s="7" t="s">
        <v>259</v>
      </c>
      <c r="B111" s="7"/>
      <c r="C111" s="7"/>
      <c r="D111" s="7"/>
      <c r="E111" s="91">
        <f>SUM(B102:B103)</f>
        <v>7200</v>
      </c>
      <c r="F111" s="7"/>
    </row>
    <row r="112" spans="1:14" x14ac:dyDescent="0.25">
      <c r="A112" s="7"/>
      <c r="B112" s="7"/>
      <c r="C112" s="7"/>
      <c r="D112" s="7"/>
      <c r="E112" s="7"/>
      <c r="F112" s="7"/>
    </row>
    <row r="113" spans="1:6" x14ac:dyDescent="0.25">
      <c r="A113" s="7" t="s">
        <v>256</v>
      </c>
      <c r="B113" s="7"/>
      <c r="C113" s="7"/>
      <c r="D113" s="7"/>
      <c r="E113" s="91">
        <f>B87+C86+D85+E84+F83+G82</f>
        <v>24537400</v>
      </c>
      <c r="F113" s="7"/>
    </row>
    <row r="114" spans="1:6" x14ac:dyDescent="0.25">
      <c r="A114" s="7" t="s">
        <v>257</v>
      </c>
      <c r="B114" s="7"/>
      <c r="C114" s="7"/>
      <c r="D114" s="7"/>
      <c r="E114" s="91">
        <f>B86+C85+D84+E83+F82</f>
        <v>18787247</v>
      </c>
      <c r="F114" s="7"/>
    </row>
    <row r="115" spans="1:6" x14ac:dyDescent="0.25">
      <c r="A115" s="7" t="s">
        <v>258</v>
      </c>
      <c r="B115" s="7"/>
      <c r="C115" s="7"/>
      <c r="D115" s="7"/>
      <c r="E115" s="91">
        <f>E113-E114+E111</f>
        <v>5757353</v>
      </c>
      <c r="F115" s="7"/>
    </row>
  </sheetData>
  <mergeCells count="16">
    <mergeCell ref="B80:G80"/>
    <mergeCell ref="B89:G89"/>
    <mergeCell ref="C13:H13"/>
    <mergeCell ref="C22:H22"/>
    <mergeCell ref="C31:H31"/>
    <mergeCell ref="C40:H40"/>
    <mergeCell ref="D51:E51"/>
    <mergeCell ref="F51:G51"/>
    <mergeCell ref="B51:C51"/>
    <mergeCell ref="B58:C58"/>
    <mergeCell ref="B52:C52"/>
    <mergeCell ref="B53:C53"/>
    <mergeCell ref="B54:C54"/>
    <mergeCell ref="B55:C55"/>
    <mergeCell ref="B56:C56"/>
    <mergeCell ref="B57:C5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D5AC-5DB4-4481-BB23-5973AEB4482E}">
  <dimension ref="A1:R70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9" width="11.7109375" style="1" customWidth="1"/>
    <col min="10" max="11" width="8.85546875" style="1"/>
    <col min="12" max="13" width="13.140625" style="1" customWidth="1"/>
    <col min="14" max="14" width="11.7109375" style="1" customWidth="1"/>
    <col min="15" max="16384" width="8.85546875" style="1"/>
  </cols>
  <sheetData>
    <row r="1" spans="1:12" ht="18.75" x14ac:dyDescent="0.3">
      <c r="A1" s="2" t="s">
        <v>51</v>
      </c>
      <c r="B1" s="4"/>
      <c r="C1" s="9" t="s">
        <v>10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35" t="s">
        <v>52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2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6" spans="1:12" x14ac:dyDescent="0.25">
      <c r="A6" s="5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8" spans="1:12" x14ac:dyDescent="0.25">
      <c r="A8" s="5" t="s">
        <v>28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10" spans="1:12" x14ac:dyDescent="0.25">
      <c r="A10" s="5" t="s">
        <v>53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2" spans="1:12" x14ac:dyDescent="0.25">
      <c r="A12" s="5" t="s">
        <v>54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4" spans="1:12" x14ac:dyDescent="0.25">
      <c r="A14" s="5" t="s">
        <v>55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</row>
    <row r="17" spans="1:12" x14ac:dyDescent="0.25">
      <c r="A17" s="35" t="s">
        <v>56</v>
      </c>
      <c r="B17" s="9"/>
      <c r="C17" s="9"/>
      <c r="D17" s="9"/>
      <c r="E17" s="9"/>
      <c r="F17" s="9"/>
      <c r="G17" s="9"/>
      <c r="H17" s="9"/>
      <c r="I17" s="9"/>
      <c r="J17" s="4"/>
      <c r="K17" s="4"/>
      <c r="L17" s="4"/>
    </row>
    <row r="18" spans="1:12" x14ac:dyDescent="0.25">
      <c r="A18" s="9"/>
      <c r="B18" s="9"/>
      <c r="C18" s="9"/>
      <c r="D18" s="9"/>
      <c r="E18" s="9"/>
      <c r="F18" s="9"/>
      <c r="G18" s="9"/>
      <c r="H18" s="9"/>
      <c r="I18" s="9"/>
      <c r="J18" s="4"/>
      <c r="K18" s="4"/>
      <c r="L18" s="4"/>
    </row>
    <row r="19" spans="1:12" x14ac:dyDescent="0.25">
      <c r="A19" s="9"/>
      <c r="B19" s="43" t="s">
        <v>30</v>
      </c>
      <c r="C19" s="215" t="s">
        <v>57</v>
      </c>
      <c r="D19" s="211"/>
      <c r="E19" s="211"/>
      <c r="F19" s="211"/>
      <c r="G19" s="211"/>
      <c r="H19" s="211"/>
      <c r="I19" s="211"/>
      <c r="J19" s="4"/>
      <c r="K19" s="4"/>
      <c r="L19" s="4"/>
    </row>
    <row r="20" spans="1:12" x14ac:dyDescent="0.25">
      <c r="A20" s="9"/>
      <c r="B20" s="44" t="s">
        <v>32</v>
      </c>
      <c r="C20" s="45">
        <v>12</v>
      </c>
      <c r="D20" s="32">
        <v>24</v>
      </c>
      <c r="E20" s="32">
        <v>36</v>
      </c>
      <c r="F20" s="32">
        <v>48</v>
      </c>
      <c r="G20" s="32">
        <v>60</v>
      </c>
      <c r="H20" s="32">
        <v>72</v>
      </c>
      <c r="I20" s="32">
        <v>84</v>
      </c>
      <c r="J20" s="4"/>
      <c r="K20" s="4"/>
      <c r="L20" s="4"/>
    </row>
    <row r="21" spans="1:12" x14ac:dyDescent="0.25">
      <c r="A21" s="9"/>
      <c r="B21" s="46">
        <v>2016</v>
      </c>
      <c r="C21" s="26">
        <v>380408</v>
      </c>
      <c r="D21" s="26">
        <v>889802</v>
      </c>
      <c r="E21" s="26">
        <v>1317812</v>
      </c>
      <c r="F21" s="26">
        <v>1721331</v>
      </c>
      <c r="G21" s="26">
        <v>2096297</v>
      </c>
      <c r="H21" s="26">
        <v>2375430</v>
      </c>
      <c r="I21" s="26">
        <v>2487315</v>
      </c>
      <c r="J21" s="4"/>
      <c r="K21" s="4"/>
      <c r="L21" s="4"/>
    </row>
    <row r="22" spans="1:12" x14ac:dyDescent="0.25">
      <c r="A22" s="9"/>
      <c r="B22" s="33">
        <v>2017</v>
      </c>
      <c r="C22" s="26">
        <v>450310</v>
      </c>
      <c r="D22" s="26">
        <v>869371</v>
      </c>
      <c r="E22" s="26">
        <v>1402540</v>
      </c>
      <c r="F22" s="26">
        <v>1868637</v>
      </c>
      <c r="G22" s="26">
        <v>2216571</v>
      </c>
      <c r="H22" s="26">
        <v>2507208</v>
      </c>
      <c r="I22" s="33"/>
      <c r="J22" s="4"/>
      <c r="K22" s="4"/>
      <c r="L22" s="4"/>
    </row>
    <row r="23" spans="1:12" x14ac:dyDescent="0.25">
      <c r="A23" s="9"/>
      <c r="B23" s="33">
        <v>2018</v>
      </c>
      <c r="C23" s="26">
        <v>348866</v>
      </c>
      <c r="D23" s="26">
        <v>965278</v>
      </c>
      <c r="E23" s="26">
        <v>1457682</v>
      </c>
      <c r="F23" s="26">
        <v>1919642</v>
      </c>
      <c r="G23" s="26">
        <v>2328436</v>
      </c>
      <c r="H23" s="33"/>
      <c r="I23" s="33"/>
      <c r="J23" s="4"/>
      <c r="K23" s="4"/>
      <c r="L23" s="4"/>
    </row>
    <row r="24" spans="1:12" x14ac:dyDescent="0.25">
      <c r="A24" s="9"/>
      <c r="B24" s="33">
        <v>2019</v>
      </c>
      <c r="C24" s="26">
        <v>367455</v>
      </c>
      <c r="D24" s="26">
        <v>1019276</v>
      </c>
      <c r="E24" s="26">
        <v>1546088</v>
      </c>
      <c r="F24" s="26">
        <v>2091115</v>
      </c>
      <c r="G24" s="33"/>
      <c r="H24" s="33"/>
      <c r="I24" s="33"/>
      <c r="J24" s="4"/>
      <c r="K24" s="4"/>
      <c r="L24" s="4"/>
    </row>
    <row r="25" spans="1:12" x14ac:dyDescent="0.25">
      <c r="A25" s="9"/>
      <c r="B25" s="33">
        <v>2020</v>
      </c>
      <c r="C25" s="26">
        <v>455227</v>
      </c>
      <c r="D25" s="26">
        <v>1033085</v>
      </c>
      <c r="E25" s="26">
        <v>1650625</v>
      </c>
      <c r="F25" s="33"/>
      <c r="G25" s="33"/>
      <c r="H25" s="33"/>
      <c r="I25" s="33"/>
      <c r="J25" s="4"/>
      <c r="K25" s="4"/>
      <c r="L25" s="4"/>
    </row>
    <row r="26" spans="1:12" x14ac:dyDescent="0.25">
      <c r="A26" s="9"/>
      <c r="B26" s="33">
        <v>2021</v>
      </c>
      <c r="C26" s="26">
        <v>516038</v>
      </c>
      <c r="D26" s="26">
        <v>1140537</v>
      </c>
      <c r="E26" s="33"/>
      <c r="F26" s="33"/>
      <c r="G26" s="33"/>
      <c r="H26" s="33"/>
      <c r="I26" s="33"/>
      <c r="J26" s="4"/>
      <c r="K26" s="4"/>
      <c r="L26" s="4"/>
    </row>
    <row r="27" spans="1:12" x14ac:dyDescent="0.25">
      <c r="A27" s="9"/>
      <c r="B27" s="33">
        <v>2022</v>
      </c>
      <c r="C27" s="26">
        <v>408139</v>
      </c>
      <c r="D27" s="33"/>
      <c r="E27" s="33"/>
      <c r="F27" s="33"/>
      <c r="G27" s="33"/>
      <c r="H27" s="33"/>
      <c r="I27" s="33"/>
      <c r="J27" s="4"/>
      <c r="K27" s="4"/>
      <c r="L27" s="4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  <c r="J28" s="4"/>
      <c r="K28" s="4"/>
      <c r="L28" s="4"/>
    </row>
    <row r="29" spans="1:12" ht="31.5" x14ac:dyDescent="0.25">
      <c r="A29" s="9"/>
      <c r="B29" s="36" t="s">
        <v>58</v>
      </c>
      <c r="C29" s="212" t="s">
        <v>59</v>
      </c>
      <c r="D29" s="212"/>
      <c r="E29" s="212"/>
      <c r="F29" s="9"/>
      <c r="G29" s="9"/>
      <c r="H29" s="9"/>
      <c r="I29" s="9"/>
      <c r="J29" s="4"/>
      <c r="K29" s="4"/>
      <c r="L29" s="4"/>
    </row>
    <row r="30" spans="1:12" x14ac:dyDescent="0.25">
      <c r="A30" s="9"/>
      <c r="B30" s="33">
        <v>2016</v>
      </c>
      <c r="C30" s="214">
        <v>2513084</v>
      </c>
      <c r="D30" s="214"/>
      <c r="E30" s="214"/>
      <c r="F30" s="9"/>
      <c r="G30" s="9"/>
      <c r="H30" s="9"/>
      <c r="I30" s="9"/>
      <c r="J30" s="4"/>
      <c r="K30" s="4"/>
      <c r="L30" s="4"/>
    </row>
    <row r="31" spans="1:12" x14ac:dyDescent="0.25">
      <c r="A31" s="9"/>
      <c r="B31" s="33">
        <v>2017</v>
      </c>
      <c r="C31" s="214">
        <v>2665698</v>
      </c>
      <c r="D31" s="214"/>
      <c r="E31" s="214"/>
      <c r="F31" s="9"/>
      <c r="G31" s="9"/>
      <c r="H31" s="9"/>
      <c r="I31" s="9"/>
      <c r="J31" s="4"/>
      <c r="K31" s="4"/>
      <c r="L31" s="4"/>
    </row>
    <row r="32" spans="1:12" x14ac:dyDescent="0.25">
      <c r="A32" s="9"/>
      <c r="B32" s="33">
        <v>2018</v>
      </c>
      <c r="C32" s="214">
        <v>2809772</v>
      </c>
      <c r="D32" s="214"/>
      <c r="E32" s="214"/>
      <c r="F32" s="9"/>
      <c r="G32" s="9"/>
      <c r="H32" s="9"/>
      <c r="I32" s="9"/>
      <c r="J32" s="4"/>
      <c r="K32" s="4"/>
      <c r="L32" s="4"/>
    </row>
    <row r="33" spans="1:18" x14ac:dyDescent="0.25">
      <c r="A33" s="9"/>
      <c r="B33" s="33">
        <v>2019</v>
      </c>
      <c r="C33" s="214">
        <v>3033731</v>
      </c>
      <c r="D33" s="214"/>
      <c r="E33" s="214"/>
      <c r="F33" s="9"/>
      <c r="G33" s="9"/>
      <c r="H33" s="9"/>
      <c r="I33" s="9"/>
      <c r="J33" s="4"/>
      <c r="K33" s="4"/>
      <c r="L33" s="4"/>
    </row>
    <row r="34" spans="1:18" x14ac:dyDescent="0.25">
      <c r="A34" s="9"/>
      <c r="B34" s="33">
        <v>2020</v>
      </c>
      <c r="C34" s="214">
        <v>3200828</v>
      </c>
      <c r="D34" s="214"/>
      <c r="E34" s="214"/>
      <c r="F34" s="9"/>
      <c r="G34" s="9"/>
      <c r="H34" s="9"/>
      <c r="I34" s="9"/>
      <c r="J34" s="4"/>
      <c r="K34" s="4"/>
      <c r="L34" s="4"/>
    </row>
    <row r="35" spans="1:18" x14ac:dyDescent="0.25">
      <c r="A35" s="9"/>
      <c r="B35" s="33">
        <v>2021</v>
      </c>
      <c r="C35" s="214">
        <v>3372842</v>
      </c>
      <c r="D35" s="214"/>
      <c r="E35" s="214"/>
      <c r="F35" s="9"/>
      <c r="G35" s="9"/>
      <c r="H35" s="9"/>
      <c r="I35" s="9"/>
      <c r="J35" s="4"/>
      <c r="K35" s="4"/>
      <c r="L35" s="4"/>
    </row>
    <row r="36" spans="1:18" x14ac:dyDescent="0.25">
      <c r="A36" s="9"/>
      <c r="B36" s="33">
        <v>2022</v>
      </c>
      <c r="C36" s="214">
        <v>3500773</v>
      </c>
      <c r="D36" s="214"/>
      <c r="E36" s="214"/>
      <c r="F36" s="9"/>
      <c r="G36" s="9"/>
      <c r="H36" s="9"/>
      <c r="I36" s="9"/>
      <c r="J36" s="4"/>
      <c r="K36" s="4"/>
      <c r="L36" s="4"/>
    </row>
    <row r="37" spans="1:18" x14ac:dyDescent="0.25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</row>
    <row r="38" spans="1:18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8" x14ac:dyDescent="0.25">
      <c r="A39" s="6" t="s">
        <v>6</v>
      </c>
      <c r="B39" s="9" t="s">
        <v>193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8"/>
      <c r="N39" s="8"/>
      <c r="O39" s="8"/>
      <c r="P39" s="8"/>
      <c r="Q39" s="8"/>
      <c r="R39" s="8"/>
    </row>
    <row r="40" spans="1:18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8" x14ac:dyDescent="0.25">
      <c r="A41" s="7" t="s">
        <v>1</v>
      </c>
      <c r="B41" s="7"/>
      <c r="C41" s="91"/>
      <c r="D41" s="7"/>
      <c r="E41" s="7"/>
      <c r="F41" s="7"/>
      <c r="G41" s="7"/>
      <c r="H41" s="7"/>
      <c r="I41" s="7"/>
      <c r="J41" s="7"/>
      <c r="K41" s="7"/>
      <c r="L41" s="7"/>
      <c r="M41" s="7"/>
      <c r="N41" s="8"/>
    </row>
    <row r="42" spans="1:18" x14ac:dyDescent="0.25">
      <c r="B42" s="93"/>
      <c r="C42" s="105" t="s">
        <v>261</v>
      </c>
      <c r="D42" s="106"/>
      <c r="E42" s="106"/>
      <c r="F42" s="106"/>
      <c r="G42" s="106"/>
      <c r="H42" s="106"/>
      <c r="J42" s="7"/>
      <c r="K42" s="7"/>
      <c r="L42" s="7"/>
      <c r="M42" s="7"/>
      <c r="N42" s="8"/>
    </row>
    <row r="43" spans="1:18" x14ac:dyDescent="0.25">
      <c r="B43" s="75" t="s">
        <v>249</v>
      </c>
      <c r="C43" s="107" t="s">
        <v>262</v>
      </c>
      <c r="D43" s="107" t="s">
        <v>263</v>
      </c>
      <c r="E43" s="107" t="s">
        <v>264</v>
      </c>
      <c r="F43" s="107" t="s">
        <v>265</v>
      </c>
      <c r="G43" s="107" t="s">
        <v>266</v>
      </c>
      <c r="H43" s="107" t="s">
        <v>267</v>
      </c>
      <c r="I43" s="107" t="str">
        <f>I20&amp;"-ult"</f>
        <v>84-ult</v>
      </c>
      <c r="M43" s="8"/>
      <c r="N43" s="8"/>
    </row>
    <row r="44" spans="1:18" x14ac:dyDescent="0.25">
      <c r="B44" s="93">
        <v>2016</v>
      </c>
      <c r="C44" s="108">
        <f t="shared" ref="C44:H44" si="0">D21/C21</f>
        <v>2.3390727850097788</v>
      </c>
      <c r="D44" s="108">
        <f t="shared" si="0"/>
        <v>1.4810171251581812</v>
      </c>
      <c r="E44" s="108">
        <f t="shared" si="0"/>
        <v>1.3062037680640335</v>
      </c>
      <c r="F44" s="108">
        <f t="shared" si="0"/>
        <v>1.2178349196058167</v>
      </c>
      <c r="G44" s="108">
        <f t="shared" si="0"/>
        <v>1.1331552733224348</v>
      </c>
      <c r="H44" s="108">
        <f t="shared" si="0"/>
        <v>1.0471009459339993</v>
      </c>
      <c r="M44" s="8"/>
      <c r="N44" s="8"/>
    </row>
    <row r="45" spans="1:18" x14ac:dyDescent="0.25">
      <c r="B45" s="93">
        <v>2017</v>
      </c>
      <c r="C45" s="108">
        <f>D22/C22</f>
        <v>1.9306055828207236</v>
      </c>
      <c r="D45" s="108">
        <f>E22/D22</f>
        <v>1.6132813263842478</v>
      </c>
      <c r="E45" s="108">
        <f>F22/E22</f>
        <v>1.3323234987950432</v>
      </c>
      <c r="F45" s="108">
        <f>G22/F22</f>
        <v>1.1861966770432137</v>
      </c>
      <c r="G45" s="108">
        <f>H22/G22</f>
        <v>1.1311200949574816</v>
      </c>
      <c r="H45" s="108"/>
      <c r="M45" s="8"/>
      <c r="N45" s="8"/>
    </row>
    <row r="46" spans="1:18" x14ac:dyDescent="0.25">
      <c r="B46" s="93">
        <v>2018</v>
      </c>
      <c r="C46" s="108">
        <f>D23/C23</f>
        <v>2.7669019050294383</v>
      </c>
      <c r="D46" s="108">
        <f>E23/D23</f>
        <v>1.5101162566638833</v>
      </c>
      <c r="E46" s="108">
        <f>F23/E23</f>
        <v>1.3169141143267187</v>
      </c>
      <c r="F46" s="108">
        <f>G23/F23</f>
        <v>1.2129532485744738</v>
      </c>
      <c r="G46" s="108"/>
      <c r="H46" s="108"/>
      <c r="M46" s="8"/>
      <c r="N46" s="8"/>
    </row>
    <row r="47" spans="1:18" x14ac:dyDescent="0.25">
      <c r="B47" s="93">
        <v>2019</v>
      </c>
      <c r="C47" s="108">
        <f>D24/C24</f>
        <v>2.773879794804806</v>
      </c>
      <c r="D47" s="108">
        <f>E24/D24</f>
        <v>1.516849214540517</v>
      </c>
      <c r="E47" s="108">
        <f>F24/E24</f>
        <v>1.3525200376692659</v>
      </c>
      <c r="F47" s="108"/>
      <c r="G47" s="108"/>
      <c r="H47" s="108"/>
      <c r="M47" s="8"/>
      <c r="N47" s="8"/>
    </row>
    <row r="48" spans="1:18" x14ac:dyDescent="0.25">
      <c r="B48" s="93">
        <v>2020</v>
      </c>
      <c r="C48" s="108">
        <f>D25/C25</f>
        <v>2.2693842852027668</v>
      </c>
      <c r="D48" s="108">
        <f>E25/D25</f>
        <v>1.5977630107880765</v>
      </c>
      <c r="E48" s="108"/>
      <c r="F48" s="108"/>
      <c r="G48" s="108"/>
      <c r="H48" s="108"/>
      <c r="M48" s="8"/>
      <c r="N48" s="8"/>
    </row>
    <row r="49" spans="2:14" x14ac:dyDescent="0.25">
      <c r="B49" s="93">
        <v>2021</v>
      </c>
      <c r="C49" s="108">
        <f>D26/C26</f>
        <v>2.2101802580430125</v>
      </c>
      <c r="D49" s="108"/>
      <c r="E49" s="108"/>
      <c r="F49" s="108"/>
      <c r="G49" s="108"/>
      <c r="H49" s="108"/>
      <c r="M49" s="8"/>
      <c r="N49" s="8"/>
    </row>
    <row r="50" spans="2:14" x14ac:dyDescent="0.25">
      <c r="B50" s="75">
        <v>2022</v>
      </c>
      <c r="C50" s="109"/>
      <c r="D50" s="110"/>
      <c r="E50" s="110"/>
      <c r="F50" s="110"/>
      <c r="G50" s="110"/>
      <c r="H50" s="110"/>
      <c r="M50" s="8"/>
      <c r="N50" s="8"/>
    </row>
    <row r="51" spans="2:14" x14ac:dyDescent="0.25">
      <c r="B51" s="93" t="s">
        <v>268</v>
      </c>
      <c r="C51" s="111">
        <f>AVERAGE(C47:C49)</f>
        <v>2.417814779350195</v>
      </c>
      <c r="D51" s="111">
        <f>AVERAGE(D46:D48)</f>
        <v>1.5415761606641591</v>
      </c>
      <c r="E51" s="111">
        <f>AVERAGE(E45:E47)</f>
        <v>1.3339192169303427</v>
      </c>
      <c r="F51" s="111">
        <f>AVERAGE(F44:F46)</f>
        <v>1.2056616150745014</v>
      </c>
      <c r="G51" s="111">
        <f>IF(0=COUNT(G43:G45),1,AVERAGE(G43:G45))</f>
        <v>1.1321376841399582</v>
      </c>
      <c r="H51" s="111">
        <f>IF(0=COUNT(H42:H44),1,AVERAGE(H42:H44))</f>
        <v>1.0471009459339993</v>
      </c>
      <c r="I51" s="111"/>
      <c r="K51" s="113" t="s">
        <v>275</v>
      </c>
      <c r="L51" s="108"/>
      <c r="M51" s="108"/>
      <c r="N51" s="108"/>
    </row>
    <row r="52" spans="2:14" x14ac:dyDescent="0.25">
      <c r="B52" s="108" t="s">
        <v>269</v>
      </c>
      <c r="C52" s="108">
        <f>AVERAGE(C44:C49)</f>
        <v>2.3816707684850877</v>
      </c>
      <c r="D52" s="108">
        <f t="shared" ref="D52:H52" si="1">AVERAGE(D44:D49)</f>
        <v>1.5438053867069812</v>
      </c>
      <c r="E52" s="108">
        <f t="shared" si="1"/>
        <v>1.3269903547137654</v>
      </c>
      <c r="F52" s="108">
        <f t="shared" si="1"/>
        <v>1.2056616150745014</v>
      </c>
      <c r="G52" s="108">
        <f t="shared" si="1"/>
        <v>1.1321376841399582</v>
      </c>
      <c r="H52" s="108">
        <f t="shared" si="1"/>
        <v>1.0471009459339993</v>
      </c>
      <c r="I52" s="108"/>
      <c r="K52" s="7"/>
      <c r="L52" s="108" t="s">
        <v>153</v>
      </c>
      <c r="M52" s="108" t="s">
        <v>33</v>
      </c>
    </row>
    <row r="53" spans="2:14" x14ac:dyDescent="0.25">
      <c r="B53" s="108" t="s">
        <v>270</v>
      </c>
      <c r="C53" s="108">
        <f>SUM(D24:D26)/SUM(C24:C26)</f>
        <v>2.3850379466953506</v>
      </c>
      <c r="D53" s="108">
        <f>SUM(E23:E25)/SUM(D23:D25)</f>
        <v>1.5423962243329967</v>
      </c>
      <c r="E53" s="108">
        <f>SUM(F22:F24)/SUM(E22:E24)</f>
        <v>1.3343123838313691</v>
      </c>
      <c r="F53" s="108">
        <f>SUM(G21:G23)/SUM(F21:F23)</f>
        <v>1.205403649260111</v>
      </c>
      <c r="G53" s="108">
        <f>SUM(H21:H22)/SUM(G21:G22)</f>
        <v>1.132109306382667</v>
      </c>
      <c r="H53" s="108">
        <f>SUM(I21)/SUM(H21)</f>
        <v>1.0471009459339993</v>
      </c>
      <c r="I53" s="108"/>
      <c r="K53" s="7"/>
      <c r="L53" s="108" t="s">
        <v>280</v>
      </c>
      <c r="M53" s="108" t="s">
        <v>281</v>
      </c>
      <c r="N53" s="108" t="s">
        <v>276</v>
      </c>
    </row>
    <row r="54" spans="2:14" x14ac:dyDescent="0.25">
      <c r="B54" s="108" t="s">
        <v>271</v>
      </c>
      <c r="C54" s="108">
        <f>SUM(D22:D26)/SUM(C22:C26)</f>
        <v>2.3516331009553317</v>
      </c>
      <c r="D54" s="108">
        <f>SUM(E21:E25)/SUM(D21:D25)</f>
        <v>1.5438637735795337</v>
      </c>
      <c r="E54" s="108">
        <f>SUM(F21:F24)/SUM(E21:E24)</f>
        <v>1.3278411955580263</v>
      </c>
      <c r="F54" s="108">
        <f>SUM(G21:G23)/SUM(F21:F23)</f>
        <v>1.205403649260111</v>
      </c>
      <c r="G54" s="108">
        <f>SUM(H21:H22)/SUM(G21:G22)</f>
        <v>1.132109306382667</v>
      </c>
      <c r="H54" s="108">
        <f>SUM(I21)/SUM(H21)</f>
        <v>1.0471009459339993</v>
      </c>
      <c r="I54" s="108"/>
      <c r="K54" s="79" t="s">
        <v>249</v>
      </c>
      <c r="L54" s="112" t="s">
        <v>175</v>
      </c>
      <c r="M54" s="112" t="s">
        <v>282</v>
      </c>
      <c r="N54" s="112" t="s">
        <v>277</v>
      </c>
    </row>
    <row r="55" spans="2:14" x14ac:dyDescent="0.25">
      <c r="B55" s="108" t="s">
        <v>272</v>
      </c>
      <c r="C55" s="108">
        <f>SUM(D21:D26)/SUM(C21:C26)</f>
        <v>2.3497357745530327</v>
      </c>
      <c r="D55" s="108">
        <f>SUM(E21:E25)/SUM(D21:D25)</f>
        <v>1.5438637735795337</v>
      </c>
      <c r="E55" s="108">
        <f>SUM(F21:F24)/SUM(E21:E24)</f>
        <v>1.3278411955580263</v>
      </c>
      <c r="F55" s="108">
        <f>SUM(G21:G23)/SUM(F21:F23)</f>
        <v>1.205403649260111</v>
      </c>
      <c r="G55" s="108">
        <f>SUM(H21:H22)/SUM(G21:G22)</f>
        <v>1.132109306382667</v>
      </c>
      <c r="H55" s="108">
        <f>SUM(I21)/SUM(H21)</f>
        <v>1.0471009459339993</v>
      </c>
      <c r="I55" s="108"/>
      <c r="K55" s="114">
        <v>2016</v>
      </c>
      <c r="L55" s="115">
        <f>C30</f>
        <v>2513084</v>
      </c>
      <c r="M55" s="115">
        <f>I21</f>
        <v>2487315</v>
      </c>
      <c r="N55" s="108">
        <f>L55/M55</f>
        <v>1.0103601674898435</v>
      </c>
    </row>
    <row r="56" spans="2:14" x14ac:dyDescent="0.25">
      <c r="B56" s="112"/>
      <c r="C56" s="112"/>
      <c r="D56" s="112"/>
      <c r="E56" s="112"/>
      <c r="F56" s="112"/>
      <c r="G56" s="112"/>
      <c r="H56" s="112"/>
      <c r="I56" s="112"/>
      <c r="K56" s="114">
        <v>2017</v>
      </c>
      <c r="L56" s="115">
        <f>C31</f>
        <v>2665698</v>
      </c>
      <c r="M56" s="115">
        <f>H22*H57</f>
        <v>2625299.8684532903</v>
      </c>
      <c r="N56" s="108">
        <f t="shared" ref="N56:N57" si="2">L56/M56</f>
        <v>1.0153880065405674</v>
      </c>
    </row>
    <row r="57" spans="2:14" x14ac:dyDescent="0.25">
      <c r="B57" s="93" t="s">
        <v>273</v>
      </c>
      <c r="C57" s="119">
        <f>C55</f>
        <v>2.3497357745530327</v>
      </c>
      <c r="D57" s="119">
        <f t="shared" ref="D57:H57" si="3">D55</f>
        <v>1.5438637735795337</v>
      </c>
      <c r="E57" s="119">
        <f t="shared" si="3"/>
        <v>1.3278411955580263</v>
      </c>
      <c r="F57" s="119">
        <f t="shared" si="3"/>
        <v>1.205403649260111</v>
      </c>
      <c r="G57" s="119">
        <f t="shared" si="3"/>
        <v>1.132109306382667</v>
      </c>
      <c r="H57" s="119">
        <f t="shared" si="3"/>
        <v>1.0471009459339993</v>
      </c>
      <c r="I57" s="108">
        <f>N58</f>
        <v>1.0145687269073107</v>
      </c>
      <c r="K57" s="79">
        <v>2018</v>
      </c>
      <c r="L57" s="116">
        <f>C32</f>
        <v>2809772</v>
      </c>
      <c r="M57" s="116">
        <f>G23*G57*H57</f>
        <v>2760204.2338977004</v>
      </c>
      <c r="N57" s="112">
        <f t="shared" si="2"/>
        <v>1.017958006691521</v>
      </c>
    </row>
    <row r="58" spans="2:14" x14ac:dyDescent="0.25">
      <c r="B58" s="108" t="s">
        <v>274</v>
      </c>
      <c r="C58" s="108">
        <f t="shared" ref="C58:G58" si="4">D58*C57</f>
        <v>6.9833696292682914</v>
      </c>
      <c r="D58" s="108">
        <f t="shared" si="4"/>
        <v>2.971980809457893</v>
      </c>
      <c r="E58" s="108">
        <f t="shared" si="4"/>
        <v>1.9250278815514861</v>
      </c>
      <c r="F58" s="108">
        <f t="shared" si="4"/>
        <v>1.449742550533305</v>
      </c>
      <c r="G58" s="108">
        <f t="shared" si="4"/>
        <v>1.2027029712604336</v>
      </c>
      <c r="H58" s="108">
        <f>I58*H57</f>
        <v>1.0623558736596985</v>
      </c>
      <c r="I58" s="108">
        <f>I57</f>
        <v>1.0145687269073107</v>
      </c>
      <c r="K58" s="108" t="s">
        <v>278</v>
      </c>
      <c r="L58" s="108"/>
      <c r="M58" s="108"/>
      <c r="N58" s="108">
        <f>AVERAGE(N55:N57)</f>
        <v>1.0145687269073107</v>
      </c>
    </row>
    <row r="59" spans="2:14" x14ac:dyDescent="0.25">
      <c r="B59" s="117" t="s">
        <v>283</v>
      </c>
      <c r="C59" s="108"/>
      <c r="D59" s="108"/>
      <c r="E59" s="108"/>
      <c r="F59" s="108"/>
      <c r="G59" s="108"/>
      <c r="H59" s="108"/>
      <c r="I59" s="108"/>
    </row>
    <row r="60" spans="2:14" x14ac:dyDescent="0.25">
      <c r="B60" s="108"/>
      <c r="C60" s="108"/>
      <c r="D60" s="108"/>
      <c r="E60" s="108"/>
      <c r="F60" s="108"/>
      <c r="G60" s="108"/>
      <c r="H60" s="108"/>
      <c r="I60" s="108"/>
    </row>
    <row r="61" spans="2:14" ht="15.6" customHeight="1" x14ac:dyDescent="0.25">
      <c r="C61" s="114"/>
      <c r="D61" s="114" t="s">
        <v>153</v>
      </c>
      <c r="E61" s="7"/>
      <c r="F61" s="7"/>
      <c r="G61" s="7"/>
      <c r="H61" s="7"/>
    </row>
    <row r="62" spans="2:14" x14ac:dyDescent="0.25">
      <c r="B62" s="79" t="s">
        <v>33</v>
      </c>
      <c r="C62" s="79" t="s">
        <v>279</v>
      </c>
      <c r="D62" s="79" t="str">
        <f>B62</f>
        <v>Paid Claims</v>
      </c>
    </row>
    <row r="63" spans="2:14" x14ac:dyDescent="0.25">
      <c r="B63" s="118">
        <f>I21</f>
        <v>2487315</v>
      </c>
      <c r="C63" s="119">
        <f>I58</f>
        <v>1.0145687269073107</v>
      </c>
      <c r="D63" s="118">
        <f>B63*C63</f>
        <v>2523552.0129674575</v>
      </c>
    </row>
    <row r="64" spans="2:14" x14ac:dyDescent="0.25">
      <c r="B64" s="120">
        <f>H22</f>
        <v>2507208</v>
      </c>
      <c r="C64" s="119">
        <f>H58</f>
        <v>1.0623558736596985</v>
      </c>
      <c r="D64" s="120">
        <f t="shared" ref="D64:D69" si="5">B64*C64</f>
        <v>2663547.1452865852</v>
      </c>
    </row>
    <row r="65" spans="2:4" x14ac:dyDescent="0.25">
      <c r="B65" s="120">
        <f>G23</f>
        <v>2328436</v>
      </c>
      <c r="C65" s="119">
        <f>G58</f>
        <v>1.2027029712604336</v>
      </c>
      <c r="D65" s="120">
        <f t="shared" si="5"/>
        <v>2800416.8955897591</v>
      </c>
    </row>
    <row r="66" spans="2:4" x14ac:dyDescent="0.25">
      <c r="B66" s="120">
        <f>F24</f>
        <v>2091115</v>
      </c>
      <c r="C66" s="119">
        <f>F58</f>
        <v>1.449742550533305</v>
      </c>
      <c r="D66" s="120">
        <f t="shared" si="5"/>
        <v>3031578.3935584524</v>
      </c>
    </row>
    <row r="67" spans="2:4" x14ac:dyDescent="0.25">
      <c r="B67" s="120">
        <f>E25</f>
        <v>1650625</v>
      </c>
      <c r="C67" s="119">
        <f>E58</f>
        <v>1.9250278815514861</v>
      </c>
      <c r="D67" s="120">
        <f t="shared" si="5"/>
        <v>3177499.1469859215</v>
      </c>
    </row>
    <row r="68" spans="2:4" x14ac:dyDescent="0.25">
      <c r="B68" s="120">
        <f>D26</f>
        <v>1140537</v>
      </c>
      <c r="C68" s="119">
        <f>D58</f>
        <v>2.971980809457893</v>
      </c>
      <c r="D68" s="120">
        <f t="shared" si="5"/>
        <v>3389654.0764766769</v>
      </c>
    </row>
    <row r="69" spans="2:4" x14ac:dyDescent="0.25">
      <c r="B69" s="121">
        <f>C27</f>
        <v>408139</v>
      </c>
      <c r="C69" s="122">
        <f>C58</f>
        <v>6.9833696292682914</v>
      </c>
      <c r="D69" s="121">
        <f t="shared" si="5"/>
        <v>2850185.497119931</v>
      </c>
    </row>
    <row r="70" spans="2:4" x14ac:dyDescent="0.25">
      <c r="B70" s="123">
        <f>SUM(B63:B69)</f>
        <v>12613375</v>
      </c>
      <c r="C70" s="114"/>
      <c r="D70" s="123">
        <f>SUM(D63:D69)</f>
        <v>20436433.167984784</v>
      </c>
    </row>
  </sheetData>
  <mergeCells count="9">
    <mergeCell ref="C34:E34"/>
    <mergeCell ref="C35:E35"/>
    <mergeCell ref="C36:E36"/>
    <mergeCell ref="C19:I19"/>
    <mergeCell ref="C29:E29"/>
    <mergeCell ref="C30:E30"/>
    <mergeCell ref="C31:E31"/>
    <mergeCell ref="C32:E32"/>
    <mergeCell ref="C33:E3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07BF0-3F59-40DC-8AF4-A2AB3A52D98B}">
  <dimension ref="A1:R46"/>
  <sheetViews>
    <sheetView zoomScaleNormal="100" workbookViewId="0"/>
  </sheetViews>
  <sheetFormatPr defaultColWidth="8.85546875" defaultRowHeight="15.75" x14ac:dyDescent="0.25"/>
  <cols>
    <col min="1" max="1" width="17" style="1" customWidth="1"/>
    <col min="2" max="3" width="15.7109375" style="1" customWidth="1"/>
    <col min="4" max="4" width="16.5703125" style="1" customWidth="1"/>
    <col min="5" max="7" width="15.7109375" style="1" customWidth="1"/>
    <col min="8" max="8" width="8.85546875" style="1" customWidth="1"/>
    <col min="9" max="16384" width="8.85546875" style="1"/>
  </cols>
  <sheetData>
    <row r="1" spans="1:18" ht="18.75" x14ac:dyDescent="0.3">
      <c r="A1" s="2" t="s">
        <v>60</v>
      </c>
      <c r="B1" s="4"/>
      <c r="C1" s="9" t="s">
        <v>8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35" t="s">
        <v>194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8" x14ac:dyDescent="0.25">
      <c r="A4" s="10"/>
      <c r="B4" s="4"/>
      <c r="C4" s="4"/>
      <c r="D4" s="4"/>
      <c r="E4" s="4"/>
      <c r="F4" s="4"/>
      <c r="G4" s="4"/>
      <c r="H4" s="9"/>
      <c r="I4" s="9"/>
      <c r="J4" s="9"/>
      <c r="K4" s="9"/>
      <c r="L4" s="9"/>
    </row>
    <row r="5" spans="1:18" ht="78.75" x14ac:dyDescent="0.25">
      <c r="A5" s="10"/>
      <c r="B5" s="48" t="s">
        <v>61</v>
      </c>
      <c r="C5" s="48" t="s">
        <v>62</v>
      </c>
      <c r="D5" s="48" t="s">
        <v>63</v>
      </c>
      <c r="E5" s="48" t="s">
        <v>64</v>
      </c>
      <c r="F5" s="48" t="s">
        <v>65</v>
      </c>
      <c r="G5" s="48" t="s">
        <v>66</v>
      </c>
      <c r="H5" s="9"/>
      <c r="I5" s="9"/>
      <c r="J5" s="9"/>
      <c r="K5" s="9"/>
      <c r="L5" s="9"/>
    </row>
    <row r="6" spans="1:18" x14ac:dyDescent="0.25">
      <c r="A6" s="10"/>
      <c r="B6" s="33">
        <v>2019</v>
      </c>
      <c r="C6" s="26">
        <v>8700</v>
      </c>
      <c r="D6" s="26">
        <v>7447430</v>
      </c>
      <c r="E6" s="26">
        <v>7377050</v>
      </c>
      <c r="F6" s="26">
        <v>670269</v>
      </c>
      <c r="G6" s="26">
        <v>243420</v>
      </c>
      <c r="H6" s="9"/>
      <c r="I6" s="9"/>
      <c r="J6" s="9"/>
      <c r="K6" s="9"/>
      <c r="L6" s="9"/>
    </row>
    <row r="7" spans="1:18" x14ac:dyDescent="0.25">
      <c r="A7" s="10"/>
      <c r="B7" s="33">
        <v>2020</v>
      </c>
      <c r="C7" s="26">
        <v>9150</v>
      </c>
      <c r="D7" s="26">
        <v>7895360</v>
      </c>
      <c r="E7" s="26">
        <v>7846640</v>
      </c>
      <c r="F7" s="26">
        <v>710582</v>
      </c>
      <c r="G7" s="26">
        <v>253065</v>
      </c>
      <c r="H7" s="9"/>
      <c r="I7" s="9"/>
      <c r="J7" s="9"/>
      <c r="K7" s="9"/>
      <c r="L7" s="9"/>
    </row>
    <row r="8" spans="1:18" x14ac:dyDescent="0.25">
      <c r="A8" s="10"/>
      <c r="B8" s="33">
        <v>2021</v>
      </c>
      <c r="C8" s="26">
        <v>9340</v>
      </c>
      <c r="D8" s="26">
        <v>8112390</v>
      </c>
      <c r="E8" s="26">
        <v>8090270</v>
      </c>
      <c r="F8" s="26">
        <v>730115</v>
      </c>
      <c r="G8" s="26">
        <v>260640</v>
      </c>
      <c r="H8" s="9"/>
      <c r="I8" s="9"/>
      <c r="J8" s="9"/>
      <c r="K8" s="9"/>
      <c r="L8" s="9"/>
    </row>
    <row r="9" spans="1:18" x14ac:dyDescent="0.25">
      <c r="A9" s="4"/>
      <c r="B9" s="33">
        <v>2022</v>
      </c>
      <c r="C9" s="26">
        <v>9240</v>
      </c>
      <c r="D9" s="26">
        <v>8097340</v>
      </c>
      <c r="E9" s="26">
        <v>8083570</v>
      </c>
      <c r="F9" s="26">
        <v>728761</v>
      </c>
      <c r="G9" s="26">
        <v>268436</v>
      </c>
      <c r="H9" s="9"/>
      <c r="I9" s="9"/>
      <c r="J9" s="9"/>
      <c r="K9" s="9"/>
      <c r="L9" s="9"/>
    </row>
    <row r="10" spans="1:18" x14ac:dyDescent="0.25">
      <c r="A10" s="4"/>
      <c r="B10" s="33" t="s">
        <v>67</v>
      </c>
      <c r="C10" s="26">
        <v>9120</v>
      </c>
      <c r="D10" s="26">
        <v>8050000</v>
      </c>
      <c r="E10" s="26">
        <v>8048900</v>
      </c>
      <c r="F10" s="26">
        <v>724500</v>
      </c>
      <c r="G10" s="26">
        <v>285000</v>
      </c>
      <c r="H10" s="9"/>
      <c r="I10" s="9"/>
      <c r="J10" s="9"/>
      <c r="K10" s="9"/>
      <c r="L10" s="9"/>
    </row>
    <row r="11" spans="1:18" x14ac:dyDescent="0.25">
      <c r="A11" s="10"/>
      <c r="B11" s="4"/>
      <c r="C11" s="4"/>
      <c r="D11" s="4"/>
      <c r="E11" s="4"/>
      <c r="F11" s="4"/>
      <c r="G11" s="4"/>
      <c r="H11" s="9"/>
      <c r="I11" s="9"/>
      <c r="J11" s="9"/>
      <c r="K11" s="9"/>
      <c r="L11" s="9"/>
    </row>
    <row r="12" spans="1:18" x14ac:dyDescent="0.25">
      <c r="A12" s="9"/>
      <c r="B12" s="24" t="s">
        <v>217</v>
      </c>
      <c r="C12" s="23"/>
      <c r="D12" s="47">
        <v>0.25</v>
      </c>
      <c r="E12" s="25" t="s">
        <v>218</v>
      </c>
      <c r="F12" s="9"/>
      <c r="G12" s="23"/>
      <c r="H12" s="9"/>
      <c r="I12" s="9"/>
      <c r="J12" s="9"/>
      <c r="K12" s="9"/>
      <c r="L12" s="9"/>
    </row>
    <row r="13" spans="1:18" x14ac:dyDescent="0.25">
      <c r="A13" s="9"/>
      <c r="B13" s="24" t="s">
        <v>216</v>
      </c>
      <c r="C13" s="9"/>
      <c r="D13" s="25"/>
      <c r="E13" s="49">
        <v>2500000</v>
      </c>
      <c r="F13" s="9" t="s">
        <v>195</v>
      </c>
      <c r="G13" s="9"/>
      <c r="H13" s="9"/>
      <c r="I13" s="9"/>
      <c r="J13" s="9"/>
      <c r="K13" s="9"/>
      <c r="L13" s="9"/>
    </row>
    <row r="14" spans="1:18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8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8" x14ac:dyDescent="0.25">
      <c r="A16" s="6" t="s">
        <v>4</v>
      </c>
      <c r="B16" s="25" t="s">
        <v>68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8"/>
      <c r="N16" s="8"/>
      <c r="O16" s="8"/>
      <c r="P16" s="8"/>
      <c r="Q16" s="8"/>
      <c r="R16" s="8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4" x14ac:dyDescent="0.25">
      <c r="A18" s="7" t="s">
        <v>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8"/>
    </row>
    <row r="19" spans="1:14" x14ac:dyDescent="0.25">
      <c r="A19" s="7"/>
      <c r="B19" s="130" t="s">
        <v>66</v>
      </c>
      <c r="C19" s="130"/>
      <c r="D19" s="7"/>
      <c r="E19" s="7"/>
      <c r="F19" s="7"/>
      <c r="G19" s="7"/>
      <c r="H19" s="7"/>
      <c r="I19" s="7"/>
      <c r="J19" s="7"/>
      <c r="K19" s="7"/>
      <c r="M19" s="8"/>
      <c r="N19" s="8"/>
    </row>
    <row r="20" spans="1:14" ht="47.25" x14ac:dyDescent="0.25">
      <c r="A20" s="80" t="s">
        <v>61</v>
      </c>
      <c r="B20" s="80" t="s">
        <v>284</v>
      </c>
      <c r="C20" s="80" t="s">
        <v>285</v>
      </c>
      <c r="D20" s="80" t="s">
        <v>286</v>
      </c>
      <c r="E20" s="80" t="s">
        <v>287</v>
      </c>
      <c r="F20" s="7"/>
      <c r="G20" s="7"/>
      <c r="H20" s="7"/>
      <c r="I20" s="7"/>
      <c r="J20" s="7"/>
      <c r="K20" s="7"/>
      <c r="M20" s="8"/>
      <c r="N20" s="8"/>
    </row>
    <row r="21" spans="1:14" x14ac:dyDescent="0.25">
      <c r="A21" s="93">
        <f>B6</f>
        <v>2019</v>
      </c>
      <c r="B21" s="78">
        <f>ROUND(G6*(1-$D$12),0)</f>
        <v>182565</v>
      </c>
      <c r="C21" s="124">
        <f>B21/E6</f>
        <v>2.474769725025586E-2</v>
      </c>
      <c r="D21" s="124">
        <f>F6/D6</f>
        <v>9.0000040282352436E-2</v>
      </c>
      <c r="E21" s="124"/>
      <c r="M21" s="8"/>
      <c r="N21" s="8"/>
    </row>
    <row r="22" spans="1:14" x14ac:dyDescent="0.25">
      <c r="A22" s="93">
        <f t="shared" ref="A22:A25" si="0">B7</f>
        <v>2020</v>
      </c>
      <c r="B22" s="78">
        <f>ROUND(G7*(1-$D$12),0)</f>
        <v>189799</v>
      </c>
      <c r="C22" s="124">
        <f>B22/E7</f>
        <v>2.4188569884689499E-2</v>
      </c>
      <c r="D22" s="124">
        <f t="shared" ref="D22:D25" si="1">F7/D7</f>
        <v>8.9999949337332311E-2</v>
      </c>
      <c r="E22" s="124"/>
      <c r="M22" s="8"/>
      <c r="N22" s="8"/>
    </row>
    <row r="23" spans="1:14" x14ac:dyDescent="0.25">
      <c r="A23" s="93">
        <f t="shared" si="0"/>
        <v>2021</v>
      </c>
      <c r="B23" s="78">
        <f>ROUND(G8*(1-$D$12),0)</f>
        <v>195480</v>
      </c>
      <c r="C23" s="124">
        <f>B23/E8</f>
        <v>2.4162357992996524E-2</v>
      </c>
      <c r="D23" s="124">
        <f t="shared" si="1"/>
        <v>8.9999987673176463E-2</v>
      </c>
      <c r="E23" s="124"/>
      <c r="M23" s="8"/>
      <c r="N23" s="8"/>
    </row>
    <row r="24" spans="1:14" x14ac:dyDescent="0.25">
      <c r="A24" s="93">
        <f t="shared" si="0"/>
        <v>2022</v>
      </c>
      <c r="B24" s="78">
        <f>ROUND(G9*(1-$D$12),0)</f>
        <v>201327</v>
      </c>
      <c r="C24" s="124">
        <f>B24/E9</f>
        <v>2.4905703791765273E-2</v>
      </c>
      <c r="D24" s="124">
        <f t="shared" si="1"/>
        <v>9.0000049398938423E-2</v>
      </c>
      <c r="E24" s="124"/>
      <c r="M24" s="8"/>
      <c r="N24" s="8"/>
    </row>
    <row r="25" spans="1:14" x14ac:dyDescent="0.25">
      <c r="A25" s="93" t="str">
        <f t="shared" si="0"/>
        <v>2023 Budget</v>
      </c>
      <c r="B25" s="78">
        <f>ROUND(G10*(1-$D$12),0)</f>
        <v>213750</v>
      </c>
      <c r="C25" s="124">
        <f>B25/E10</f>
        <v>2.655642385916088E-2</v>
      </c>
      <c r="D25" s="124">
        <f t="shared" si="1"/>
        <v>0.09</v>
      </c>
      <c r="E25" s="124"/>
      <c r="M25" s="8"/>
      <c r="N25" s="8"/>
    </row>
    <row r="26" spans="1:14" x14ac:dyDescent="0.25">
      <c r="A26" s="93"/>
      <c r="B26" s="78"/>
      <c r="C26" s="124"/>
      <c r="D26" s="125"/>
      <c r="E26" s="124"/>
      <c r="M26" s="8"/>
      <c r="N26" s="8"/>
    </row>
    <row r="27" spans="1:14" x14ac:dyDescent="0.25">
      <c r="A27" s="93" t="s">
        <v>288</v>
      </c>
      <c r="B27" s="78"/>
      <c r="C27" s="124">
        <f>C25</f>
        <v>2.655642385916088E-2</v>
      </c>
      <c r="D27" s="124">
        <f>D25</f>
        <v>0.09</v>
      </c>
      <c r="E27" s="124">
        <f t="shared" ref="E27" si="2">C27+D27</f>
        <v>0.11655642385916087</v>
      </c>
      <c r="M27" s="8"/>
      <c r="N27" s="8"/>
    </row>
    <row r="28" spans="1:14" x14ac:dyDescent="0.25">
      <c r="A28" s="1" t="s">
        <v>453</v>
      </c>
      <c r="B28" s="78"/>
      <c r="D28" s="124"/>
      <c r="E28" s="124"/>
      <c r="M28" s="8"/>
      <c r="N28" s="8"/>
    </row>
    <row r="30" spans="1:14" x14ac:dyDescent="0.25">
      <c r="A30" s="6" t="s">
        <v>5</v>
      </c>
      <c r="B30" s="9" t="s">
        <v>69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4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4" x14ac:dyDescent="0.25">
      <c r="A32" s="7" t="s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3" ht="47.25" x14ac:dyDescent="0.25">
      <c r="A33" s="129" t="s">
        <v>61</v>
      </c>
      <c r="B33" s="129" t="s">
        <v>289</v>
      </c>
      <c r="C33" s="129" t="s">
        <v>290</v>
      </c>
    </row>
    <row r="34" spans="1:3" x14ac:dyDescent="0.25">
      <c r="A34" s="93">
        <f>A21</f>
        <v>2019</v>
      </c>
      <c r="B34" s="78">
        <f>G6*$D$12</f>
        <v>60855</v>
      </c>
      <c r="C34" s="126">
        <f>B34/C6</f>
        <v>6.9948275862068963</v>
      </c>
    </row>
    <row r="35" spans="1:3" x14ac:dyDescent="0.25">
      <c r="A35" s="93">
        <f>A22</f>
        <v>2020</v>
      </c>
      <c r="B35" s="78">
        <f>G7*$D$12</f>
        <v>63266.25</v>
      </c>
      <c r="C35" s="126">
        <f>B35/C7</f>
        <v>6.9143442622950824</v>
      </c>
    </row>
    <row r="36" spans="1:3" x14ac:dyDescent="0.25">
      <c r="A36" s="93">
        <f>A23</f>
        <v>2021</v>
      </c>
      <c r="B36" s="78">
        <f>G8*$D$12</f>
        <v>65160</v>
      </c>
      <c r="C36" s="126">
        <f>B36/C8</f>
        <v>6.9764453961456105</v>
      </c>
    </row>
    <row r="37" spans="1:3" x14ac:dyDescent="0.25">
      <c r="A37" s="93">
        <f>A24</f>
        <v>2022</v>
      </c>
      <c r="B37" s="78">
        <f>G9*$D$12</f>
        <v>67109</v>
      </c>
      <c r="C37" s="126">
        <f>B37/C9</f>
        <v>7.2628787878787877</v>
      </c>
    </row>
    <row r="38" spans="1:3" x14ac:dyDescent="0.25">
      <c r="A38" s="93" t="str">
        <f>A25</f>
        <v>2023 Budget</v>
      </c>
      <c r="B38" s="78">
        <f>G10*$D$12</f>
        <v>71250</v>
      </c>
      <c r="C38" s="126">
        <f>B38/C10</f>
        <v>7.8125</v>
      </c>
    </row>
    <row r="40" spans="1:3" x14ac:dyDescent="0.25">
      <c r="B40" s="127" t="s">
        <v>291</v>
      </c>
      <c r="C40" s="128">
        <f>C38</f>
        <v>7.8125</v>
      </c>
    </row>
    <row r="42" spans="1:3" x14ac:dyDescent="0.25">
      <c r="A42" s="1" t="s">
        <v>294</v>
      </c>
      <c r="C42" s="126">
        <f>E13/C10/4</f>
        <v>68.530701754385959</v>
      </c>
    </row>
    <row r="43" spans="1:3" x14ac:dyDescent="0.25">
      <c r="A43" s="72" t="s">
        <v>293</v>
      </c>
    </row>
    <row r="44" spans="1:3" x14ac:dyDescent="0.25">
      <c r="A44" s="1" t="s">
        <v>453</v>
      </c>
    </row>
    <row r="46" spans="1:3" x14ac:dyDescent="0.25">
      <c r="A46" s="1" t="s">
        <v>292</v>
      </c>
      <c r="C46" s="128">
        <f>C40+C42</f>
        <v>76.343201754385959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AED84-75FD-4C28-B0CF-2558F647AEC2}">
  <dimension ref="A1:R128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4" width="15.28515625" style="1" customWidth="1"/>
    <col min="5" max="7" width="13.28515625" style="1" customWidth="1"/>
    <col min="8" max="8" width="13.85546875" style="1" customWidth="1"/>
    <col min="9" max="11" width="12.7109375" style="1" customWidth="1"/>
    <col min="12" max="16384" width="8.85546875" style="1"/>
  </cols>
  <sheetData>
    <row r="1" spans="1:12" ht="18.75" x14ac:dyDescent="0.3">
      <c r="A1" s="2" t="s">
        <v>70</v>
      </c>
      <c r="B1" s="4"/>
      <c r="C1" s="9" t="s">
        <v>71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35" t="s">
        <v>72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2" x14ac:dyDescent="0.25">
      <c r="A4" s="10"/>
      <c r="B4" s="4"/>
      <c r="C4" s="4"/>
      <c r="D4" s="4"/>
      <c r="E4" s="4"/>
      <c r="F4" s="4"/>
      <c r="G4" s="4"/>
      <c r="H4" s="9"/>
      <c r="I4" s="9"/>
      <c r="J4" s="9"/>
      <c r="K4" s="9"/>
      <c r="L4" s="9"/>
    </row>
    <row r="5" spans="1:12" x14ac:dyDescent="0.25">
      <c r="A5" s="10"/>
      <c r="B5" s="52"/>
      <c r="C5" s="53"/>
      <c r="D5" s="215" t="s">
        <v>74</v>
      </c>
      <c r="E5" s="211"/>
      <c r="F5" s="211"/>
      <c r="G5" s="211"/>
      <c r="H5" s="9"/>
      <c r="I5" s="9"/>
      <c r="J5" s="9"/>
      <c r="K5" s="9"/>
      <c r="L5" s="9"/>
    </row>
    <row r="6" spans="1:12" x14ac:dyDescent="0.25">
      <c r="A6" s="10"/>
      <c r="B6" s="217" t="s">
        <v>73</v>
      </c>
      <c r="C6" s="218"/>
      <c r="D6" s="51">
        <v>500000</v>
      </c>
      <c r="E6" s="50">
        <v>1000000</v>
      </c>
      <c r="F6" s="50">
        <v>1500000</v>
      </c>
      <c r="G6" s="50">
        <v>2000000</v>
      </c>
      <c r="H6" s="9"/>
      <c r="I6" s="9"/>
      <c r="J6" s="9"/>
      <c r="K6" s="9"/>
      <c r="L6" s="9"/>
    </row>
    <row r="7" spans="1:12" x14ac:dyDescent="0.25">
      <c r="A7" s="10"/>
      <c r="B7" s="216">
        <v>2015</v>
      </c>
      <c r="C7" s="216"/>
      <c r="D7" s="26">
        <v>7553</v>
      </c>
      <c r="E7" s="26">
        <v>5440</v>
      </c>
      <c r="F7" s="26">
        <v>4200</v>
      </c>
      <c r="G7" s="26">
        <v>2460</v>
      </c>
      <c r="H7" s="9"/>
      <c r="I7" s="9"/>
      <c r="J7" s="9"/>
      <c r="K7" s="9"/>
      <c r="L7" s="9"/>
    </row>
    <row r="8" spans="1:12" x14ac:dyDescent="0.25">
      <c r="A8" s="10"/>
      <c r="B8" s="216">
        <v>2016</v>
      </c>
      <c r="C8" s="216"/>
      <c r="D8" s="26">
        <v>7504</v>
      </c>
      <c r="E8" s="26">
        <v>5511</v>
      </c>
      <c r="F8" s="26">
        <v>4320</v>
      </c>
      <c r="G8" s="26">
        <v>2574</v>
      </c>
      <c r="H8" s="9"/>
      <c r="I8" s="9"/>
      <c r="J8" s="9"/>
      <c r="K8" s="9"/>
      <c r="L8" s="9"/>
    </row>
    <row r="9" spans="1:12" x14ac:dyDescent="0.25">
      <c r="A9" s="4"/>
      <c r="B9" s="216">
        <v>2017</v>
      </c>
      <c r="C9" s="216"/>
      <c r="D9" s="26">
        <v>7297</v>
      </c>
      <c r="E9" s="26">
        <v>5573</v>
      </c>
      <c r="F9" s="26">
        <v>4410</v>
      </c>
      <c r="G9" s="26">
        <v>2673</v>
      </c>
      <c r="H9" s="9"/>
      <c r="I9" s="9"/>
      <c r="J9" s="9"/>
      <c r="K9" s="9"/>
      <c r="L9" s="9"/>
    </row>
    <row r="10" spans="1:12" x14ac:dyDescent="0.25">
      <c r="A10" s="4"/>
      <c r="B10" s="216">
        <v>2018</v>
      </c>
      <c r="C10" s="216"/>
      <c r="D10" s="26">
        <v>7218</v>
      </c>
      <c r="E10" s="26">
        <v>5536</v>
      </c>
      <c r="F10" s="26">
        <v>4501</v>
      </c>
      <c r="G10" s="26">
        <v>2806</v>
      </c>
      <c r="H10" s="9"/>
      <c r="I10" s="9"/>
      <c r="J10" s="9"/>
      <c r="K10" s="9"/>
      <c r="L10" s="9"/>
    </row>
    <row r="11" spans="1:12" x14ac:dyDescent="0.25">
      <c r="A11" s="10"/>
      <c r="B11" s="216">
        <v>2019</v>
      </c>
      <c r="C11" s="216"/>
      <c r="D11" s="26">
        <v>7091</v>
      </c>
      <c r="E11" s="26">
        <v>5546</v>
      </c>
      <c r="F11" s="26">
        <v>4549</v>
      </c>
      <c r="G11" s="26">
        <v>2978</v>
      </c>
      <c r="H11" s="9"/>
      <c r="I11" s="9"/>
      <c r="J11" s="9"/>
      <c r="K11" s="9"/>
      <c r="L11" s="9"/>
    </row>
    <row r="12" spans="1:12" x14ac:dyDescent="0.25">
      <c r="A12" s="4"/>
      <c r="B12" s="216">
        <v>2020</v>
      </c>
      <c r="C12" s="216"/>
      <c r="D12" s="26">
        <v>7011</v>
      </c>
      <c r="E12" s="26">
        <v>5598</v>
      </c>
      <c r="F12" s="26">
        <v>4675</v>
      </c>
      <c r="G12" s="26">
        <v>3125</v>
      </c>
      <c r="H12" s="9"/>
      <c r="I12" s="9"/>
      <c r="J12" s="9"/>
      <c r="K12" s="9"/>
      <c r="L12" s="9"/>
    </row>
    <row r="13" spans="1:12" x14ac:dyDescent="0.25">
      <c r="A13" s="4"/>
      <c r="B13" s="216">
        <v>2021</v>
      </c>
      <c r="C13" s="216"/>
      <c r="D13" s="26">
        <v>6879</v>
      </c>
      <c r="E13" s="26">
        <v>5688</v>
      </c>
      <c r="F13" s="26">
        <v>4720</v>
      </c>
      <c r="G13" s="26">
        <v>3257</v>
      </c>
      <c r="H13" s="9"/>
      <c r="I13" s="9"/>
      <c r="J13" s="9"/>
      <c r="K13" s="9"/>
      <c r="L13" s="9"/>
    </row>
    <row r="14" spans="1:12" x14ac:dyDescent="0.25">
      <c r="A14" s="4"/>
      <c r="B14" s="216">
        <v>2022</v>
      </c>
      <c r="C14" s="216"/>
      <c r="D14" s="26">
        <v>6906</v>
      </c>
      <c r="E14" s="26">
        <v>5685</v>
      </c>
      <c r="F14" s="26">
        <v>4758</v>
      </c>
      <c r="G14" s="26">
        <v>3403</v>
      </c>
      <c r="H14" s="9"/>
      <c r="I14" s="9"/>
      <c r="J14" s="9"/>
      <c r="K14" s="9"/>
      <c r="L14" s="9"/>
    </row>
    <row r="15" spans="1:12" ht="31.15" customHeight="1" x14ac:dyDescent="0.25">
      <c r="A15" s="4"/>
      <c r="B15" s="213" t="s">
        <v>75</v>
      </c>
      <c r="C15" s="213"/>
      <c r="D15" s="55">
        <v>0.85</v>
      </c>
      <c r="E15" s="55">
        <v>1</v>
      </c>
      <c r="F15" s="55">
        <v>1.1299999999999999</v>
      </c>
      <c r="G15" s="55">
        <v>1.24</v>
      </c>
      <c r="H15" s="9"/>
      <c r="I15" s="9"/>
      <c r="J15" s="9"/>
      <c r="K15" s="9"/>
      <c r="L15" s="9"/>
    </row>
    <row r="16" spans="1:12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8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8" x14ac:dyDescent="0.25">
      <c r="A18" s="6" t="s">
        <v>4</v>
      </c>
      <c r="B18" s="9" t="s">
        <v>76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8"/>
      <c r="N18" s="8"/>
      <c r="O18" s="8"/>
      <c r="P18" s="8"/>
      <c r="Q18" s="8"/>
      <c r="R18" s="8"/>
    </row>
    <row r="19" spans="1:18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8" x14ac:dyDescent="0.25">
      <c r="A20" s="7" t="s">
        <v>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</row>
    <row r="21" spans="1:18" x14ac:dyDescent="0.25">
      <c r="A21" s="7"/>
      <c r="B21" s="93"/>
      <c r="C21" s="93" t="s">
        <v>295</v>
      </c>
      <c r="D21" s="93" t="s">
        <v>298</v>
      </c>
      <c r="E21" s="7"/>
      <c r="F21" s="7"/>
      <c r="G21" s="7"/>
      <c r="H21" s="7"/>
      <c r="I21" s="7"/>
      <c r="J21" s="7"/>
      <c r="K21" s="7"/>
      <c r="L21" s="7"/>
      <c r="M21" s="7"/>
      <c r="N21" s="8"/>
    </row>
    <row r="22" spans="1:18" x14ac:dyDescent="0.25">
      <c r="A22" s="7"/>
      <c r="B22" s="93" t="s">
        <v>301</v>
      </c>
      <c r="C22" s="93" t="s">
        <v>278</v>
      </c>
      <c r="D22" s="93" t="s">
        <v>299</v>
      </c>
      <c r="E22" s="7"/>
      <c r="F22" s="7"/>
      <c r="G22" s="7"/>
      <c r="H22" s="7"/>
      <c r="I22" s="7"/>
      <c r="J22" s="7"/>
      <c r="K22" s="7"/>
      <c r="L22" s="7"/>
      <c r="M22" s="7"/>
      <c r="N22" s="8"/>
    </row>
    <row r="23" spans="1:18" x14ac:dyDescent="0.25">
      <c r="A23" s="7"/>
      <c r="B23" s="75" t="s">
        <v>302</v>
      </c>
      <c r="C23" s="75" t="s">
        <v>296</v>
      </c>
      <c r="D23" s="75" t="s">
        <v>300</v>
      </c>
      <c r="E23" s="7"/>
      <c r="F23" s="7"/>
      <c r="G23" s="7"/>
      <c r="H23" s="7"/>
      <c r="I23" s="7"/>
      <c r="J23" s="7"/>
      <c r="K23" s="7"/>
      <c r="L23" s="7"/>
      <c r="M23" s="7"/>
      <c r="N23" s="8"/>
    </row>
    <row r="24" spans="1:18" x14ac:dyDescent="0.25">
      <c r="A24" s="7"/>
      <c r="B24" s="93">
        <f>B7</f>
        <v>2015</v>
      </c>
      <c r="C24" s="131">
        <f t="shared" ref="C24:C31" si="0">SUMPRODUCT(D7:G7,$D$15:$G$15)/SUM(D7:G7)</f>
        <v>1.0001755457182111</v>
      </c>
      <c r="E24" s="7"/>
      <c r="F24" s="7"/>
      <c r="G24" s="7"/>
      <c r="H24" s="7"/>
      <c r="I24" s="7"/>
      <c r="J24" s="7"/>
      <c r="K24" s="7"/>
      <c r="L24" s="7"/>
      <c r="M24" s="7"/>
      <c r="N24" s="8"/>
    </row>
    <row r="25" spans="1:18" x14ac:dyDescent="0.25">
      <c r="A25" s="7"/>
      <c r="B25" s="93">
        <f t="shared" ref="B25:B31" si="1">B8</f>
        <v>2016</v>
      </c>
      <c r="C25" s="131">
        <f t="shared" si="0"/>
        <v>1.002700286302677</v>
      </c>
      <c r="D25" s="124">
        <f>C25/C24-1</f>
        <v>2.5242974548562724E-3</v>
      </c>
      <c r="E25" s="7"/>
      <c r="F25" s="7"/>
      <c r="G25" s="7"/>
      <c r="H25" s="7"/>
      <c r="I25" s="7"/>
      <c r="J25" s="7"/>
      <c r="K25" s="7"/>
      <c r="L25" s="7"/>
      <c r="M25" s="7"/>
      <c r="N25" s="8"/>
    </row>
    <row r="26" spans="1:18" x14ac:dyDescent="0.25">
      <c r="A26" s="7"/>
      <c r="B26" s="93">
        <f t="shared" si="1"/>
        <v>2017</v>
      </c>
      <c r="C26" s="131">
        <f t="shared" si="0"/>
        <v>1.00602766501278</v>
      </c>
      <c r="D26" s="124">
        <f t="shared" ref="D26:D31" si="2">C26/C25-1</f>
        <v>3.3184180313463596E-3</v>
      </c>
      <c r="E26" s="7"/>
      <c r="F26" s="7"/>
      <c r="G26" s="7"/>
      <c r="H26" s="7"/>
      <c r="I26" s="7"/>
      <c r="J26" s="7"/>
      <c r="K26" s="7"/>
      <c r="L26" s="7"/>
      <c r="M26" s="7"/>
      <c r="N26" s="8"/>
    </row>
    <row r="27" spans="1:18" x14ac:dyDescent="0.25">
      <c r="A27" s="7"/>
      <c r="B27" s="93">
        <f t="shared" si="1"/>
        <v>2018</v>
      </c>
      <c r="C27" s="131">
        <f t="shared" si="0"/>
        <v>1.0087667613777977</v>
      </c>
      <c r="D27" s="124">
        <f t="shared" si="2"/>
        <v>2.7226849323105373E-3</v>
      </c>
      <c r="E27" s="7"/>
      <c r="F27" s="7"/>
      <c r="G27" s="7"/>
      <c r="H27" s="7"/>
      <c r="I27" s="7"/>
      <c r="J27" s="7"/>
      <c r="K27" s="7"/>
      <c r="L27" s="7"/>
      <c r="M27" s="7"/>
      <c r="N27" s="8"/>
    </row>
    <row r="28" spans="1:18" x14ac:dyDescent="0.25">
      <c r="A28" s="7"/>
      <c r="B28" s="93">
        <f t="shared" si="1"/>
        <v>2019</v>
      </c>
      <c r="C28" s="131">
        <f t="shared" si="0"/>
        <v>1.0120234080539574</v>
      </c>
      <c r="D28" s="124">
        <f t="shared" si="2"/>
        <v>3.2283445498457741E-3</v>
      </c>
      <c r="E28" s="7"/>
      <c r="F28" s="7"/>
      <c r="G28" s="7"/>
      <c r="H28" s="7"/>
      <c r="I28" s="7"/>
      <c r="J28" s="7"/>
      <c r="K28" s="7"/>
      <c r="L28" s="7"/>
      <c r="M28" s="7"/>
      <c r="N28" s="8"/>
    </row>
    <row r="29" spans="1:18" x14ac:dyDescent="0.25">
      <c r="A29" s="7"/>
      <c r="B29" s="93">
        <f t="shared" si="1"/>
        <v>2020</v>
      </c>
      <c r="C29" s="131">
        <f t="shared" si="0"/>
        <v>1.0149982850703121</v>
      </c>
      <c r="D29" s="124">
        <f t="shared" si="2"/>
        <v>2.9395338019653217E-3</v>
      </c>
      <c r="E29" s="7"/>
      <c r="F29" s="7"/>
      <c r="G29" s="7"/>
      <c r="H29" s="7"/>
      <c r="I29" s="7"/>
      <c r="J29" s="7"/>
      <c r="K29" s="7"/>
      <c r="L29" s="7"/>
      <c r="M29" s="7"/>
      <c r="N29" s="8"/>
    </row>
    <row r="30" spans="1:18" x14ac:dyDescent="0.25">
      <c r="A30" s="7"/>
      <c r="B30" s="93">
        <f t="shared" si="1"/>
        <v>2021</v>
      </c>
      <c r="C30" s="131">
        <f t="shared" si="0"/>
        <v>1.0176903232087227</v>
      </c>
      <c r="D30" s="124">
        <f t="shared" si="2"/>
        <v>2.6522588047763751E-3</v>
      </c>
      <c r="E30" s="7"/>
      <c r="F30" s="7"/>
      <c r="G30" s="7"/>
      <c r="H30" s="7"/>
      <c r="I30" s="7"/>
      <c r="J30" s="7"/>
      <c r="K30" s="7"/>
      <c r="L30" s="7"/>
      <c r="M30" s="7"/>
      <c r="N30" s="8"/>
    </row>
    <row r="31" spans="1:18" x14ac:dyDescent="0.25">
      <c r="A31" s="7"/>
      <c r="B31" s="75">
        <f t="shared" si="1"/>
        <v>2022</v>
      </c>
      <c r="C31" s="132">
        <f t="shared" si="0"/>
        <v>1.0192444101773324</v>
      </c>
      <c r="D31" s="133">
        <f t="shared" si="2"/>
        <v>1.5270725614346947E-3</v>
      </c>
      <c r="E31" s="7"/>
      <c r="F31" s="7"/>
      <c r="G31" s="7"/>
      <c r="H31" s="7"/>
      <c r="I31" s="7"/>
      <c r="J31" s="7"/>
      <c r="K31" s="7"/>
      <c r="L31" s="7"/>
      <c r="M31" s="7"/>
      <c r="N31" s="8"/>
    </row>
    <row r="32" spans="1:18" x14ac:dyDescent="0.25">
      <c r="A32" s="7"/>
      <c r="B32" s="94" t="s">
        <v>297</v>
      </c>
      <c r="D32" s="134">
        <f>AVERAGE(D25:D31)</f>
        <v>2.7018014480764763E-3</v>
      </c>
      <c r="E32" s="7"/>
      <c r="F32" s="7"/>
      <c r="G32" s="7"/>
      <c r="H32" s="7"/>
      <c r="I32" s="7"/>
      <c r="J32" s="7"/>
      <c r="K32" s="7"/>
      <c r="L32" s="7"/>
      <c r="M32" s="7"/>
      <c r="N32" s="8"/>
    </row>
    <row r="33" spans="1:14" x14ac:dyDescent="0.25">
      <c r="A33" s="7"/>
      <c r="B33" s="94" t="s">
        <v>319</v>
      </c>
      <c r="D33" s="124">
        <f>AVERAGE(D25,D27,D28,D29,D30)</f>
        <v>2.813423908750856E-3</v>
      </c>
      <c r="E33" s="7"/>
      <c r="F33" s="7"/>
      <c r="G33" s="7"/>
      <c r="H33" s="7"/>
      <c r="I33" s="7"/>
      <c r="J33" s="7"/>
      <c r="K33" s="7"/>
      <c r="L33" s="7"/>
      <c r="M33" s="7"/>
      <c r="N33" s="8"/>
    </row>
    <row r="34" spans="1:14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8"/>
    </row>
    <row r="35" spans="1:14" x14ac:dyDescent="0.25">
      <c r="A35" s="7"/>
      <c r="B35" s="7" t="s">
        <v>320</v>
      </c>
      <c r="C35" s="7"/>
      <c r="D35" s="135">
        <v>2.8E-3</v>
      </c>
      <c r="E35" s="7"/>
      <c r="F35" s="7"/>
      <c r="G35" s="7"/>
      <c r="H35" s="7"/>
      <c r="I35" s="7"/>
      <c r="J35" s="7"/>
      <c r="K35" s="7"/>
      <c r="L35" s="7"/>
      <c r="M35" s="7"/>
      <c r="N35" s="8"/>
    </row>
    <row r="36" spans="1:14" x14ac:dyDescent="0.25">
      <c r="A36" s="7"/>
      <c r="B36" s="7" t="s">
        <v>321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8"/>
    </row>
    <row r="37" spans="1:14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8"/>
    </row>
    <row r="38" spans="1:14" x14ac:dyDescent="0.25">
      <c r="A38" s="7"/>
      <c r="B38" s="197" t="s">
        <v>444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8"/>
    </row>
    <row r="39" spans="1:14" x14ac:dyDescent="0.25">
      <c r="A39" s="7"/>
      <c r="B39" s="113" t="s">
        <v>454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8"/>
    </row>
    <row r="40" spans="1:14" x14ac:dyDescent="0.25">
      <c r="A40" s="7"/>
      <c r="B40" s="113" t="s">
        <v>448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8"/>
    </row>
    <row r="41" spans="1:14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8"/>
    </row>
    <row r="42" spans="1:14" x14ac:dyDescent="0.25">
      <c r="A42" s="7"/>
      <c r="B42" s="198"/>
      <c r="C42" s="198"/>
      <c r="D42" s="198" t="s">
        <v>446</v>
      </c>
      <c r="E42" s="7"/>
      <c r="F42" s="7"/>
      <c r="G42" s="7"/>
      <c r="H42" s="7"/>
      <c r="I42" s="7"/>
      <c r="J42" s="7"/>
      <c r="K42" s="7"/>
      <c r="L42" s="7"/>
      <c r="M42" s="7"/>
      <c r="N42" s="8"/>
    </row>
    <row r="43" spans="1:14" x14ac:dyDescent="0.25">
      <c r="A43" s="7"/>
      <c r="B43" s="198" t="s">
        <v>301</v>
      </c>
      <c r="C43" s="198" t="s">
        <v>295</v>
      </c>
      <c r="D43" s="198" t="s">
        <v>447</v>
      </c>
      <c r="E43" s="7"/>
      <c r="F43" s="7"/>
      <c r="G43" s="7"/>
      <c r="H43" s="7"/>
      <c r="I43" s="7"/>
      <c r="J43" s="7"/>
      <c r="K43" s="7"/>
      <c r="L43" s="7"/>
      <c r="M43" s="7"/>
      <c r="N43" s="8"/>
    </row>
    <row r="44" spans="1:14" x14ac:dyDescent="0.25">
      <c r="A44" s="7"/>
      <c r="B44" s="199" t="s">
        <v>302</v>
      </c>
      <c r="C44" s="199" t="s">
        <v>445</v>
      </c>
      <c r="D44" s="199" t="s">
        <v>445</v>
      </c>
      <c r="E44" s="7"/>
      <c r="F44" s="7"/>
      <c r="G44" s="7"/>
      <c r="H44" s="7"/>
      <c r="I44" s="7"/>
      <c r="J44" s="7"/>
      <c r="K44" s="7"/>
      <c r="L44" s="7"/>
      <c r="M44" s="7"/>
      <c r="N44" s="8"/>
    </row>
    <row r="45" spans="1:14" x14ac:dyDescent="0.25">
      <c r="A45" s="7"/>
      <c r="B45" s="198">
        <f t="shared" ref="B45:B52" si="3">B24</f>
        <v>2015</v>
      </c>
      <c r="C45" s="200">
        <f t="shared" ref="C45:C52" si="4">SUMPRODUCT(D7:G7,$D$15:$G$15)</f>
        <v>19656.45</v>
      </c>
      <c r="D45" s="186"/>
      <c r="E45" s="7"/>
      <c r="F45" s="7"/>
      <c r="G45" s="7"/>
      <c r="H45" s="7"/>
      <c r="I45" s="7"/>
      <c r="J45" s="7"/>
      <c r="K45" s="7"/>
      <c r="L45" s="7"/>
      <c r="M45" s="7"/>
      <c r="N45" s="8"/>
    </row>
    <row r="46" spans="1:14" x14ac:dyDescent="0.25">
      <c r="A46" s="7"/>
      <c r="B46" s="198">
        <f t="shared" si="3"/>
        <v>2016</v>
      </c>
      <c r="C46" s="200">
        <f t="shared" si="4"/>
        <v>19962.759999999998</v>
      </c>
      <c r="D46" s="201">
        <f>C46/C45-1</f>
        <v>1.5583180075751102E-2</v>
      </c>
      <c r="E46" s="7"/>
      <c r="F46" s="7"/>
      <c r="G46" s="7"/>
      <c r="H46" s="7"/>
      <c r="I46" s="7"/>
      <c r="J46" s="7"/>
      <c r="K46" s="7"/>
      <c r="L46" s="7"/>
      <c r="M46" s="7"/>
      <c r="N46" s="8"/>
    </row>
    <row r="47" spans="1:14" x14ac:dyDescent="0.25">
      <c r="A47" s="7"/>
      <c r="B47" s="198">
        <f t="shared" si="3"/>
        <v>2017</v>
      </c>
      <c r="C47" s="200">
        <f t="shared" si="4"/>
        <v>20073.27</v>
      </c>
      <c r="D47" s="201">
        <f t="shared" ref="D47:D52" si="5">C47/C46-1</f>
        <v>5.5358076738889483E-3</v>
      </c>
      <c r="E47" s="7"/>
      <c r="F47" s="7"/>
      <c r="G47" s="7"/>
      <c r="H47" s="7"/>
      <c r="I47" s="7"/>
      <c r="J47" s="7"/>
      <c r="K47" s="7"/>
      <c r="L47" s="7"/>
      <c r="M47" s="7"/>
      <c r="N47" s="8"/>
    </row>
    <row r="48" spans="1:14" x14ac:dyDescent="0.25">
      <c r="A48" s="7"/>
      <c r="B48" s="198">
        <f t="shared" si="3"/>
        <v>2018</v>
      </c>
      <c r="C48" s="200">
        <f t="shared" si="4"/>
        <v>20236.87</v>
      </c>
      <c r="D48" s="201">
        <f t="shared" si="5"/>
        <v>8.1501419549478982E-3</v>
      </c>
      <c r="E48" s="7"/>
      <c r="F48" s="7"/>
      <c r="G48" s="7"/>
      <c r="H48" s="7"/>
      <c r="I48" s="7"/>
      <c r="J48" s="7"/>
      <c r="K48" s="7"/>
      <c r="L48" s="7"/>
      <c r="M48" s="7"/>
      <c r="N48" s="8"/>
    </row>
    <row r="49" spans="1:14" x14ac:dyDescent="0.25">
      <c r="A49" s="7"/>
      <c r="B49" s="198">
        <f t="shared" si="3"/>
        <v>2019</v>
      </c>
      <c r="C49" s="200">
        <f t="shared" si="4"/>
        <v>20406.439999999999</v>
      </c>
      <c r="D49" s="201">
        <f t="shared" si="5"/>
        <v>8.3792602314487485E-3</v>
      </c>
      <c r="E49" s="7"/>
      <c r="F49" s="7"/>
      <c r="G49" s="7"/>
      <c r="H49" s="7"/>
      <c r="I49" s="7"/>
      <c r="J49" s="7"/>
      <c r="K49" s="7"/>
      <c r="L49" s="7"/>
      <c r="M49" s="7"/>
      <c r="N49" s="8"/>
    </row>
    <row r="50" spans="1:14" x14ac:dyDescent="0.25">
      <c r="A50" s="7"/>
      <c r="B50" s="198">
        <f t="shared" si="3"/>
        <v>2020</v>
      </c>
      <c r="C50" s="200">
        <f t="shared" si="4"/>
        <v>20715.099999999999</v>
      </c>
      <c r="D50" s="201">
        <f t="shared" si="5"/>
        <v>1.5125617207117026E-2</v>
      </c>
      <c r="E50" s="7"/>
      <c r="F50" s="7"/>
      <c r="G50" s="7"/>
      <c r="H50" s="7"/>
      <c r="I50" s="7"/>
      <c r="J50" s="7"/>
      <c r="K50" s="7"/>
      <c r="L50" s="7"/>
      <c r="M50" s="7"/>
      <c r="N50" s="8"/>
    </row>
    <row r="51" spans="1:14" x14ac:dyDescent="0.25">
      <c r="A51" s="7"/>
      <c r="B51" s="198">
        <f t="shared" si="3"/>
        <v>2021</v>
      </c>
      <c r="C51" s="200">
        <f t="shared" si="4"/>
        <v>20907.43</v>
      </c>
      <c r="D51" s="201">
        <f t="shared" si="5"/>
        <v>9.2845315735865519E-3</v>
      </c>
      <c r="E51" s="7"/>
      <c r="F51" s="7"/>
      <c r="G51" s="7"/>
      <c r="H51" s="7"/>
      <c r="I51" s="7"/>
      <c r="J51" s="7"/>
      <c r="K51" s="7"/>
      <c r="L51" s="7"/>
      <c r="M51" s="7"/>
      <c r="N51" s="8"/>
    </row>
    <row r="52" spans="1:14" x14ac:dyDescent="0.25">
      <c r="A52" s="7"/>
      <c r="B52" s="198">
        <f t="shared" si="3"/>
        <v>2022</v>
      </c>
      <c r="C52" s="200">
        <f t="shared" si="4"/>
        <v>21151.360000000001</v>
      </c>
      <c r="D52" s="202">
        <f t="shared" si="5"/>
        <v>1.1667144168365118E-2</v>
      </c>
      <c r="E52" s="7"/>
      <c r="F52" s="7"/>
      <c r="G52" s="7"/>
      <c r="H52" s="7"/>
      <c r="I52" s="7"/>
      <c r="J52" s="7"/>
      <c r="K52" s="7"/>
      <c r="L52" s="7"/>
      <c r="M52" s="7"/>
      <c r="N52" s="8"/>
    </row>
    <row r="53" spans="1:14" x14ac:dyDescent="0.25">
      <c r="M53" s="8"/>
      <c r="N53" s="8"/>
    </row>
    <row r="54" spans="1:14" x14ac:dyDescent="0.25">
      <c r="A54" s="3"/>
      <c r="B54" s="3"/>
      <c r="C54" s="3"/>
      <c r="D54" s="3"/>
      <c r="E54" s="3"/>
      <c r="F54" s="3"/>
      <c r="G54" s="4"/>
      <c r="H54" s="4"/>
      <c r="I54" s="4"/>
      <c r="J54" s="4"/>
      <c r="K54" s="4"/>
      <c r="L54" s="4"/>
      <c r="M54" s="8"/>
      <c r="N54" s="8"/>
    </row>
    <row r="55" spans="1:14" x14ac:dyDescent="0.25">
      <c r="A55" s="35" t="s">
        <v>77</v>
      </c>
      <c r="B55" s="9"/>
      <c r="C55" s="9"/>
      <c r="D55" s="9"/>
      <c r="E55" s="9"/>
      <c r="F55" s="9"/>
      <c r="G55" s="4"/>
      <c r="H55" s="4"/>
      <c r="I55" s="4"/>
      <c r="J55" s="4"/>
      <c r="K55" s="4"/>
      <c r="L55" s="4"/>
      <c r="M55" s="8"/>
      <c r="N55" s="8"/>
    </row>
    <row r="56" spans="1:14" x14ac:dyDescent="0.25">
      <c r="A56" s="9"/>
      <c r="B56" s="24" t="s">
        <v>78</v>
      </c>
      <c r="C56" s="9"/>
      <c r="D56" s="9"/>
      <c r="E56" s="9"/>
      <c r="F56" s="9"/>
      <c r="G56" s="4"/>
      <c r="H56" s="4"/>
      <c r="I56" s="4"/>
      <c r="J56" s="4"/>
      <c r="K56" s="4"/>
      <c r="L56" s="4"/>
      <c r="M56" s="8"/>
      <c r="N56" s="8"/>
    </row>
    <row r="57" spans="1:14" x14ac:dyDescent="0.25">
      <c r="A57" s="9"/>
      <c r="B57" s="24" t="s">
        <v>79</v>
      </c>
      <c r="C57" s="9"/>
      <c r="D57" s="9"/>
      <c r="E57" s="9"/>
      <c r="F57" s="9"/>
      <c r="G57" s="4"/>
      <c r="H57" s="4"/>
      <c r="I57" s="4"/>
      <c r="J57" s="4"/>
      <c r="K57" s="4"/>
      <c r="L57" s="4"/>
      <c r="M57" s="8"/>
      <c r="N57" s="8"/>
    </row>
    <row r="58" spans="1:14" x14ac:dyDescent="0.25">
      <c r="A58" s="9"/>
      <c r="B58" s="24" t="s">
        <v>80</v>
      </c>
      <c r="C58" s="9"/>
      <c r="D58" s="9"/>
      <c r="E58" s="9"/>
      <c r="F58" s="9"/>
      <c r="G58" s="4"/>
      <c r="H58" s="4"/>
      <c r="I58" s="4"/>
      <c r="J58" s="4"/>
      <c r="K58" s="4"/>
      <c r="L58" s="4"/>
      <c r="M58" s="8"/>
      <c r="N58" s="8"/>
    </row>
    <row r="59" spans="1:14" x14ac:dyDescent="0.25">
      <c r="A59" s="9"/>
      <c r="B59" s="24" t="s">
        <v>81</v>
      </c>
      <c r="C59" s="9"/>
      <c r="D59" s="9"/>
      <c r="E59" s="9"/>
      <c r="F59" s="9"/>
      <c r="G59" s="4"/>
      <c r="H59" s="4"/>
      <c r="I59" s="4"/>
      <c r="J59" s="4"/>
      <c r="K59" s="4"/>
      <c r="L59" s="4"/>
      <c r="M59" s="8"/>
      <c r="N59" s="8"/>
    </row>
    <row r="60" spans="1:14" x14ac:dyDescent="0.25">
      <c r="A60" s="9"/>
      <c r="B60" s="24" t="s">
        <v>88</v>
      </c>
      <c r="C60" s="9"/>
      <c r="D60" s="47">
        <v>0.75</v>
      </c>
      <c r="E60" s="25" t="s">
        <v>89</v>
      </c>
      <c r="F60" s="9"/>
      <c r="G60" s="4"/>
      <c r="H60" s="4"/>
      <c r="I60" s="47">
        <v>0.25</v>
      </c>
      <c r="J60" s="4"/>
      <c r="K60" s="4"/>
      <c r="L60" s="4"/>
      <c r="M60" s="8"/>
      <c r="N60" s="8"/>
    </row>
    <row r="61" spans="1:14" x14ac:dyDescent="0.25">
      <c r="A61" s="9"/>
      <c r="B61" s="24"/>
      <c r="C61" s="25" t="s">
        <v>90</v>
      </c>
      <c r="D61" s="9"/>
      <c r="E61" s="9"/>
      <c r="F61" s="9"/>
      <c r="G61" s="4"/>
      <c r="H61" s="4"/>
      <c r="I61" s="4"/>
      <c r="J61" s="4"/>
      <c r="K61" s="4"/>
      <c r="L61" s="4"/>
      <c r="M61" s="8"/>
      <c r="N61" s="8"/>
    </row>
    <row r="62" spans="1:14" x14ac:dyDescent="0.25">
      <c r="A62" s="9"/>
      <c r="B62" s="24" t="s">
        <v>91</v>
      </c>
      <c r="C62" s="9"/>
      <c r="D62" s="9"/>
      <c r="E62" s="9"/>
      <c r="F62" s="57">
        <v>-1E-3</v>
      </c>
      <c r="G62" s="4"/>
      <c r="H62" s="4"/>
      <c r="I62" s="4"/>
      <c r="J62" s="4"/>
      <c r="K62" s="4"/>
      <c r="L62" s="4"/>
      <c r="M62" s="8"/>
      <c r="N62" s="8"/>
    </row>
    <row r="63" spans="1:14" x14ac:dyDescent="0.25">
      <c r="A63" s="9"/>
      <c r="B63" s="24" t="s">
        <v>92</v>
      </c>
      <c r="C63" s="9"/>
      <c r="D63" s="9"/>
      <c r="E63" s="9"/>
      <c r="F63" s="47">
        <v>0.06</v>
      </c>
      <c r="G63" s="4"/>
      <c r="H63" s="4"/>
      <c r="I63" s="4"/>
      <c r="J63" s="4"/>
      <c r="K63" s="4"/>
      <c r="L63" s="4"/>
      <c r="M63" s="8"/>
      <c r="N63" s="8"/>
    </row>
    <row r="64" spans="1:14" x14ac:dyDescent="0.25">
      <c r="A64" s="9"/>
      <c r="B64" s="24" t="s">
        <v>93</v>
      </c>
      <c r="C64" s="9"/>
      <c r="D64" s="9"/>
      <c r="E64" s="9"/>
      <c r="F64" s="57">
        <v>-1.2E-2</v>
      </c>
      <c r="G64" s="4"/>
      <c r="H64" s="4"/>
      <c r="I64" s="4"/>
      <c r="J64" s="4"/>
      <c r="K64" s="4"/>
      <c r="L64" s="4"/>
      <c r="M64" s="8"/>
      <c r="N64" s="8"/>
    </row>
    <row r="65" spans="1:14" x14ac:dyDescent="0.25">
      <c r="A65" s="9"/>
      <c r="B65" s="24" t="s">
        <v>94</v>
      </c>
      <c r="C65" s="9"/>
      <c r="D65" s="9"/>
      <c r="E65" s="9"/>
      <c r="F65" s="47">
        <v>7.0000000000000007E-2</v>
      </c>
      <c r="G65" s="4"/>
      <c r="H65" s="4"/>
      <c r="I65" s="4"/>
      <c r="J65" s="4"/>
      <c r="K65" s="4"/>
      <c r="L65" s="4"/>
      <c r="M65" s="8"/>
      <c r="N65" s="8"/>
    </row>
    <row r="66" spans="1:14" x14ac:dyDescent="0.25">
      <c r="A66" s="9"/>
      <c r="B66" s="24" t="s">
        <v>95</v>
      </c>
      <c r="C66" s="9"/>
      <c r="D66" s="9"/>
      <c r="E66" s="9"/>
      <c r="F66" s="47">
        <v>0.05</v>
      </c>
      <c r="G66" s="4"/>
      <c r="H66" s="4"/>
      <c r="I66" s="4"/>
      <c r="J66" s="4"/>
      <c r="K66" s="4"/>
      <c r="L66" s="4"/>
      <c r="M66" s="8"/>
      <c r="N66" s="8"/>
    </row>
    <row r="67" spans="1:14" x14ac:dyDescent="0.25">
      <c r="A67" s="9"/>
      <c r="B67" s="24" t="s">
        <v>96</v>
      </c>
      <c r="C67" s="9"/>
      <c r="D67" s="9"/>
      <c r="E67" s="9"/>
      <c r="F67" s="47">
        <v>0.23</v>
      </c>
      <c r="G67" s="4"/>
      <c r="H67" s="4"/>
      <c r="I67" s="4"/>
      <c r="J67" s="4"/>
      <c r="K67" s="4"/>
      <c r="L67" s="4"/>
      <c r="M67" s="8"/>
      <c r="N67" s="8"/>
    </row>
    <row r="68" spans="1:14" x14ac:dyDescent="0.25">
      <c r="A68" s="9"/>
      <c r="B68" s="24" t="s">
        <v>97</v>
      </c>
      <c r="C68" s="9"/>
      <c r="D68" s="9"/>
      <c r="E68" s="9"/>
      <c r="F68" s="47">
        <v>0.04</v>
      </c>
      <c r="G68" s="4"/>
      <c r="H68" s="4"/>
      <c r="I68" s="4"/>
      <c r="J68" s="4"/>
      <c r="K68" s="4"/>
      <c r="L68" s="4"/>
      <c r="M68" s="8"/>
      <c r="N68" s="8"/>
    </row>
    <row r="69" spans="1:14" x14ac:dyDescent="0.25">
      <c r="A69" s="9"/>
      <c r="B69" s="9"/>
      <c r="C69" s="9"/>
      <c r="D69" s="9"/>
      <c r="E69" s="9"/>
      <c r="F69" s="9"/>
      <c r="G69" s="4"/>
      <c r="H69" s="4"/>
      <c r="I69" s="4"/>
      <c r="J69" s="4"/>
      <c r="K69" s="4"/>
      <c r="L69" s="4"/>
      <c r="M69" s="8"/>
      <c r="N69" s="8"/>
    </row>
    <row r="70" spans="1:14" ht="31.5" x14ac:dyDescent="0.25">
      <c r="A70" s="9"/>
      <c r="B70" s="56" t="s">
        <v>58</v>
      </c>
      <c r="C70" s="56" t="s">
        <v>82</v>
      </c>
      <c r="D70" s="48" t="s">
        <v>84</v>
      </c>
      <c r="E70" s="56" t="s">
        <v>83</v>
      </c>
      <c r="F70" s="9"/>
      <c r="G70" s="4"/>
      <c r="H70" s="4"/>
      <c r="I70" s="4"/>
      <c r="J70" s="4"/>
      <c r="K70" s="4"/>
      <c r="L70" s="4"/>
      <c r="M70" s="8"/>
      <c r="N70" s="8"/>
    </row>
    <row r="71" spans="1:14" x14ac:dyDescent="0.25">
      <c r="A71" s="9"/>
      <c r="B71" s="33">
        <v>2018</v>
      </c>
      <c r="C71" s="26">
        <v>15804847</v>
      </c>
      <c r="D71" s="38">
        <v>1.0640000000000001</v>
      </c>
      <c r="E71" s="26">
        <v>8703669</v>
      </c>
      <c r="F71" s="9"/>
      <c r="G71" s="4"/>
      <c r="H71" s="4"/>
      <c r="I71" s="4"/>
      <c r="J71" s="4"/>
      <c r="K71" s="4"/>
      <c r="L71" s="4"/>
      <c r="M71" s="8"/>
      <c r="N71" s="8"/>
    </row>
    <row r="72" spans="1:14" x14ac:dyDescent="0.25">
      <c r="A72" s="9"/>
      <c r="B72" s="33">
        <v>2019</v>
      </c>
      <c r="C72" s="26">
        <v>15333428</v>
      </c>
      <c r="D72" s="38">
        <v>1.1060000000000001</v>
      </c>
      <c r="E72" s="26">
        <v>9184011</v>
      </c>
      <c r="F72" s="9"/>
      <c r="G72" s="4"/>
      <c r="H72" s="4"/>
      <c r="I72" s="4"/>
      <c r="J72" s="4"/>
      <c r="K72" s="4"/>
      <c r="L72" s="4"/>
      <c r="M72" s="8"/>
      <c r="N72" s="8"/>
    </row>
    <row r="73" spans="1:14" x14ac:dyDescent="0.25">
      <c r="A73" s="9"/>
      <c r="B73" s="33">
        <v>2020</v>
      </c>
      <c r="C73" s="26">
        <v>15526085</v>
      </c>
      <c r="D73" s="38">
        <v>1.1040000000000001</v>
      </c>
      <c r="E73" s="26">
        <v>9602493</v>
      </c>
      <c r="F73" s="9"/>
      <c r="G73" s="4"/>
      <c r="H73" s="4"/>
      <c r="I73" s="4"/>
      <c r="J73" s="4"/>
      <c r="K73" s="4"/>
      <c r="L73" s="4"/>
      <c r="M73" s="8"/>
      <c r="N73" s="8"/>
    </row>
    <row r="74" spans="1:14" x14ac:dyDescent="0.25">
      <c r="A74" s="9"/>
      <c r="B74" s="33">
        <v>2021</v>
      </c>
      <c r="C74" s="26">
        <v>16625910</v>
      </c>
      <c r="D74" s="38">
        <v>1.0489999999999999</v>
      </c>
      <c r="E74" s="26">
        <v>10401614</v>
      </c>
      <c r="F74" s="9"/>
      <c r="G74" s="4"/>
      <c r="H74" s="4"/>
      <c r="I74" s="4"/>
      <c r="J74" s="4"/>
      <c r="K74" s="4"/>
      <c r="L74" s="4"/>
      <c r="M74" s="8"/>
      <c r="N74" s="8"/>
    </row>
    <row r="75" spans="1:14" x14ac:dyDescent="0.25">
      <c r="A75" s="9"/>
      <c r="B75" s="33">
        <v>2022</v>
      </c>
      <c r="C75" s="26">
        <v>17102494</v>
      </c>
      <c r="D75" s="38">
        <v>1.026</v>
      </c>
      <c r="E75" s="26">
        <v>11309041</v>
      </c>
      <c r="F75" s="9"/>
      <c r="G75" s="4"/>
      <c r="H75" s="4"/>
      <c r="I75" s="4"/>
      <c r="J75" s="4"/>
      <c r="K75" s="4"/>
      <c r="L75" s="4"/>
      <c r="M75" s="8"/>
      <c r="N75" s="8"/>
    </row>
    <row r="76" spans="1:14" x14ac:dyDescent="0.25">
      <c r="A76" s="3"/>
      <c r="B76" s="3"/>
      <c r="C76" s="3"/>
      <c r="D76" s="3"/>
      <c r="E76" s="3"/>
      <c r="F76" s="3"/>
      <c r="G76" s="4"/>
      <c r="H76" s="4"/>
      <c r="I76" s="4"/>
      <c r="J76" s="4"/>
      <c r="K76" s="4"/>
      <c r="L76" s="4"/>
      <c r="M76" s="8"/>
      <c r="N76" s="8"/>
    </row>
    <row r="78" spans="1:14" x14ac:dyDescent="0.25">
      <c r="A78" s="6" t="s">
        <v>5</v>
      </c>
      <c r="B78" s="9" t="s">
        <v>85</v>
      </c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4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4" x14ac:dyDescent="0.25">
      <c r="A80" s="7" t="s">
        <v>1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 x14ac:dyDescent="0.25">
      <c r="A82" s="7"/>
      <c r="B82" s="7" t="s">
        <v>315</v>
      </c>
      <c r="D82" s="7"/>
      <c r="E82" s="76">
        <f>DATE(B97,7,1)</f>
        <v>44743</v>
      </c>
      <c r="G82" s="7"/>
      <c r="H82" s="7"/>
      <c r="I82" s="7"/>
      <c r="J82" s="7"/>
      <c r="K82" s="7"/>
      <c r="L82" s="7"/>
    </row>
    <row r="83" spans="1:12" x14ac:dyDescent="0.25">
      <c r="A83" s="7"/>
      <c r="B83" s="7" t="s">
        <v>314</v>
      </c>
      <c r="D83" s="7"/>
      <c r="E83" s="76">
        <v>45170</v>
      </c>
      <c r="G83" s="7"/>
      <c r="H83" s="7"/>
      <c r="I83" s="7"/>
      <c r="J83" s="7"/>
      <c r="K83" s="7"/>
      <c r="L83" s="7"/>
    </row>
    <row r="84" spans="1:12" x14ac:dyDescent="0.25">
      <c r="A84" s="7"/>
      <c r="B84" s="7" t="s">
        <v>310</v>
      </c>
      <c r="C84" s="7"/>
      <c r="F84" s="196" t="s">
        <v>322</v>
      </c>
      <c r="G84" s="7"/>
      <c r="H84" s="7"/>
      <c r="I84" s="7"/>
      <c r="J84" s="7"/>
      <c r="K84" s="7"/>
      <c r="L84" s="7"/>
    </row>
    <row r="85" spans="1:12" x14ac:dyDescent="0.25">
      <c r="A85" s="7"/>
      <c r="B85" s="89" t="s">
        <v>311</v>
      </c>
      <c r="E85" s="76">
        <f>DATE(1+YEAR(E83),MONTH(E83),1)</f>
        <v>45536</v>
      </c>
      <c r="F85" s="114">
        <f>(12*YEAR(E85)+MONTH(E85))-(12*YEAR($E$82)+MONTH($E$82))</f>
        <v>26</v>
      </c>
      <c r="H85" s="7"/>
      <c r="I85" s="7"/>
      <c r="J85" s="7"/>
      <c r="K85" s="7"/>
      <c r="L85" s="7"/>
    </row>
    <row r="86" spans="1:12" x14ac:dyDescent="0.25">
      <c r="A86" s="7"/>
      <c r="B86" s="143" t="s">
        <v>312</v>
      </c>
      <c r="C86" s="92"/>
      <c r="D86" s="92"/>
      <c r="E86" s="145">
        <f>DATE((YEAR(E83)),(9+MONTH(E83)),1)</f>
        <v>45444</v>
      </c>
      <c r="F86" s="79">
        <f>(12*YEAR(E86)+MONTH(E86))-(12*YEAR($E$82)+MONTH($E$82))</f>
        <v>23</v>
      </c>
      <c r="H86" s="7"/>
      <c r="I86" s="7"/>
      <c r="J86" s="7"/>
      <c r="K86" s="7"/>
      <c r="L86" s="7"/>
    </row>
    <row r="87" spans="1:12" x14ac:dyDescent="0.25">
      <c r="A87" s="7"/>
      <c r="B87" s="7" t="s">
        <v>297</v>
      </c>
      <c r="D87" s="7"/>
      <c r="F87" s="114">
        <f>F85*D60+I60*F86</f>
        <v>25.25</v>
      </c>
      <c r="H87" s="7"/>
      <c r="I87" s="7"/>
      <c r="J87" s="7"/>
      <c r="K87" s="7"/>
      <c r="L87" s="7"/>
    </row>
    <row r="88" spans="1:12" x14ac:dyDescent="0.25">
      <c r="A88" s="7"/>
      <c r="C88" s="7"/>
      <c r="D88" s="7"/>
      <c r="F88" s="114"/>
      <c r="H88" s="7"/>
      <c r="I88" s="7"/>
      <c r="J88" s="7"/>
      <c r="K88" s="7"/>
      <c r="L88" s="7"/>
    </row>
    <row r="89" spans="1:12" x14ac:dyDescent="0.25">
      <c r="A89" s="7"/>
      <c r="B89" s="7" t="s">
        <v>324</v>
      </c>
      <c r="C89" s="90"/>
      <c r="D89" s="90"/>
      <c r="E89" s="90"/>
      <c r="F89" s="141">
        <f>(1+D35)*(1+F62)-1</f>
        <v>1.7971999999999433E-3</v>
      </c>
      <c r="H89" s="7"/>
      <c r="I89" s="7"/>
      <c r="J89" s="7"/>
      <c r="K89" s="7"/>
      <c r="L89" s="7"/>
    </row>
    <row r="90" spans="1:12" x14ac:dyDescent="0.25">
      <c r="A90" s="7"/>
      <c r="B90" s="7" t="s">
        <v>325</v>
      </c>
      <c r="C90" s="90"/>
      <c r="D90" s="7"/>
      <c r="E90" s="90"/>
      <c r="F90" s="141">
        <f>(1+F64)*(1+F63)-1</f>
        <v>4.7279999999999989E-2</v>
      </c>
      <c r="H90" s="7"/>
      <c r="I90" s="7"/>
      <c r="J90" s="7"/>
      <c r="K90" s="7"/>
      <c r="L90" s="7"/>
    </row>
    <row r="91" spans="1:12" x14ac:dyDescent="0.25">
      <c r="A91" s="7"/>
      <c r="C91" s="147"/>
      <c r="D91" s="147"/>
      <c r="E91" s="147"/>
      <c r="F91" s="148"/>
      <c r="G91" s="148"/>
      <c r="H91" s="147"/>
      <c r="I91" s="148"/>
      <c r="J91" s="148"/>
      <c r="K91" s="148"/>
      <c r="L91" s="7"/>
    </row>
    <row r="92" spans="1:12" ht="63" x14ac:dyDescent="0.25">
      <c r="B92" s="79" t="s">
        <v>58</v>
      </c>
      <c r="C92" s="80" t="s">
        <v>82</v>
      </c>
      <c r="D92" s="80" t="s">
        <v>303</v>
      </c>
      <c r="E92" s="80" t="s">
        <v>84</v>
      </c>
      <c r="F92" s="80" t="s">
        <v>304</v>
      </c>
      <c r="G92" s="80" t="s">
        <v>305</v>
      </c>
      <c r="H92" s="80" t="s">
        <v>83</v>
      </c>
      <c r="I92" s="80" t="s">
        <v>306</v>
      </c>
      <c r="J92" s="80" t="s">
        <v>307</v>
      </c>
      <c r="K92" s="80" t="s">
        <v>308</v>
      </c>
      <c r="L92" s="7"/>
    </row>
    <row r="93" spans="1:12" x14ac:dyDescent="0.25">
      <c r="B93" s="114">
        <f>B71</f>
        <v>2018</v>
      </c>
      <c r="C93" s="88">
        <f t="shared" ref="C93:C97" si="6">C71</f>
        <v>15804847</v>
      </c>
      <c r="D93" s="114">
        <f t="shared" ref="D93:D95" si="7">D94+12</f>
        <v>73.25</v>
      </c>
      <c r="E93" s="136">
        <f>D71</f>
        <v>1.0640000000000001</v>
      </c>
      <c r="F93" s="81">
        <f>(1+$F$89)^(D93/12)</f>
        <v>1.0110208491392527</v>
      </c>
      <c r="G93" s="88">
        <f>F93*E93*C93</f>
        <v>17001687.743861154</v>
      </c>
      <c r="H93" s="88">
        <f>E71</f>
        <v>8703669</v>
      </c>
      <c r="I93" s="81">
        <f>(1+$F$90)^(D93/12)</f>
        <v>1.3257655666335675</v>
      </c>
      <c r="J93" s="88">
        <f>I93*H93</f>
        <v>11539024.663576016</v>
      </c>
      <c r="K93" s="137">
        <f>J93/G93</f>
        <v>0.67869877611076834</v>
      </c>
      <c r="L93" s="7"/>
    </row>
    <row r="94" spans="1:12" x14ac:dyDescent="0.25">
      <c r="B94" s="114">
        <f t="shared" ref="B94" si="8">B72</f>
        <v>2019</v>
      </c>
      <c r="C94" s="88">
        <f t="shared" si="6"/>
        <v>15333428</v>
      </c>
      <c r="D94" s="114">
        <f t="shared" si="7"/>
        <v>61.25</v>
      </c>
      <c r="E94" s="136">
        <f>D72</f>
        <v>1.1060000000000001</v>
      </c>
      <c r="F94" s="81">
        <f>(1+$F$89)^(D94/12)</f>
        <v>1.0092071021352953</v>
      </c>
      <c r="G94" s="88">
        <f>F94*E94*C94</f>
        <v>17114912.508074299</v>
      </c>
      <c r="H94" s="88">
        <f>E72</f>
        <v>9184011</v>
      </c>
      <c r="I94" s="81">
        <f>(1+$F$90)^(D94/12)</f>
        <v>1.2659131909647539</v>
      </c>
      <c r="J94" s="88">
        <f>I94*H94</f>
        <v>11626160.6708654</v>
      </c>
      <c r="K94" s="137">
        <f>J94/G94</f>
        <v>0.6793000352984877</v>
      </c>
      <c r="L94" s="7"/>
    </row>
    <row r="95" spans="1:12" x14ac:dyDescent="0.25">
      <c r="B95" s="114">
        <f t="shared" ref="B95" si="9">B73</f>
        <v>2020</v>
      </c>
      <c r="C95" s="88">
        <f t="shared" si="6"/>
        <v>15526085</v>
      </c>
      <c r="D95" s="114">
        <f t="shared" si="7"/>
        <v>49.25</v>
      </c>
      <c r="E95" s="136">
        <f>D73</f>
        <v>1.1040000000000001</v>
      </c>
      <c r="F95" s="81">
        <f>(1+$F$89)^(D95/12)</f>
        <v>1.0073966089496909</v>
      </c>
      <c r="G95" s="88">
        <f>F95*E95*C95</f>
        <v>17267581.618708186</v>
      </c>
      <c r="H95" s="88">
        <f>E73</f>
        <v>9602493</v>
      </c>
      <c r="I95" s="81">
        <f>(1+$F$90)^(D95/12)</f>
        <v>1.2087628819081371</v>
      </c>
      <c r="J95" s="88">
        <f>I95*H95</f>
        <v>11607137.112182712</v>
      </c>
      <c r="K95" s="137">
        <f>J95/G95</f>
        <v>0.67219239894063754</v>
      </c>
      <c r="L95" s="7"/>
    </row>
    <row r="96" spans="1:12" x14ac:dyDescent="0.25">
      <c r="B96" s="114">
        <f t="shared" ref="B96" si="10">B74</f>
        <v>2021</v>
      </c>
      <c r="C96" s="88">
        <f t="shared" si="6"/>
        <v>16625910</v>
      </c>
      <c r="D96" s="114">
        <f>D97+12</f>
        <v>37.25</v>
      </c>
      <c r="E96" s="136">
        <f>D74</f>
        <v>1.0489999999999999</v>
      </c>
      <c r="F96" s="81">
        <f>(1+$F$89)^(D96/12)</f>
        <v>1.0055893637451681</v>
      </c>
      <c r="G96" s="88">
        <f>F96*E96*C96</f>
        <v>17538061.333255064</v>
      </c>
      <c r="H96" s="88">
        <f>E74</f>
        <v>10401614</v>
      </c>
      <c r="I96" s="81">
        <f>(1+$F$90)^(D96/12)</f>
        <v>1.1541926532619138</v>
      </c>
      <c r="J96" s="88">
        <f>I96*H96</f>
        <v>12005466.460866269</v>
      </c>
      <c r="K96" s="137">
        <f>J96/G96</f>
        <v>0.68453783076365005</v>
      </c>
      <c r="L96" s="7"/>
    </row>
    <row r="97" spans="1:13" x14ac:dyDescent="0.25">
      <c r="B97" s="79">
        <f t="shared" ref="B97" si="11">B75</f>
        <v>2022</v>
      </c>
      <c r="C97" s="138">
        <f t="shared" si="6"/>
        <v>17102494</v>
      </c>
      <c r="D97" s="79">
        <f>F87</f>
        <v>25.25</v>
      </c>
      <c r="E97" s="139">
        <f>D75</f>
        <v>1.026</v>
      </c>
      <c r="F97" s="85">
        <f>(1+$F$89)^(D97/12)</f>
        <v>1.0037853606949272</v>
      </c>
      <c r="G97" s="138">
        <f>F97*E97*C97</f>
        <v>17613581.169395722</v>
      </c>
      <c r="H97" s="138">
        <f>E75</f>
        <v>11309041</v>
      </c>
      <c r="I97" s="85">
        <f>(1+$F$90)^(D97/12)</f>
        <v>1.1020860259547722</v>
      </c>
      <c r="J97" s="138">
        <f>I97*H97</f>
        <v>12463536.053049583</v>
      </c>
      <c r="K97" s="140">
        <f>J97/G97</f>
        <v>0.70760942554404882</v>
      </c>
      <c r="L97" s="7"/>
    </row>
    <row r="98" spans="1:13" x14ac:dyDescent="0.25">
      <c r="B98" s="7"/>
      <c r="C98" s="7"/>
      <c r="D98" s="7"/>
      <c r="E98" s="7"/>
      <c r="F98" s="7"/>
      <c r="G98" s="7"/>
      <c r="H98" s="7"/>
      <c r="I98" s="7" t="s">
        <v>297</v>
      </c>
      <c r="J98" s="7"/>
      <c r="K98" s="135">
        <f>AVERAGE(K93:K97)</f>
        <v>0.68446769333151847</v>
      </c>
      <c r="L98" s="7"/>
    </row>
    <row r="99" spans="1:13" x14ac:dyDescent="0.25">
      <c r="F99" s="7"/>
      <c r="G99" s="7"/>
      <c r="H99" s="7"/>
      <c r="I99" s="1" t="s">
        <v>316</v>
      </c>
      <c r="K99" s="135">
        <f>AVERAGE(K95:K97)</f>
        <v>0.68811321841611217</v>
      </c>
      <c r="L99" s="7"/>
    </row>
    <row r="100" spans="1:13" x14ac:dyDescent="0.25">
      <c r="B100" s="7"/>
      <c r="C100" s="7"/>
      <c r="D100" s="7"/>
      <c r="E100" s="7"/>
      <c r="F100" s="7"/>
      <c r="G100" s="7"/>
      <c r="H100" s="7"/>
      <c r="I100" s="7" t="s">
        <v>309</v>
      </c>
      <c r="J100" s="7"/>
      <c r="K100" s="135">
        <f>K99</f>
        <v>0.68811321841611217</v>
      </c>
      <c r="L100" s="7"/>
    </row>
    <row r="101" spans="1:13" x14ac:dyDescent="0.25">
      <c r="B101" s="7" t="s">
        <v>323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1:13" x14ac:dyDescent="0.25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pans="1:13" x14ac:dyDescent="0.25">
      <c r="B103" s="7" t="s">
        <v>313</v>
      </c>
      <c r="C103" s="90"/>
      <c r="D103" s="142">
        <f>(K100*(1+F65)+F66)/(1-F67-F68)-1</f>
        <v>7.7097457130465896E-2</v>
      </c>
      <c r="E103" s="7"/>
      <c r="F103" s="7"/>
      <c r="G103" s="7"/>
      <c r="H103" s="7"/>
      <c r="I103" s="7"/>
      <c r="J103" s="7"/>
      <c r="K103" s="7"/>
      <c r="M103" s="7"/>
    </row>
    <row r="105" spans="1:13" x14ac:dyDescent="0.25">
      <c r="A105" s="6" t="s">
        <v>0</v>
      </c>
      <c r="B105" s="9" t="s">
        <v>209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3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pans="1:13" x14ac:dyDescent="0.25">
      <c r="A107" s="7" t="s">
        <v>1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1:13" x14ac:dyDescent="0.25">
      <c r="A108" s="7"/>
      <c r="B108" s="7" t="s">
        <v>317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10" spans="1:13" x14ac:dyDescent="0.25">
      <c r="A110" s="3"/>
      <c r="B110" s="3"/>
      <c r="C110" s="3"/>
      <c r="D110" s="3"/>
      <c r="E110" s="3"/>
      <c r="F110" s="3"/>
      <c r="G110" s="4"/>
      <c r="H110" s="4"/>
      <c r="I110" s="4"/>
      <c r="J110" s="4"/>
      <c r="K110" s="4"/>
      <c r="L110" s="4"/>
    </row>
    <row r="111" spans="1:13" x14ac:dyDescent="0.25">
      <c r="A111" s="9" t="s">
        <v>99</v>
      </c>
      <c r="B111" s="3"/>
      <c r="C111" s="3"/>
      <c r="D111" s="3"/>
      <c r="E111" s="3"/>
      <c r="F111" s="3"/>
      <c r="G111" s="28">
        <v>0.06</v>
      </c>
      <c r="H111" s="4"/>
      <c r="I111" s="4"/>
      <c r="J111" s="4"/>
      <c r="K111" s="4"/>
      <c r="L111" s="4"/>
    </row>
    <row r="112" spans="1:13" x14ac:dyDescent="0.25">
      <c r="A112" s="9" t="s">
        <v>98</v>
      </c>
      <c r="B112" s="3"/>
      <c r="C112" s="3"/>
      <c r="D112" s="3"/>
      <c r="E112" s="28">
        <v>0.03</v>
      </c>
      <c r="F112" s="3"/>
      <c r="G112" s="4"/>
      <c r="H112" s="4"/>
      <c r="I112" s="4"/>
      <c r="J112" s="4"/>
      <c r="K112" s="4"/>
      <c r="L112" s="4"/>
    </row>
    <row r="113" spans="1:12" x14ac:dyDescent="0.25">
      <c r="A113" s="9"/>
      <c r="B113" s="3"/>
      <c r="C113" s="3"/>
      <c r="D113" s="3"/>
      <c r="E113" s="3"/>
      <c r="F113" s="3"/>
      <c r="G113" s="4"/>
      <c r="H113" s="4"/>
      <c r="I113" s="4"/>
      <c r="J113" s="4"/>
      <c r="K113" s="4"/>
      <c r="L113" s="4"/>
    </row>
    <row r="115" spans="1:12" x14ac:dyDescent="0.25">
      <c r="A115" s="6" t="s">
        <v>2</v>
      </c>
      <c r="B115" s="9" t="s">
        <v>86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x14ac:dyDescent="0.25">
      <c r="A116" s="3"/>
      <c r="B116" s="3"/>
      <c r="C116" s="3"/>
      <c r="D116" s="3"/>
      <c r="E116" s="3"/>
      <c r="F116" s="3"/>
      <c r="G116" s="4"/>
      <c r="H116" s="4"/>
      <c r="I116" s="4"/>
      <c r="J116" s="4"/>
      <c r="K116" s="4"/>
      <c r="L116" s="4"/>
    </row>
    <row r="117" spans="1:12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</row>
    <row r="118" spans="1:12" x14ac:dyDescent="0.25">
      <c r="A118" s="7" t="s">
        <v>1</v>
      </c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</row>
    <row r="119" spans="1:12" x14ac:dyDescent="0.25">
      <c r="A119" s="7"/>
      <c r="B119" s="1" t="s">
        <v>326</v>
      </c>
      <c r="E119" s="144">
        <f>(1+G111)*(1-F67-F68)-F66</f>
        <v>0.7238</v>
      </c>
      <c r="F119" s="7"/>
      <c r="G119" s="7"/>
      <c r="H119" s="7"/>
      <c r="I119" s="7"/>
      <c r="J119" s="7"/>
      <c r="K119" s="7"/>
      <c r="L119" s="7"/>
    </row>
    <row r="120" spans="1:12" x14ac:dyDescent="0.25">
      <c r="B120" s="1" t="s">
        <v>327</v>
      </c>
      <c r="E120" s="144">
        <f>1-F67-(E119+F66)/(1+E112)</f>
        <v>1.8737864077669864E-2</v>
      </c>
    </row>
    <row r="122" spans="1:12" x14ac:dyDescent="0.25">
      <c r="A122" s="6" t="s">
        <v>3</v>
      </c>
      <c r="B122" s="9" t="s">
        <v>87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x14ac:dyDescent="0.25">
      <c r="A123" s="3"/>
      <c r="B123" s="3"/>
      <c r="C123" s="3"/>
      <c r="D123" s="3"/>
      <c r="E123" s="3"/>
      <c r="F123" s="3"/>
      <c r="G123" s="4"/>
      <c r="H123" s="4"/>
      <c r="I123" s="4"/>
      <c r="J123" s="4"/>
      <c r="K123" s="4"/>
      <c r="L123" s="4"/>
    </row>
    <row r="124" spans="1:12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</row>
    <row r="125" spans="1:12" x14ac:dyDescent="0.25">
      <c r="A125" s="7" t="s">
        <v>1</v>
      </c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</row>
    <row r="126" spans="1:12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</row>
    <row r="127" spans="1:12" x14ac:dyDescent="0.25">
      <c r="A127" s="7"/>
      <c r="B127" s="7" t="s">
        <v>318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</row>
    <row r="128" spans="1:12" x14ac:dyDescent="0.25">
      <c r="B128" s="1" t="s">
        <v>328</v>
      </c>
    </row>
  </sheetData>
  <mergeCells count="11">
    <mergeCell ref="B10:C10"/>
    <mergeCell ref="D5:G5"/>
    <mergeCell ref="B6:C6"/>
    <mergeCell ref="B7:C7"/>
    <mergeCell ref="B8:C8"/>
    <mergeCell ref="B9:C9"/>
    <mergeCell ref="B11:C11"/>
    <mergeCell ref="B12:C12"/>
    <mergeCell ref="B13:C13"/>
    <mergeCell ref="B14:C14"/>
    <mergeCell ref="B15:C1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4966D-A2C5-4D33-8653-54A3841B9CDC}">
  <dimension ref="A1:R55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5" width="13.7109375" style="1" customWidth="1"/>
    <col min="6" max="6" width="15.140625" style="1" customWidth="1"/>
    <col min="7" max="7" width="10.5703125" style="1" customWidth="1"/>
    <col min="8" max="8" width="11" style="1" customWidth="1"/>
    <col min="9" max="11" width="12.7109375" style="1" customWidth="1"/>
    <col min="12" max="16384" width="8.85546875" style="1"/>
  </cols>
  <sheetData>
    <row r="1" spans="1:18" ht="18.75" x14ac:dyDescent="0.3">
      <c r="A1" s="2" t="s">
        <v>100</v>
      </c>
      <c r="B1" s="4"/>
      <c r="C1" s="9" t="s">
        <v>10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9" t="s">
        <v>101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8" x14ac:dyDescent="0.25">
      <c r="A6" s="6" t="s">
        <v>4</v>
      </c>
      <c r="B6" s="9" t="s">
        <v>196</v>
      </c>
      <c r="C6" s="4"/>
      <c r="D6" s="4"/>
      <c r="E6" s="4"/>
      <c r="F6" s="4"/>
      <c r="G6" s="4"/>
      <c r="H6" s="4"/>
      <c r="I6" s="4"/>
      <c r="J6" s="4"/>
      <c r="K6" s="4"/>
      <c r="L6" s="4"/>
      <c r="M6" s="8"/>
      <c r="N6" s="8"/>
      <c r="O6" s="8"/>
      <c r="P6" s="8"/>
      <c r="Q6" s="8"/>
      <c r="R6" s="8"/>
    </row>
    <row r="7" spans="1:18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8" x14ac:dyDescent="0.25">
      <c r="A8" s="7" t="s">
        <v>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8"/>
    </row>
    <row r="9" spans="1:18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</row>
    <row r="10" spans="1:18" x14ac:dyDescent="0.25">
      <c r="A10" s="7" t="s">
        <v>341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</row>
    <row r="11" spans="1:18" x14ac:dyDescent="0.25">
      <c r="M11" s="8"/>
      <c r="N11" s="8"/>
    </row>
    <row r="12" spans="1:18" x14ac:dyDescent="0.25">
      <c r="A12" s="3"/>
      <c r="B12" s="3"/>
      <c r="C12" s="3"/>
      <c r="D12" s="3"/>
      <c r="E12" s="3"/>
      <c r="F12" s="3"/>
      <c r="G12" s="4"/>
      <c r="H12" s="4"/>
      <c r="I12" s="4"/>
      <c r="J12" s="4"/>
      <c r="K12" s="4"/>
      <c r="L12" s="4"/>
      <c r="M12" s="8"/>
      <c r="N12" s="8"/>
    </row>
    <row r="13" spans="1:18" x14ac:dyDescent="0.25">
      <c r="A13" s="9" t="s">
        <v>104</v>
      </c>
      <c r="B13" s="9"/>
      <c r="C13" s="9"/>
      <c r="D13" s="9"/>
      <c r="E13" s="9"/>
      <c r="F13" s="9"/>
      <c r="G13" s="9"/>
      <c r="H13" s="9"/>
      <c r="I13" s="4"/>
      <c r="J13" s="4"/>
      <c r="K13" s="4"/>
      <c r="L13" s="4"/>
      <c r="M13" s="8"/>
      <c r="N13" s="8"/>
    </row>
    <row r="14" spans="1:18" x14ac:dyDescent="0.25">
      <c r="A14" s="9"/>
      <c r="B14" s="9"/>
      <c r="C14" s="9"/>
      <c r="D14" s="9"/>
      <c r="E14" s="9"/>
      <c r="F14" s="9"/>
      <c r="G14" s="9"/>
      <c r="H14" s="9"/>
      <c r="I14" s="4"/>
      <c r="J14" s="4"/>
      <c r="K14" s="4"/>
      <c r="L14" s="4"/>
      <c r="M14" s="8"/>
      <c r="N14" s="8"/>
    </row>
    <row r="15" spans="1:18" ht="63" x14ac:dyDescent="0.25">
      <c r="A15" s="9"/>
      <c r="B15" s="48" t="s">
        <v>58</v>
      </c>
      <c r="C15" s="48" t="s">
        <v>102</v>
      </c>
      <c r="D15" s="48" t="s">
        <v>33</v>
      </c>
      <c r="E15" s="48" t="s">
        <v>103</v>
      </c>
      <c r="F15" s="9"/>
      <c r="G15" s="9"/>
      <c r="H15" s="9"/>
      <c r="I15" s="4"/>
      <c r="J15" s="4"/>
      <c r="K15" s="4"/>
      <c r="L15" s="4"/>
      <c r="M15" s="8"/>
      <c r="N15" s="8"/>
    </row>
    <row r="16" spans="1:18" x14ac:dyDescent="0.25">
      <c r="A16" s="9"/>
      <c r="B16" s="33">
        <v>2017</v>
      </c>
      <c r="C16" s="26">
        <v>14304922</v>
      </c>
      <c r="D16" s="26">
        <v>8573426</v>
      </c>
      <c r="E16" s="33">
        <v>1.048</v>
      </c>
      <c r="F16" s="9"/>
      <c r="G16" s="9"/>
      <c r="H16" s="9"/>
      <c r="I16" s="4"/>
      <c r="J16" s="4"/>
      <c r="K16" s="4"/>
      <c r="L16" s="4"/>
      <c r="M16" s="8"/>
      <c r="N16" s="8"/>
    </row>
    <row r="17" spans="1:14" x14ac:dyDescent="0.25">
      <c r="A17" s="9"/>
      <c r="B17" s="33">
        <v>2018</v>
      </c>
      <c r="C17" s="26">
        <v>14662414</v>
      </c>
      <c r="D17" s="26">
        <v>8699818</v>
      </c>
      <c r="E17" s="33">
        <v>1.097</v>
      </c>
      <c r="F17" s="9"/>
      <c r="G17" s="9"/>
      <c r="H17" s="9"/>
      <c r="I17" s="4"/>
      <c r="J17" s="4"/>
      <c r="K17" s="4"/>
      <c r="L17" s="4"/>
      <c r="M17" s="8"/>
      <c r="N17" s="8"/>
    </row>
    <row r="18" spans="1:14" x14ac:dyDescent="0.25">
      <c r="A18" s="9"/>
      <c r="B18" s="33">
        <v>2019</v>
      </c>
      <c r="C18" s="26">
        <v>14826526</v>
      </c>
      <c r="D18" s="26">
        <v>7732920</v>
      </c>
      <c r="E18" s="33">
        <v>1.3260000000000001</v>
      </c>
      <c r="F18" s="9"/>
      <c r="G18" s="9"/>
      <c r="H18" s="9"/>
      <c r="I18" s="4"/>
      <c r="J18" s="4"/>
      <c r="K18" s="4"/>
      <c r="L18" s="4"/>
      <c r="M18" s="8"/>
      <c r="N18" s="8"/>
    </row>
    <row r="19" spans="1:14" x14ac:dyDescent="0.25">
      <c r="A19" s="9"/>
      <c r="B19" s="33">
        <v>2020</v>
      </c>
      <c r="C19" s="26">
        <v>15064165</v>
      </c>
      <c r="D19" s="26">
        <v>5857706</v>
      </c>
      <c r="E19" s="33">
        <v>1.847</v>
      </c>
      <c r="F19" s="9"/>
      <c r="G19" s="9"/>
      <c r="H19" s="9"/>
      <c r="I19" s="4"/>
      <c r="J19" s="4"/>
      <c r="K19" s="4"/>
      <c r="L19" s="4"/>
      <c r="M19" s="8"/>
      <c r="N19" s="8"/>
    </row>
    <row r="20" spans="1:14" x14ac:dyDescent="0.25">
      <c r="A20" s="9"/>
      <c r="B20" s="33">
        <v>2021</v>
      </c>
      <c r="C20" s="26">
        <v>15448284</v>
      </c>
      <c r="D20" s="26">
        <v>3561183</v>
      </c>
      <c r="E20" s="33">
        <v>3.1459999999999999</v>
      </c>
      <c r="F20" s="9"/>
      <c r="G20" s="9"/>
      <c r="H20" s="9"/>
      <c r="I20" s="4"/>
      <c r="J20" s="4"/>
      <c r="K20" s="4"/>
      <c r="L20" s="4"/>
      <c r="M20" s="8"/>
      <c r="N20" s="8"/>
    </row>
    <row r="21" spans="1:14" x14ac:dyDescent="0.25">
      <c r="A21" s="9"/>
      <c r="B21" s="33">
        <v>2022</v>
      </c>
      <c r="C21" s="26">
        <v>15630481</v>
      </c>
      <c r="D21" s="26">
        <v>1395852</v>
      </c>
      <c r="E21" s="33">
        <v>9.4730000000000008</v>
      </c>
      <c r="F21" s="9"/>
      <c r="G21" s="9"/>
      <c r="H21" s="9"/>
      <c r="I21" s="4"/>
      <c r="J21" s="4"/>
      <c r="K21" s="4"/>
      <c r="L21" s="4"/>
      <c r="M21" s="8"/>
      <c r="N21" s="8"/>
    </row>
    <row r="22" spans="1:14" x14ac:dyDescent="0.25">
      <c r="A22" s="9"/>
      <c r="B22" s="9"/>
      <c r="C22" s="9"/>
      <c r="D22" s="9"/>
      <c r="E22" s="9"/>
      <c r="F22" s="9"/>
      <c r="G22" s="9"/>
      <c r="H22" s="9"/>
      <c r="I22" s="4"/>
      <c r="J22" s="4"/>
      <c r="K22" s="4"/>
      <c r="L22" s="4"/>
      <c r="M22" s="8"/>
      <c r="N22" s="8"/>
    </row>
    <row r="23" spans="1:14" x14ac:dyDescent="0.25">
      <c r="A23" s="9"/>
      <c r="B23" s="24" t="s">
        <v>105</v>
      </c>
      <c r="C23" s="9"/>
      <c r="D23" s="57">
        <v>0.05</v>
      </c>
      <c r="E23" s="9"/>
      <c r="F23" s="9"/>
      <c r="G23" s="9"/>
      <c r="H23" s="9"/>
      <c r="I23" s="4"/>
      <c r="J23" s="4"/>
      <c r="K23" s="4"/>
      <c r="L23" s="4"/>
      <c r="M23" s="8"/>
      <c r="N23" s="8"/>
    </row>
    <row r="24" spans="1:14" x14ac:dyDescent="0.25">
      <c r="A24" s="3"/>
      <c r="B24" s="24" t="s">
        <v>106</v>
      </c>
      <c r="C24" s="3"/>
      <c r="D24" s="3"/>
      <c r="E24" s="47">
        <v>0.2</v>
      </c>
      <c r="F24" s="24" t="s">
        <v>107</v>
      </c>
      <c r="G24" s="4"/>
      <c r="H24" s="4"/>
      <c r="I24" s="4"/>
      <c r="J24" s="58">
        <v>43922</v>
      </c>
      <c r="K24" s="4"/>
      <c r="L24" s="4"/>
      <c r="M24" s="8"/>
      <c r="N24" s="8"/>
    </row>
    <row r="25" spans="1:14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8"/>
      <c r="N25" s="8"/>
    </row>
    <row r="27" spans="1:14" x14ac:dyDescent="0.25">
      <c r="A27" s="6" t="s">
        <v>5</v>
      </c>
      <c r="B27" s="9" t="s">
        <v>108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4" x14ac:dyDescent="0.25">
      <c r="A29" s="7" t="s">
        <v>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4" x14ac:dyDescent="0.25">
      <c r="B30"/>
      <c r="C30"/>
      <c r="D30"/>
      <c r="E30"/>
      <c r="F30"/>
      <c r="G30"/>
      <c r="H30"/>
      <c r="I30"/>
      <c r="J30"/>
      <c r="K30"/>
      <c r="L30"/>
      <c r="M30"/>
    </row>
    <row r="31" spans="1:14" ht="47.25" x14ac:dyDescent="0.25">
      <c r="A31" s="129" t="s">
        <v>58</v>
      </c>
      <c r="B31" s="129" t="s">
        <v>102</v>
      </c>
      <c r="C31" s="75" t="s">
        <v>329</v>
      </c>
      <c r="D31" s="129" t="s">
        <v>330</v>
      </c>
      <c r="E31" s="129" t="s">
        <v>331</v>
      </c>
      <c r="F31" s="129" t="s">
        <v>332</v>
      </c>
      <c r="G31" s="129" t="s">
        <v>306</v>
      </c>
      <c r="H31" s="129" t="s">
        <v>333</v>
      </c>
      <c r="I31" s="129" t="s">
        <v>334</v>
      </c>
      <c r="J31" s="129" t="s">
        <v>335</v>
      </c>
      <c r="K31" s="129" t="s">
        <v>83</v>
      </c>
      <c r="L31" s="7"/>
    </row>
    <row r="32" spans="1:14" x14ac:dyDescent="0.25">
      <c r="A32" s="93">
        <f t="shared" ref="A32:B37" si="0">B16</f>
        <v>2017</v>
      </c>
      <c r="B32" s="78">
        <f t="shared" si="0"/>
        <v>14304922</v>
      </c>
      <c r="C32" s="149">
        <f t="shared" ref="C32:C37" si="1">E16</f>
        <v>1.048</v>
      </c>
      <c r="D32" s="124">
        <f>1/C32</f>
        <v>0.95419847328244267</v>
      </c>
      <c r="E32" s="78">
        <f>D32*B32</f>
        <v>13649734.732824426</v>
      </c>
      <c r="F32" s="78">
        <f t="shared" ref="F32:F37" si="2">D16</f>
        <v>8573426</v>
      </c>
      <c r="G32" s="150">
        <f t="shared" ref="G32:G35" si="3">G33*(1+$D$23)</f>
        <v>1.2762815625000004</v>
      </c>
      <c r="H32" s="149">
        <f t="shared" ref="H32:H33" si="4">1-$E$24</f>
        <v>0.8</v>
      </c>
      <c r="I32" s="78">
        <f>G32*F32*H32</f>
        <v>8753684.4250065032</v>
      </c>
      <c r="J32" s="78">
        <f t="shared" ref="J32:J37" si="5">$I$40*B32/(G32*H32)</f>
        <v>9438073.9443665575</v>
      </c>
      <c r="K32" s="78">
        <f>F32+J32*(1-D32)</f>
        <v>9005704.1959251873</v>
      </c>
      <c r="L32" s="7"/>
    </row>
    <row r="33" spans="1:12" x14ac:dyDescent="0.25">
      <c r="A33" s="93">
        <f t="shared" si="0"/>
        <v>2018</v>
      </c>
      <c r="B33" s="78">
        <f t="shared" si="0"/>
        <v>14662414</v>
      </c>
      <c r="C33" s="149">
        <f t="shared" si="1"/>
        <v>1.097</v>
      </c>
      <c r="D33" s="124">
        <f t="shared" ref="D33:D37" si="6">1/C33</f>
        <v>0.91157702825888787</v>
      </c>
      <c r="E33" s="78">
        <f t="shared" ref="E33:E37" si="7">D33*B33</f>
        <v>13365919.781221513</v>
      </c>
      <c r="F33" s="78">
        <f t="shared" si="2"/>
        <v>8699818</v>
      </c>
      <c r="G33" s="150">
        <f t="shared" si="3"/>
        <v>1.2155062500000002</v>
      </c>
      <c r="H33" s="149">
        <f t="shared" si="4"/>
        <v>0.8</v>
      </c>
      <c r="I33" s="78">
        <f t="shared" ref="I33:I37" si="8">G33*F33*H33</f>
        <v>8459746.5222900026</v>
      </c>
      <c r="J33" s="78">
        <f t="shared" si="5"/>
        <v>10157636.295511518</v>
      </c>
      <c r="K33" s="78">
        <f t="shared" ref="K33:K37" si="9">F33+J33*(1-D33)</f>
        <v>9597986.3871145099</v>
      </c>
      <c r="L33" s="7"/>
    </row>
    <row r="34" spans="1:12" x14ac:dyDescent="0.25">
      <c r="A34" s="93">
        <f t="shared" si="0"/>
        <v>2019</v>
      </c>
      <c r="B34" s="78">
        <f t="shared" si="0"/>
        <v>14826526</v>
      </c>
      <c r="C34" s="149">
        <f t="shared" si="1"/>
        <v>1.3260000000000001</v>
      </c>
      <c r="D34" s="124">
        <f t="shared" si="6"/>
        <v>0.75414781297134237</v>
      </c>
      <c r="E34" s="78">
        <f t="shared" si="7"/>
        <v>11181392.156862745</v>
      </c>
      <c r="F34" s="78">
        <f t="shared" si="2"/>
        <v>7732920</v>
      </c>
      <c r="G34" s="150">
        <f t="shared" si="3"/>
        <v>1.1576250000000001</v>
      </c>
      <c r="H34" s="149">
        <f>1-$E$24</f>
        <v>0.8</v>
      </c>
      <c r="I34" s="78">
        <f t="shared" si="8"/>
        <v>7161457.2120000012</v>
      </c>
      <c r="J34" s="78">
        <f t="shared" si="5"/>
        <v>10784894.053983366</v>
      </c>
      <c r="K34" s="78">
        <f t="shared" si="9"/>
        <v>10384409.790044175</v>
      </c>
      <c r="L34" s="7"/>
    </row>
    <row r="35" spans="1:12" x14ac:dyDescent="0.25">
      <c r="A35" s="93">
        <f t="shared" si="0"/>
        <v>2020</v>
      </c>
      <c r="B35" s="78">
        <f t="shared" si="0"/>
        <v>15064165</v>
      </c>
      <c r="C35" s="149">
        <f t="shared" si="1"/>
        <v>1.847</v>
      </c>
      <c r="D35" s="124">
        <f t="shared" si="6"/>
        <v>0.54141851651326478</v>
      </c>
      <c r="E35" s="78">
        <f t="shared" si="7"/>
        <v>8156017.8668110454</v>
      </c>
      <c r="F35" s="78">
        <f t="shared" si="2"/>
        <v>5857706</v>
      </c>
      <c r="G35" s="150">
        <f t="shared" si="3"/>
        <v>1.1025</v>
      </c>
      <c r="H35" s="149">
        <f>0.25*H34+0.75</f>
        <v>0.95</v>
      </c>
      <c r="I35" s="78">
        <f t="shared" si="8"/>
        <v>6135214.8217500001</v>
      </c>
      <c r="J35" s="78">
        <f t="shared" si="5"/>
        <v>9688961.3692057543</v>
      </c>
      <c r="K35" s="78">
        <f t="shared" si="9"/>
        <v>10300884.278136045</v>
      </c>
      <c r="L35" s="7"/>
    </row>
    <row r="36" spans="1:12" x14ac:dyDescent="0.25">
      <c r="A36" s="93">
        <f t="shared" si="0"/>
        <v>2021</v>
      </c>
      <c r="B36" s="78">
        <f t="shared" si="0"/>
        <v>15448284</v>
      </c>
      <c r="C36" s="149">
        <f t="shared" si="1"/>
        <v>3.1459999999999999</v>
      </c>
      <c r="D36" s="124">
        <f t="shared" si="6"/>
        <v>0.31786395422759062</v>
      </c>
      <c r="E36" s="78">
        <f t="shared" si="7"/>
        <v>4910452.6382708205</v>
      </c>
      <c r="F36" s="78">
        <f t="shared" si="2"/>
        <v>3561183</v>
      </c>
      <c r="G36" s="150">
        <f>G37*(1+$D$23)</f>
        <v>1.05</v>
      </c>
      <c r="H36" s="149">
        <v>1</v>
      </c>
      <c r="I36" s="78">
        <f t="shared" si="8"/>
        <v>3739242.1500000004</v>
      </c>
      <c r="J36" s="78">
        <f t="shared" si="5"/>
        <v>9911178.7695685774</v>
      </c>
      <c r="K36" s="78">
        <f t="shared" si="9"/>
        <v>10321955.294816963</v>
      </c>
      <c r="L36" s="7"/>
    </row>
    <row r="37" spans="1:12" x14ac:dyDescent="0.25">
      <c r="A37" s="75">
        <f t="shared" si="0"/>
        <v>2022</v>
      </c>
      <c r="B37" s="151">
        <f t="shared" si="0"/>
        <v>15630481</v>
      </c>
      <c r="C37" s="152">
        <f t="shared" si="1"/>
        <v>9.4730000000000008</v>
      </c>
      <c r="D37" s="133">
        <f t="shared" si="6"/>
        <v>0.10556317956296843</v>
      </c>
      <c r="E37" s="151">
        <f t="shared" si="7"/>
        <v>1650003.2724585664</v>
      </c>
      <c r="F37" s="151">
        <f t="shared" si="2"/>
        <v>1395852</v>
      </c>
      <c r="G37" s="153">
        <v>1</v>
      </c>
      <c r="H37" s="152">
        <v>1</v>
      </c>
      <c r="I37" s="151">
        <f t="shared" si="8"/>
        <v>1395852</v>
      </c>
      <c r="J37" s="151">
        <f t="shared" si="5"/>
        <v>10529474.731148928</v>
      </c>
      <c r="K37" s="151">
        <f t="shared" si="9"/>
        <v>10813801.899400916</v>
      </c>
      <c r="L37" s="7"/>
    </row>
    <row r="38" spans="1:12" x14ac:dyDescent="0.25">
      <c r="E38" s="78">
        <f>SUM(E32:E37)</f>
        <v>52913520.448449112</v>
      </c>
      <c r="F38" s="78">
        <f>SUM(F32:F37)</f>
        <v>35820905</v>
      </c>
      <c r="I38" s="78">
        <f>SUM(I32:I37)</f>
        <v>35645197.131046511</v>
      </c>
      <c r="J38" s="78">
        <f>SUM(J32:J37)</f>
        <v>60510219.163784698</v>
      </c>
      <c r="K38" s="78">
        <f>SUM(K32:K37)</f>
        <v>60424741.845437795</v>
      </c>
      <c r="L38" s="7"/>
    </row>
    <row r="39" spans="1:12" x14ac:dyDescent="0.25">
      <c r="L39" s="7"/>
    </row>
    <row r="40" spans="1:12" x14ac:dyDescent="0.25">
      <c r="F40" s="1" t="s">
        <v>336</v>
      </c>
      <c r="I40" s="124">
        <f>I38/E38</f>
        <v>0.67365007712487723</v>
      </c>
      <c r="L40" s="7"/>
    </row>
    <row r="42" spans="1:12" x14ac:dyDescent="0.25">
      <c r="A42" s="3"/>
      <c r="B42" s="3"/>
      <c r="C42" s="3"/>
      <c r="D42" s="3"/>
      <c r="E42" s="3"/>
      <c r="F42" s="3"/>
      <c r="G42" s="4"/>
      <c r="H42" s="4"/>
      <c r="I42" s="4"/>
      <c r="J42" s="4"/>
      <c r="K42" s="4"/>
      <c r="L42" s="4"/>
    </row>
    <row r="43" spans="1:12" x14ac:dyDescent="0.25">
      <c r="A43" s="9" t="s">
        <v>109</v>
      </c>
      <c r="B43" s="3"/>
      <c r="C43" s="3"/>
      <c r="D43" s="3"/>
      <c r="E43" s="3"/>
      <c r="F43" s="3"/>
      <c r="G43" s="4"/>
      <c r="H43" s="4"/>
      <c r="I43" s="4"/>
      <c r="J43" s="4"/>
      <c r="K43" s="4"/>
      <c r="L43" s="4"/>
    </row>
    <row r="44" spans="1:12" x14ac:dyDescent="0.25">
      <c r="A44" s="3"/>
      <c r="B44" s="3"/>
      <c r="C44" s="3"/>
      <c r="D44" s="3"/>
      <c r="E44" s="3"/>
      <c r="F44" s="3"/>
      <c r="G44" s="4"/>
      <c r="H44" s="4"/>
      <c r="I44" s="4"/>
      <c r="J44" s="4"/>
      <c r="K44" s="4"/>
      <c r="L44" s="4"/>
    </row>
    <row r="46" spans="1:12" x14ac:dyDescent="0.25">
      <c r="A46" s="6" t="s">
        <v>0</v>
      </c>
      <c r="B46" s="9" t="s">
        <v>110</v>
      </c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5">
      <c r="A48" s="7" t="s">
        <v>1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4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4" x14ac:dyDescent="0.25">
      <c r="A50" s="7" t="s">
        <v>242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4" x14ac:dyDescent="0.25">
      <c r="A51" s="1" t="s">
        <v>337</v>
      </c>
    </row>
    <row r="52" spans="1:14" x14ac:dyDescent="0.25">
      <c r="A52" s="1" t="s">
        <v>338</v>
      </c>
    </row>
    <row r="53" spans="1:14" x14ac:dyDescent="0.25">
      <c r="A53" s="1" t="s">
        <v>339</v>
      </c>
      <c r="M53" s="7"/>
      <c r="N53" s="7"/>
    </row>
    <row r="54" spans="1:14" x14ac:dyDescent="0.25">
      <c r="A54" s="1" t="s">
        <v>340</v>
      </c>
      <c r="M54" s="7"/>
      <c r="N54" s="7"/>
    </row>
    <row r="55" spans="1:14" x14ac:dyDescent="0.25">
      <c r="M55" s="7"/>
      <c r="N55" s="7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E1DDB-BC4A-4AFD-A944-393E72D0461D}">
  <dimension ref="A1:L4"/>
  <sheetViews>
    <sheetView zoomScaleNormal="100" workbookViewId="0"/>
  </sheetViews>
  <sheetFormatPr defaultColWidth="8.85546875" defaultRowHeight="15.75" x14ac:dyDescent="0.25"/>
  <cols>
    <col min="1" max="6" width="8.85546875" style="1" customWidth="1"/>
    <col min="7" max="7" width="8.85546875" style="1"/>
    <col min="8" max="8" width="8.85546875" style="1" customWidth="1"/>
    <col min="9" max="16384" width="8.85546875" style="1"/>
  </cols>
  <sheetData>
    <row r="1" spans="1:12" ht="18.75" x14ac:dyDescent="0.3">
      <c r="A1" s="2" t="s">
        <v>111</v>
      </c>
      <c r="B1" s="4"/>
      <c r="C1" s="9" t="s">
        <v>8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11" t="s">
        <v>189</v>
      </c>
      <c r="B3" s="4"/>
      <c r="C3" s="4"/>
      <c r="D3" s="4"/>
      <c r="E3" s="4"/>
      <c r="F3" s="4"/>
      <c r="G3" s="4"/>
      <c r="H3" s="9"/>
      <c r="I3" s="9"/>
      <c r="J3" s="9"/>
      <c r="K3" s="9"/>
      <c r="L3" s="9"/>
    </row>
    <row r="4" spans="1:12" x14ac:dyDescent="0.25">
      <c r="A4" s="4"/>
      <c r="B4" s="4"/>
      <c r="C4" s="4"/>
      <c r="D4" s="4"/>
      <c r="E4" s="4"/>
      <c r="F4" s="4"/>
      <c r="G4" s="4"/>
      <c r="H4" s="9"/>
      <c r="I4" s="9"/>
      <c r="J4" s="9"/>
      <c r="K4" s="9"/>
      <c r="L4" s="9"/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5E4E-0EB9-4D9C-BF4B-F6570EFB8DAE}">
  <dimension ref="A1:R58"/>
  <sheetViews>
    <sheetView zoomScaleNormal="100" workbookViewId="0"/>
  </sheetViews>
  <sheetFormatPr defaultColWidth="8.85546875" defaultRowHeight="15.75" x14ac:dyDescent="0.25"/>
  <cols>
    <col min="1" max="6" width="8.85546875" style="1" customWidth="1"/>
    <col min="7" max="7" width="8.85546875" style="1"/>
    <col min="8" max="8" width="8.85546875" style="1" customWidth="1"/>
    <col min="9" max="9" width="16.7109375" style="1" customWidth="1"/>
    <col min="10" max="16384" width="8.85546875" style="1"/>
  </cols>
  <sheetData>
    <row r="1" spans="1:12" ht="18.75" x14ac:dyDescent="0.3">
      <c r="A1" s="2" t="s">
        <v>112</v>
      </c>
      <c r="B1" s="4"/>
      <c r="C1" s="9" t="s">
        <v>8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207" t="s">
        <v>113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3"/>
    </row>
    <row r="4" spans="1:12" x14ac:dyDescent="0.25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9"/>
    </row>
    <row r="5" spans="1:12" x14ac:dyDescent="0.25">
      <c r="A5" s="10"/>
      <c r="B5" s="4"/>
      <c r="C5" s="4"/>
      <c r="D5" s="4"/>
      <c r="E5" s="4"/>
      <c r="F5" s="4"/>
      <c r="G5" s="4"/>
      <c r="H5" s="9"/>
      <c r="I5" s="9"/>
      <c r="J5" s="9"/>
      <c r="K5" s="9"/>
      <c r="L5" s="9"/>
    </row>
    <row r="6" spans="1:12" x14ac:dyDescent="0.25">
      <c r="A6" s="10"/>
      <c r="B6" s="62" t="s">
        <v>198</v>
      </c>
      <c r="C6" s="63"/>
      <c r="D6" s="63"/>
      <c r="E6" s="63"/>
      <c r="F6" s="63"/>
      <c r="G6" s="63"/>
      <c r="H6" s="64"/>
      <c r="I6" s="60">
        <v>450000</v>
      </c>
      <c r="J6" s="9"/>
      <c r="K6" s="9"/>
      <c r="L6" s="9"/>
    </row>
    <row r="7" spans="1:12" x14ac:dyDescent="0.25">
      <c r="A7" s="10"/>
      <c r="B7" s="62" t="s">
        <v>114</v>
      </c>
      <c r="C7" s="63"/>
      <c r="D7" s="63"/>
      <c r="E7" s="63"/>
      <c r="F7" s="63"/>
      <c r="G7" s="63"/>
      <c r="H7" s="64"/>
      <c r="I7" s="59">
        <v>44743</v>
      </c>
      <c r="J7" s="9"/>
      <c r="K7" s="9"/>
      <c r="L7" s="9"/>
    </row>
    <row r="8" spans="1:12" x14ac:dyDescent="0.25">
      <c r="A8" s="10"/>
      <c r="B8" s="62" t="s">
        <v>115</v>
      </c>
      <c r="C8" s="63"/>
      <c r="D8" s="63"/>
      <c r="E8" s="63"/>
      <c r="F8" s="63"/>
      <c r="G8" s="63"/>
      <c r="H8" s="64"/>
      <c r="I8" s="59">
        <v>44593</v>
      </c>
      <c r="J8" s="9"/>
      <c r="K8" s="9"/>
      <c r="L8" s="9"/>
    </row>
    <row r="9" spans="1:12" x14ac:dyDescent="0.25">
      <c r="A9" s="4"/>
      <c r="B9" s="62" t="s">
        <v>116</v>
      </c>
      <c r="C9" s="63"/>
      <c r="D9" s="63"/>
      <c r="E9" s="63"/>
      <c r="F9" s="63"/>
      <c r="G9" s="63"/>
      <c r="H9" s="64"/>
      <c r="I9" s="60">
        <v>15450000</v>
      </c>
      <c r="J9" s="9"/>
      <c r="K9" s="9"/>
      <c r="L9" s="9"/>
    </row>
    <row r="10" spans="1:12" x14ac:dyDescent="0.25">
      <c r="A10" s="4"/>
      <c r="B10" s="62" t="s">
        <v>117</v>
      </c>
      <c r="C10" s="63"/>
      <c r="D10" s="63"/>
      <c r="E10" s="63"/>
      <c r="F10" s="63"/>
      <c r="G10" s="63"/>
      <c r="H10" s="64"/>
      <c r="I10" s="61">
        <v>0.01</v>
      </c>
      <c r="J10" s="9"/>
      <c r="K10" s="9"/>
      <c r="L10" s="9"/>
    </row>
    <row r="11" spans="1:12" x14ac:dyDescent="0.25">
      <c r="A11" s="10"/>
      <c r="B11" s="62" t="s">
        <v>197</v>
      </c>
      <c r="C11" s="63"/>
      <c r="D11" s="63"/>
      <c r="E11" s="63"/>
      <c r="F11" s="63"/>
      <c r="G11" s="63"/>
      <c r="H11" s="64"/>
      <c r="I11" s="61">
        <v>0.06</v>
      </c>
      <c r="J11" s="9"/>
      <c r="K11" s="9"/>
      <c r="L11" s="9"/>
    </row>
    <row r="12" spans="1:12" x14ac:dyDescent="0.25">
      <c r="A12" s="4"/>
      <c r="B12" s="62" t="s">
        <v>118</v>
      </c>
      <c r="C12" s="63"/>
      <c r="D12" s="63"/>
      <c r="E12" s="63"/>
      <c r="F12" s="63"/>
      <c r="G12" s="63"/>
      <c r="H12" s="64"/>
      <c r="I12" s="59">
        <v>45200</v>
      </c>
      <c r="J12" s="9"/>
      <c r="K12" s="9"/>
      <c r="L12" s="9"/>
    </row>
    <row r="13" spans="1:12" x14ac:dyDescent="0.25">
      <c r="A13" s="4"/>
      <c r="B13" s="4"/>
      <c r="C13" s="4"/>
      <c r="D13" s="4"/>
      <c r="E13" s="4"/>
      <c r="F13" s="4"/>
      <c r="G13" s="4"/>
      <c r="H13" s="9"/>
      <c r="I13" s="9"/>
      <c r="J13" s="9"/>
      <c r="K13" s="9"/>
      <c r="L13" s="9"/>
    </row>
    <row r="14" spans="1:12" x14ac:dyDescent="0.25">
      <c r="A14" s="9" t="s">
        <v>119</v>
      </c>
      <c r="B14" s="4"/>
      <c r="C14" s="4"/>
      <c r="D14" s="4"/>
      <c r="E14" s="4"/>
      <c r="F14" s="4"/>
      <c r="G14" s="4"/>
      <c r="H14" s="9"/>
      <c r="I14" s="9"/>
      <c r="J14" s="9"/>
      <c r="K14" s="9"/>
      <c r="L14" s="9"/>
    </row>
    <row r="15" spans="1:12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8" x14ac:dyDescent="0.25">
      <c r="A17" s="6" t="s">
        <v>4</v>
      </c>
      <c r="B17" s="207" t="s">
        <v>199</v>
      </c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8"/>
      <c r="N17" s="8"/>
      <c r="O17" s="8"/>
      <c r="P17" s="8"/>
      <c r="Q17" s="8"/>
      <c r="R17" s="8"/>
    </row>
    <row r="18" spans="1:18" x14ac:dyDescent="0.25">
      <c r="A18" s="3"/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</row>
    <row r="19" spans="1:18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8" x14ac:dyDescent="0.25">
      <c r="A20" s="7" t="s">
        <v>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</row>
    <row r="21" spans="1:18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</row>
    <row r="22" spans="1:18" x14ac:dyDescent="0.25">
      <c r="A22" s="7"/>
      <c r="B22" s="7" t="s">
        <v>348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</row>
    <row r="23" spans="1:18" x14ac:dyDescent="0.25">
      <c r="M23" s="8"/>
      <c r="N23" s="8"/>
    </row>
    <row r="24" spans="1:18" x14ac:dyDescent="0.25">
      <c r="B24" s="1" t="s">
        <v>349</v>
      </c>
      <c r="M24" s="8"/>
      <c r="N24" s="8"/>
    </row>
    <row r="26" spans="1:18" x14ac:dyDescent="0.25">
      <c r="A26" s="6" t="s">
        <v>5</v>
      </c>
      <c r="B26" s="9" t="s">
        <v>120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8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8" x14ac:dyDescent="0.25">
      <c r="A28" s="7" t="s">
        <v>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8" x14ac:dyDescent="0.25">
      <c r="A29" s="7"/>
      <c r="C29"/>
      <c r="D29"/>
      <c r="E29"/>
      <c r="F29"/>
      <c r="G29"/>
      <c r="H29"/>
      <c r="J29" s="7"/>
      <c r="K29" s="7"/>
      <c r="L29" s="7"/>
    </row>
    <row r="30" spans="1:18" x14ac:dyDescent="0.25">
      <c r="A30" s="7"/>
      <c r="B30" s="1" t="s">
        <v>353</v>
      </c>
      <c r="C30"/>
      <c r="D30"/>
      <c r="E30"/>
      <c r="F30"/>
      <c r="G30"/>
      <c r="H30"/>
      <c r="I30" s="154">
        <f>DATE(YEAR(I12)+1,MONTH(I12),DAY(I12))</f>
        <v>45566</v>
      </c>
      <c r="J30" s="7"/>
      <c r="K30" s="7"/>
      <c r="L30" s="7"/>
    </row>
    <row r="31" spans="1:18" x14ac:dyDescent="0.25">
      <c r="A31" s="7"/>
      <c r="B31" s="1" t="s">
        <v>342</v>
      </c>
      <c r="C31"/>
      <c r="D31"/>
      <c r="E31"/>
      <c r="F31"/>
      <c r="G31"/>
      <c r="H31"/>
      <c r="I31" s="94">
        <f>(12*YEAR(I7)+MONTH(I7))-(12*YEAR(I8)+MONTH(I8))</f>
        <v>5</v>
      </c>
      <c r="J31" s="7"/>
      <c r="K31" s="7"/>
      <c r="L31" s="7"/>
    </row>
    <row r="32" spans="1:18" x14ac:dyDescent="0.25">
      <c r="A32" s="7"/>
      <c r="B32" s="1" t="s">
        <v>344</v>
      </c>
      <c r="C32"/>
      <c r="D32"/>
      <c r="E32"/>
      <c r="F32"/>
      <c r="G32"/>
      <c r="H32"/>
      <c r="I32" s="157">
        <f>(1+$I$10)^(I31/12)</f>
        <v>1.0041545776172602</v>
      </c>
      <c r="J32" s="7"/>
      <c r="K32" s="7"/>
      <c r="L32" s="7"/>
    </row>
    <row r="33" spans="1:12" x14ac:dyDescent="0.25">
      <c r="A33" s="7"/>
      <c r="B33" s="1" t="s">
        <v>343</v>
      </c>
      <c r="C33"/>
      <c r="D33"/>
      <c r="E33"/>
      <c r="F33"/>
      <c r="G33"/>
      <c r="H33"/>
      <c r="I33" s="94">
        <f>(12*(1+YEAR(I30))+MONTH(I30))-(12*YEAR(I7)+MONTH(I7))</f>
        <v>39</v>
      </c>
      <c r="J33" s="7"/>
      <c r="K33" s="7"/>
      <c r="L33" s="7"/>
    </row>
    <row r="34" spans="1:12" x14ac:dyDescent="0.25">
      <c r="A34" s="7"/>
      <c r="B34" s="1" t="s">
        <v>345</v>
      </c>
      <c r="C34"/>
      <c r="D34"/>
      <c r="E34"/>
      <c r="F34"/>
      <c r="G34"/>
      <c r="H34"/>
      <c r="I34" s="157">
        <f>(1+$I$11)^(I33/12)</f>
        <v>1.208492785568412</v>
      </c>
      <c r="J34" s="7"/>
      <c r="K34" s="7"/>
      <c r="L34" s="7"/>
    </row>
    <row r="35" spans="1:12" x14ac:dyDescent="0.25">
      <c r="A35" s="7"/>
      <c r="B35" s="1" t="s">
        <v>346</v>
      </c>
      <c r="C35"/>
      <c r="D35"/>
      <c r="E35"/>
      <c r="F35"/>
      <c r="G35"/>
      <c r="H35"/>
      <c r="I35" s="155">
        <f>I6*I32*I34</f>
        <v>546081.10319067969</v>
      </c>
      <c r="J35" s="7"/>
      <c r="K35" s="7"/>
      <c r="L35" s="7"/>
    </row>
    <row r="36" spans="1:12" x14ac:dyDescent="0.25">
      <c r="A36" s="7"/>
      <c r="B36" s="1" t="s">
        <v>347</v>
      </c>
      <c r="C36"/>
      <c r="D36"/>
      <c r="E36"/>
      <c r="F36"/>
      <c r="G36"/>
      <c r="H36"/>
      <c r="I36" s="156">
        <f>I35/I9</f>
        <v>3.5345055222697715E-2</v>
      </c>
      <c r="J36" s="7"/>
      <c r="K36" s="7"/>
      <c r="L36" s="7"/>
    </row>
    <row r="38" spans="1:12" x14ac:dyDescent="0.25">
      <c r="A38" s="6" t="s">
        <v>0</v>
      </c>
      <c r="B38" s="207" t="s">
        <v>215</v>
      </c>
      <c r="C38" s="207"/>
      <c r="D38" s="207"/>
      <c r="E38" s="207"/>
      <c r="F38" s="207"/>
      <c r="G38" s="207"/>
      <c r="H38" s="207"/>
      <c r="I38" s="207"/>
      <c r="J38" s="207"/>
      <c r="K38" s="207"/>
      <c r="L38" s="207"/>
    </row>
    <row r="39" spans="1:12" x14ac:dyDescent="0.25">
      <c r="A39" s="6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</row>
    <row r="40" spans="1:12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25">
      <c r="A41" s="7" t="s">
        <v>1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25">
      <c r="A43" s="7"/>
      <c r="B43" s="7" t="s">
        <v>350</v>
      </c>
      <c r="C43" s="7"/>
      <c r="D43" s="7"/>
      <c r="E43" s="7"/>
      <c r="F43" s="7"/>
      <c r="G43" s="7"/>
      <c r="H43" s="7"/>
      <c r="I43" s="7"/>
      <c r="J43" s="7"/>
      <c r="K43" s="7"/>
      <c r="L43" s="7"/>
    </row>
    <row r="45" spans="1:12" x14ac:dyDescent="0.25">
      <c r="A45" s="3"/>
      <c r="B45" s="3"/>
      <c r="C45" s="3"/>
      <c r="D45" s="3"/>
      <c r="E45" s="3"/>
      <c r="F45" s="3"/>
      <c r="G45" s="4"/>
      <c r="H45" s="4"/>
      <c r="I45" s="4"/>
      <c r="J45" s="4"/>
      <c r="K45" s="4"/>
      <c r="L45" s="4"/>
    </row>
    <row r="46" spans="1:12" x14ac:dyDescent="0.25">
      <c r="A46" s="9" t="s">
        <v>121</v>
      </c>
      <c r="B46" s="3"/>
      <c r="C46" s="3"/>
      <c r="D46" s="3"/>
      <c r="E46" s="3"/>
      <c r="F46" s="3"/>
      <c r="G46" s="4"/>
      <c r="H46" s="4"/>
      <c r="I46" s="4"/>
      <c r="J46" s="4"/>
      <c r="K46" s="4"/>
      <c r="L46" s="4"/>
    </row>
    <row r="47" spans="1:12" x14ac:dyDescent="0.25">
      <c r="A47" s="3"/>
      <c r="B47" s="3"/>
      <c r="C47" s="3"/>
      <c r="D47" s="3"/>
      <c r="E47" s="3"/>
      <c r="F47" s="3"/>
      <c r="G47" s="4"/>
      <c r="H47" s="4"/>
      <c r="I47" s="4"/>
      <c r="J47" s="4"/>
      <c r="K47" s="4"/>
      <c r="L47" s="4"/>
    </row>
    <row r="49" spans="1:13" x14ac:dyDescent="0.25">
      <c r="A49" s="6" t="s">
        <v>2</v>
      </c>
      <c r="B49" s="207" t="s">
        <v>122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</row>
    <row r="50" spans="1:13" x14ac:dyDescent="0.25">
      <c r="A50" s="3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</row>
    <row r="51" spans="1:13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3" x14ac:dyDescent="0.25">
      <c r="A52" s="7" t="s">
        <v>1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3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3" x14ac:dyDescent="0.25">
      <c r="A54" s="7"/>
      <c r="B54" s="7" t="s">
        <v>351</v>
      </c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3" x14ac:dyDescent="0.25">
      <c r="B55" s="1" t="s">
        <v>352</v>
      </c>
    </row>
    <row r="57" spans="1:13" x14ac:dyDescent="0.25">
      <c r="M57" s="7"/>
    </row>
    <row r="58" spans="1:13" x14ac:dyDescent="0.25">
      <c r="M58" s="7"/>
    </row>
  </sheetData>
  <mergeCells count="4">
    <mergeCell ref="B17:L18"/>
    <mergeCell ref="A3:K4"/>
    <mergeCell ref="B49:L50"/>
    <mergeCell ref="B38:L39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84A59-E1F5-42C0-B884-59885334EE8D}">
  <dimension ref="A1:R84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2" width="14.7109375" style="1" customWidth="1"/>
    <col min="3" max="3" width="16.140625" style="1" customWidth="1"/>
    <col min="4" max="5" width="14.7109375" style="1" customWidth="1"/>
    <col min="6" max="6" width="21.7109375" style="1" customWidth="1"/>
    <col min="7" max="7" width="9.85546875" style="1" bestFit="1" customWidth="1"/>
    <col min="8" max="8" width="8.85546875" style="1" customWidth="1"/>
    <col min="9" max="12" width="9.7109375" style="1" customWidth="1"/>
    <col min="13" max="16384" width="8.85546875" style="1"/>
  </cols>
  <sheetData>
    <row r="1" spans="1:12" ht="18.75" x14ac:dyDescent="0.3">
      <c r="A1" s="2" t="s">
        <v>123</v>
      </c>
      <c r="B1" s="4"/>
      <c r="C1" s="9" t="s">
        <v>10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207" t="s">
        <v>124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3"/>
    </row>
    <row r="4" spans="1:12" x14ac:dyDescent="0.25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9"/>
    </row>
    <row r="5" spans="1:12" x14ac:dyDescent="0.25">
      <c r="A5" s="21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47.25" x14ac:dyDescent="0.25">
      <c r="A6" s="21"/>
      <c r="B6" s="48" t="s">
        <v>125</v>
      </c>
      <c r="C6" s="48" t="s">
        <v>62</v>
      </c>
      <c r="D6" s="48" t="s">
        <v>126</v>
      </c>
      <c r="E6" s="9"/>
      <c r="F6" s="9"/>
      <c r="G6" s="9"/>
      <c r="H6" s="9"/>
      <c r="I6" s="9"/>
      <c r="J6" s="9"/>
      <c r="K6" s="9"/>
      <c r="L6" s="9"/>
    </row>
    <row r="7" spans="1:12" x14ac:dyDescent="0.25">
      <c r="A7" s="21"/>
      <c r="B7" s="33">
        <v>2017</v>
      </c>
      <c r="C7" s="26">
        <v>23286</v>
      </c>
      <c r="D7" s="26">
        <v>8297960</v>
      </c>
      <c r="E7" s="9"/>
      <c r="F7" s="9"/>
      <c r="G7" s="9"/>
      <c r="H7" s="9"/>
      <c r="I7" s="9"/>
      <c r="J7" s="9"/>
      <c r="K7" s="9"/>
      <c r="L7" s="9"/>
    </row>
    <row r="8" spans="1:12" x14ac:dyDescent="0.25">
      <c r="A8" s="21"/>
      <c r="B8" s="33">
        <v>2018</v>
      </c>
      <c r="C8" s="26">
        <v>23595</v>
      </c>
      <c r="D8" s="26">
        <v>9230643</v>
      </c>
      <c r="E8" s="9"/>
      <c r="F8" s="9"/>
      <c r="G8" s="9"/>
      <c r="H8" s="9"/>
      <c r="I8" s="9"/>
      <c r="J8" s="9"/>
      <c r="K8" s="9"/>
      <c r="L8" s="9"/>
    </row>
    <row r="9" spans="1:12" x14ac:dyDescent="0.25">
      <c r="A9" s="21"/>
      <c r="B9" s="33">
        <v>2019</v>
      </c>
      <c r="C9" s="26">
        <v>23886</v>
      </c>
      <c r="D9" s="26">
        <v>10390684</v>
      </c>
      <c r="E9" s="9"/>
      <c r="F9" s="9"/>
      <c r="G9" s="9"/>
      <c r="H9" s="9"/>
      <c r="I9" s="9"/>
      <c r="J9" s="9"/>
      <c r="K9" s="9"/>
      <c r="L9" s="9"/>
    </row>
    <row r="10" spans="1:12" x14ac:dyDescent="0.25">
      <c r="A10" s="9"/>
      <c r="B10" s="33">
        <v>2020</v>
      </c>
      <c r="C10" s="26">
        <v>24423</v>
      </c>
      <c r="D10" s="26">
        <v>11357111</v>
      </c>
      <c r="E10" s="9"/>
      <c r="F10" s="9"/>
      <c r="G10" s="9"/>
      <c r="H10" s="9"/>
      <c r="I10" s="9"/>
      <c r="J10" s="9"/>
      <c r="K10" s="9"/>
      <c r="L10" s="9"/>
    </row>
    <row r="11" spans="1:12" x14ac:dyDescent="0.25">
      <c r="A11" s="9"/>
      <c r="B11" s="33">
        <v>2021</v>
      </c>
      <c r="C11" s="26">
        <v>24490</v>
      </c>
      <c r="D11" s="26">
        <v>12811927</v>
      </c>
      <c r="E11" s="9"/>
      <c r="F11" s="9"/>
      <c r="G11" s="9"/>
      <c r="H11" s="9"/>
      <c r="I11" s="9"/>
      <c r="J11" s="9"/>
      <c r="K11" s="9"/>
      <c r="L11" s="9"/>
    </row>
    <row r="12" spans="1:12" x14ac:dyDescent="0.25">
      <c r="A12" s="21"/>
      <c r="B12" s="33">
        <v>2022</v>
      </c>
      <c r="C12" s="26">
        <v>25103</v>
      </c>
      <c r="D12" s="26">
        <v>14531428</v>
      </c>
      <c r="E12" s="9"/>
      <c r="F12" s="9"/>
      <c r="G12" s="9"/>
      <c r="H12" s="9"/>
      <c r="I12" s="9"/>
      <c r="J12" s="9"/>
      <c r="K12" s="9"/>
      <c r="L12" s="9"/>
    </row>
    <row r="13" spans="1:12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1.5" x14ac:dyDescent="0.25">
      <c r="A14" s="9"/>
      <c r="B14" s="48" t="s">
        <v>127</v>
      </c>
      <c r="C14" s="222" t="s">
        <v>128</v>
      </c>
      <c r="D14" s="222"/>
      <c r="E14" s="9"/>
      <c r="F14" s="9"/>
      <c r="G14" s="9"/>
      <c r="H14" s="9"/>
      <c r="I14" s="9"/>
      <c r="J14" s="9"/>
      <c r="K14" s="9"/>
      <c r="L14" s="9"/>
    </row>
    <row r="15" spans="1:12" x14ac:dyDescent="0.25">
      <c r="A15" s="9"/>
      <c r="B15" s="33">
        <v>12</v>
      </c>
      <c r="C15" s="221">
        <v>2.306</v>
      </c>
      <c r="D15" s="221"/>
      <c r="E15" s="9"/>
      <c r="F15" s="9"/>
      <c r="G15" s="9"/>
      <c r="H15" s="9"/>
      <c r="I15" s="9"/>
      <c r="J15" s="9"/>
      <c r="K15" s="9"/>
      <c r="L15" s="9"/>
    </row>
    <row r="16" spans="1:12" x14ac:dyDescent="0.25">
      <c r="A16" s="9"/>
      <c r="B16" s="33">
        <v>24</v>
      </c>
      <c r="C16" s="221">
        <v>1.4790000000000001</v>
      </c>
      <c r="D16" s="221"/>
      <c r="E16" s="9"/>
      <c r="F16" s="9"/>
      <c r="G16" s="9"/>
      <c r="H16" s="9"/>
      <c r="I16" s="9"/>
      <c r="J16" s="9"/>
      <c r="K16" s="9"/>
      <c r="L16" s="9"/>
    </row>
    <row r="17" spans="1:18" x14ac:dyDescent="0.25">
      <c r="A17" s="9"/>
      <c r="B17" s="33">
        <v>36</v>
      </c>
      <c r="C17" s="221">
        <v>1.137</v>
      </c>
      <c r="D17" s="221"/>
      <c r="E17" s="9"/>
      <c r="F17" s="9"/>
      <c r="G17" s="9"/>
      <c r="H17" s="9"/>
      <c r="I17" s="9"/>
      <c r="J17" s="9"/>
      <c r="K17" s="9"/>
      <c r="L17" s="9"/>
    </row>
    <row r="18" spans="1:18" x14ac:dyDescent="0.25">
      <c r="A18" s="9"/>
      <c r="B18" s="33">
        <v>48</v>
      </c>
      <c r="C18" s="221">
        <v>1.0229999999999999</v>
      </c>
      <c r="D18" s="221"/>
      <c r="E18" s="9"/>
      <c r="F18" s="9"/>
      <c r="G18" s="9"/>
      <c r="H18" s="9"/>
      <c r="I18" s="9"/>
      <c r="J18" s="9"/>
      <c r="K18" s="9"/>
      <c r="L18" s="9"/>
    </row>
    <row r="19" spans="1:18" x14ac:dyDescent="0.25">
      <c r="A19" s="9"/>
      <c r="B19" s="33">
        <v>60</v>
      </c>
      <c r="C19" s="221">
        <v>1</v>
      </c>
      <c r="D19" s="221"/>
      <c r="E19" s="9"/>
      <c r="F19" s="9"/>
      <c r="G19" s="9"/>
      <c r="H19" s="9"/>
      <c r="I19" s="9"/>
      <c r="J19" s="9"/>
      <c r="K19" s="9"/>
      <c r="L19" s="9"/>
    </row>
    <row r="20" spans="1:18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8" ht="47.25" x14ac:dyDescent="0.25">
      <c r="A21" s="9"/>
      <c r="B21" s="48" t="s">
        <v>61</v>
      </c>
      <c r="C21" s="48" t="s">
        <v>129</v>
      </c>
      <c r="D21" s="48" t="s">
        <v>130</v>
      </c>
      <c r="E21" s="48" t="s">
        <v>131</v>
      </c>
      <c r="F21" s="9"/>
      <c r="G21" s="9"/>
      <c r="H21" s="9"/>
      <c r="I21" s="9"/>
      <c r="J21" s="9"/>
      <c r="K21" s="9"/>
      <c r="L21" s="9"/>
    </row>
    <row r="22" spans="1:18" x14ac:dyDescent="0.25">
      <c r="A22" s="9"/>
      <c r="B22" s="33">
        <v>2019</v>
      </c>
      <c r="C22" s="26">
        <v>725000</v>
      </c>
      <c r="D22" s="41">
        <v>8950624</v>
      </c>
      <c r="E22" s="41">
        <v>9323021</v>
      </c>
      <c r="F22" s="9"/>
      <c r="G22" s="9"/>
      <c r="H22" s="9"/>
      <c r="I22" s="9"/>
      <c r="J22" s="9"/>
      <c r="K22" s="9"/>
      <c r="L22" s="9"/>
    </row>
    <row r="23" spans="1:18" x14ac:dyDescent="0.25">
      <c r="A23" s="9"/>
      <c r="B23" s="33">
        <v>2020</v>
      </c>
      <c r="C23" s="26">
        <v>825176</v>
      </c>
      <c r="D23" s="41">
        <v>9921833</v>
      </c>
      <c r="E23" s="41">
        <v>10304355</v>
      </c>
      <c r="F23" s="9"/>
      <c r="G23" s="9"/>
      <c r="H23" s="9"/>
      <c r="I23" s="9"/>
      <c r="J23" s="9"/>
      <c r="K23" s="9"/>
      <c r="L23" s="9"/>
    </row>
    <row r="24" spans="1:18" x14ac:dyDescent="0.25">
      <c r="A24" s="9"/>
      <c r="B24" s="33">
        <v>2021</v>
      </c>
      <c r="C24" s="26">
        <v>935423</v>
      </c>
      <c r="D24" s="41">
        <v>11058159</v>
      </c>
      <c r="E24" s="38" t="s">
        <v>132</v>
      </c>
      <c r="F24" s="9"/>
      <c r="G24" s="9"/>
      <c r="H24" s="9"/>
      <c r="I24" s="9"/>
      <c r="J24" s="9"/>
      <c r="K24" s="9"/>
      <c r="L24" s="9"/>
    </row>
    <row r="25" spans="1:18" x14ac:dyDescent="0.25">
      <c r="A25" s="9"/>
      <c r="B25" s="33">
        <v>2022</v>
      </c>
      <c r="C25" s="26">
        <v>1062610</v>
      </c>
      <c r="D25" s="41">
        <v>12393344</v>
      </c>
      <c r="E25" s="38" t="s">
        <v>132</v>
      </c>
      <c r="F25" s="9"/>
      <c r="G25" s="9"/>
      <c r="H25" s="9"/>
      <c r="I25" s="9"/>
      <c r="J25" s="9"/>
      <c r="K25" s="9"/>
      <c r="L25" s="9"/>
    </row>
    <row r="26" spans="1:18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8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8" x14ac:dyDescent="0.25">
      <c r="A28" s="6" t="s">
        <v>4</v>
      </c>
      <c r="B28" s="9" t="s">
        <v>133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8"/>
      <c r="N28" s="8"/>
      <c r="O28" s="8"/>
      <c r="P28" s="8"/>
      <c r="Q28" s="8"/>
      <c r="R28" s="8"/>
    </row>
    <row r="29" spans="1:18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8" x14ac:dyDescent="0.25">
      <c r="A30" s="7" t="s">
        <v>1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8"/>
    </row>
    <row r="31" spans="1:18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8"/>
    </row>
    <row r="32" spans="1:18" x14ac:dyDescent="0.25">
      <c r="A32" s="7"/>
      <c r="B32" s="7" t="s">
        <v>449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8"/>
    </row>
    <row r="33" spans="1:14" x14ac:dyDescent="0.25">
      <c r="B33" s="7" t="s">
        <v>450</v>
      </c>
      <c r="M33" s="8"/>
      <c r="N33" s="8"/>
    </row>
    <row r="35" spans="1:14" x14ac:dyDescent="0.25">
      <c r="A35" s="6" t="s">
        <v>5</v>
      </c>
      <c r="B35" s="9" t="s">
        <v>200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4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4" x14ac:dyDescent="0.25">
      <c r="A37" s="7" t="s">
        <v>1</v>
      </c>
      <c r="B37" s="7"/>
      <c r="C37" s="7"/>
      <c r="E37" s="7"/>
      <c r="F37" s="7"/>
      <c r="G37" s="7"/>
      <c r="H37" s="7"/>
      <c r="I37" s="7"/>
      <c r="J37" s="7"/>
      <c r="K37" s="7"/>
      <c r="L37" s="7"/>
    </row>
    <row r="38" spans="1:14" x14ac:dyDescent="0.25">
      <c r="B38" s="203" t="s">
        <v>451</v>
      </c>
      <c r="C38"/>
      <c r="H38" s="7"/>
      <c r="I38" s="7"/>
      <c r="J38" s="7"/>
      <c r="K38" s="7"/>
      <c r="L38" s="7"/>
    </row>
    <row r="39" spans="1:14" x14ac:dyDescent="0.25">
      <c r="B39" s="205" t="s">
        <v>452</v>
      </c>
      <c r="C39"/>
      <c r="D39" s="204"/>
      <c r="H39" s="7"/>
      <c r="I39" s="7"/>
      <c r="J39" s="7"/>
      <c r="K39" s="7"/>
      <c r="L39" s="7"/>
    </row>
    <row r="40" spans="1:14" x14ac:dyDescent="0.25">
      <c r="B40"/>
      <c r="C40"/>
      <c r="D40" s="204"/>
      <c r="H40" s="7"/>
      <c r="I40" s="7"/>
      <c r="J40" s="7"/>
      <c r="K40" s="7"/>
      <c r="L40" s="7"/>
    </row>
    <row r="41" spans="1:14" x14ac:dyDescent="0.25">
      <c r="B41" s="1" t="s">
        <v>354</v>
      </c>
      <c r="H41" s="7"/>
      <c r="I41" s="7"/>
      <c r="J41" s="7"/>
      <c r="K41" s="7"/>
      <c r="L41" s="7"/>
    </row>
    <row r="42" spans="1:14" x14ac:dyDescent="0.25">
      <c r="B42" s="158"/>
      <c r="D42" s="219" t="s">
        <v>355</v>
      </c>
      <c r="E42" s="219"/>
      <c r="F42" s="219"/>
      <c r="G42" s="219"/>
      <c r="H42" s="219"/>
      <c r="I42" s="7"/>
      <c r="J42" s="7"/>
      <c r="K42" s="7"/>
      <c r="L42" s="7"/>
    </row>
    <row r="43" spans="1:14" x14ac:dyDescent="0.25">
      <c r="B43" s="158"/>
      <c r="D43" s="160">
        <v>12</v>
      </c>
      <c r="E43" s="160">
        <f>D43+12</f>
        <v>24</v>
      </c>
      <c r="F43" s="160">
        <f t="shared" ref="F43:H43" si="0">E43+12</f>
        <v>36</v>
      </c>
      <c r="G43" s="160">
        <f t="shared" si="0"/>
        <v>48</v>
      </c>
      <c r="H43" s="160">
        <f t="shared" si="0"/>
        <v>60</v>
      </c>
    </row>
    <row r="44" spans="1:14" x14ac:dyDescent="0.25">
      <c r="B44" s="161" t="s">
        <v>356</v>
      </c>
      <c r="D44" s="162">
        <f>C15</f>
        <v>2.306</v>
      </c>
      <c r="E44" s="162">
        <f>C16</f>
        <v>1.4790000000000001</v>
      </c>
      <c r="F44" s="162">
        <f>C17</f>
        <v>1.137</v>
      </c>
      <c r="G44" s="149">
        <f>C18</f>
        <v>1.0229999999999999</v>
      </c>
      <c r="H44" s="149">
        <f>C19</f>
        <v>1</v>
      </c>
    </row>
    <row r="45" spans="1:14" x14ac:dyDescent="0.25">
      <c r="B45" s="161" t="s">
        <v>357</v>
      </c>
      <c r="D45" s="163">
        <f>1/D44</f>
        <v>0.43365134431916735</v>
      </c>
      <c r="E45" s="163">
        <f t="shared" ref="E45:H45" si="1">1/E44</f>
        <v>0.67613252197430695</v>
      </c>
      <c r="F45" s="163">
        <f t="shared" si="1"/>
        <v>0.87950747581354438</v>
      </c>
      <c r="G45" s="163">
        <f t="shared" si="1"/>
        <v>0.97751710654936474</v>
      </c>
      <c r="H45" s="163">
        <f t="shared" si="1"/>
        <v>1</v>
      </c>
    </row>
    <row r="46" spans="1:14" x14ac:dyDescent="0.25">
      <c r="B46" s="161" t="s">
        <v>358</v>
      </c>
      <c r="D46" s="164">
        <f>D45</f>
        <v>0.43365134431916735</v>
      </c>
      <c r="E46" s="164">
        <f>E45-D45</f>
        <v>0.2424811776551396</v>
      </c>
      <c r="F46" s="164">
        <f t="shared" ref="F46:H46" si="2">F45-E45</f>
        <v>0.20337495383923743</v>
      </c>
      <c r="G46" s="164">
        <f t="shared" si="2"/>
        <v>9.8009630735820363E-2</v>
      </c>
      <c r="H46" s="164">
        <f t="shared" si="2"/>
        <v>2.2482893450635255E-2</v>
      </c>
    </row>
    <row r="47" spans="1:14" x14ac:dyDescent="0.25">
      <c r="B47"/>
      <c r="C47"/>
      <c r="H47" s="7"/>
    </row>
    <row r="48" spans="1:14" ht="15.6" customHeight="1" x14ac:dyDescent="0.25">
      <c r="B48"/>
      <c r="C48"/>
      <c r="D48" s="171" t="s">
        <v>359</v>
      </c>
      <c r="E48" s="170"/>
      <c r="F48"/>
      <c r="H48" s="7"/>
      <c r="I48" s="7"/>
      <c r="J48" s="7"/>
      <c r="K48" s="7"/>
      <c r="L48" s="7"/>
    </row>
    <row r="49" spans="2:12" ht="31.5" x14ac:dyDescent="0.25">
      <c r="B49" s="80" t="s">
        <v>360</v>
      </c>
      <c r="C49" s="80" t="s">
        <v>361</v>
      </c>
      <c r="D49" s="159">
        <v>2021</v>
      </c>
      <c r="E49" s="159">
        <v>2022</v>
      </c>
      <c r="F49"/>
      <c r="H49" s="7"/>
      <c r="I49" s="7"/>
      <c r="J49" s="7"/>
      <c r="K49" s="7"/>
      <c r="L49" s="7"/>
    </row>
    <row r="50" spans="2:12" x14ac:dyDescent="0.25">
      <c r="B50" s="158">
        <f t="shared" ref="B50:B55" si="3">B7</f>
        <v>2017</v>
      </c>
      <c r="C50" s="165">
        <f t="shared" ref="C50:C55" si="4">D7</f>
        <v>8297960</v>
      </c>
      <c r="D50" s="165">
        <f>C50*H46</f>
        <v>186562.15053763331</v>
      </c>
      <c r="E50" s="165"/>
      <c r="F50"/>
      <c r="H50" s="7"/>
      <c r="I50" s="7"/>
      <c r="J50" s="7"/>
      <c r="K50" s="7"/>
      <c r="L50" s="7"/>
    </row>
    <row r="51" spans="2:12" x14ac:dyDescent="0.25">
      <c r="B51" s="158">
        <f t="shared" si="3"/>
        <v>2018</v>
      </c>
      <c r="C51" s="165">
        <f t="shared" si="4"/>
        <v>9230643</v>
      </c>
      <c r="D51" s="165">
        <f>C51*G46</f>
        <v>904691.91188418504</v>
      </c>
      <c r="E51" s="165">
        <f>C51*H46</f>
        <v>207531.56304985215</v>
      </c>
      <c r="F51"/>
      <c r="H51" s="7"/>
      <c r="I51" s="7"/>
      <c r="J51" s="7"/>
      <c r="K51" s="7"/>
      <c r="L51" s="7"/>
    </row>
    <row r="52" spans="2:12" ht="15.6" customHeight="1" x14ac:dyDescent="0.25">
      <c r="B52" s="158">
        <f t="shared" si="3"/>
        <v>2019</v>
      </c>
      <c r="C52" s="165">
        <f t="shared" si="4"/>
        <v>10390684</v>
      </c>
      <c r="D52" s="165">
        <f>C52*F46</f>
        <v>2113204.878858103</v>
      </c>
      <c r="E52" s="165">
        <f>C52*G46</f>
        <v>1018387.1019325969</v>
      </c>
      <c r="F52"/>
      <c r="H52" s="7"/>
      <c r="I52" s="7"/>
      <c r="J52" s="7"/>
      <c r="K52" s="7"/>
      <c r="L52" s="7"/>
    </row>
    <row r="53" spans="2:12" x14ac:dyDescent="0.25">
      <c r="B53" s="158">
        <f t="shared" si="3"/>
        <v>2020</v>
      </c>
      <c r="C53" s="165">
        <f t="shared" si="4"/>
        <v>11357111</v>
      </c>
      <c r="D53" s="165">
        <f>C53*E46</f>
        <v>2753885.6500401404</v>
      </c>
      <c r="E53" s="165">
        <f>C53*F46</f>
        <v>2309751.9253720958</v>
      </c>
      <c r="F53"/>
      <c r="H53" s="7"/>
      <c r="I53" s="7"/>
      <c r="J53" s="7"/>
      <c r="K53" s="7"/>
      <c r="L53" s="7"/>
    </row>
    <row r="54" spans="2:12" x14ac:dyDescent="0.25">
      <c r="B54" s="158">
        <f t="shared" si="3"/>
        <v>2021</v>
      </c>
      <c r="C54" s="165">
        <f t="shared" si="4"/>
        <v>12811927</v>
      </c>
      <c r="D54" s="165">
        <f>C54*D46</f>
        <v>5555909.366869037</v>
      </c>
      <c r="E54" s="165">
        <f>C54*E46</f>
        <v>3106651.1469916799</v>
      </c>
      <c r="F54"/>
      <c r="H54" s="7"/>
      <c r="I54" s="7"/>
      <c r="J54" s="7"/>
      <c r="K54" s="7"/>
      <c r="L54" s="7"/>
    </row>
    <row r="55" spans="2:12" x14ac:dyDescent="0.25">
      <c r="B55" s="159">
        <f t="shared" si="3"/>
        <v>2022</v>
      </c>
      <c r="C55" s="166">
        <f t="shared" si="4"/>
        <v>14531428</v>
      </c>
      <c r="D55" s="166"/>
      <c r="E55" s="166">
        <f>C55*D46</f>
        <v>6301573.2870771894</v>
      </c>
      <c r="F55"/>
      <c r="H55" s="7"/>
      <c r="I55" s="7"/>
      <c r="J55" s="7"/>
      <c r="K55" s="7"/>
      <c r="L55" s="7"/>
    </row>
    <row r="56" spans="2:12" x14ac:dyDescent="0.25">
      <c r="B56" s="93" t="s">
        <v>146</v>
      </c>
      <c r="D56" s="168">
        <f>SUM(D50:D55)</f>
        <v>11514253.9581891</v>
      </c>
      <c r="E56" s="168">
        <f>SUM(E50:E55)</f>
        <v>12943895.024423413</v>
      </c>
      <c r="F56" s="7"/>
      <c r="H56" s="7"/>
      <c r="I56" s="7"/>
      <c r="J56" s="7"/>
      <c r="K56" s="7"/>
      <c r="L56" s="7"/>
    </row>
    <row r="57" spans="2:12" x14ac:dyDescent="0.25">
      <c r="H57" s="7"/>
      <c r="I57" s="7"/>
      <c r="J57" s="7"/>
      <c r="K57" s="7"/>
      <c r="L57" s="7"/>
    </row>
    <row r="58" spans="2:12" x14ac:dyDescent="0.25">
      <c r="F58" s="93" t="s">
        <v>364</v>
      </c>
      <c r="G58"/>
      <c r="H58" s="7"/>
      <c r="I58" s="7"/>
      <c r="J58" s="7"/>
      <c r="K58" s="7"/>
      <c r="L58" s="7"/>
    </row>
    <row r="59" spans="2:12" x14ac:dyDescent="0.25">
      <c r="B59" s="93"/>
      <c r="C59" s="93" t="s">
        <v>362</v>
      </c>
      <c r="D59" s="220" t="s">
        <v>335</v>
      </c>
      <c r="E59" s="220"/>
      <c r="F59" s="93" t="s">
        <v>365</v>
      </c>
      <c r="G59"/>
      <c r="H59" s="7"/>
      <c r="I59" s="7"/>
      <c r="J59" s="7"/>
      <c r="K59" s="7"/>
      <c r="L59" s="7"/>
    </row>
    <row r="60" spans="2:12" x14ac:dyDescent="0.25">
      <c r="B60" s="80" t="s">
        <v>61</v>
      </c>
      <c r="C60" s="75" t="s">
        <v>363</v>
      </c>
      <c r="D60" s="75" t="s">
        <v>362</v>
      </c>
      <c r="E60" s="75" t="s">
        <v>280</v>
      </c>
      <c r="F60" s="75" t="s">
        <v>366</v>
      </c>
      <c r="G60"/>
      <c r="H60" s="7"/>
      <c r="I60" s="7"/>
      <c r="J60" s="7"/>
      <c r="K60" s="7"/>
      <c r="L60" s="7"/>
    </row>
    <row r="61" spans="2:12" x14ac:dyDescent="0.25">
      <c r="B61" s="167">
        <f t="shared" ref="B61:B63" si="5">B52</f>
        <v>2019</v>
      </c>
      <c r="C61" s="115">
        <f>C22</f>
        <v>725000</v>
      </c>
      <c r="D61" s="88">
        <f>D22</f>
        <v>8950624</v>
      </c>
      <c r="E61" s="88">
        <f>E22</f>
        <v>9323021</v>
      </c>
      <c r="F61" s="124">
        <f>C61/AVERAGE(D61:E61)</f>
        <v>7.934924860365844E-2</v>
      </c>
      <c r="G61"/>
      <c r="H61" s="7"/>
      <c r="I61" s="7"/>
      <c r="J61" s="7"/>
      <c r="K61" s="7"/>
      <c r="L61" s="7"/>
    </row>
    <row r="62" spans="2:12" x14ac:dyDescent="0.25">
      <c r="B62" s="93">
        <f t="shared" si="5"/>
        <v>2020</v>
      </c>
      <c r="C62" s="115">
        <f t="shared" ref="C62:E64" si="6">C23</f>
        <v>825176</v>
      </c>
      <c r="D62" s="88">
        <f t="shared" si="6"/>
        <v>9921833</v>
      </c>
      <c r="E62" s="88">
        <f t="shared" si="6"/>
        <v>10304355</v>
      </c>
      <c r="F62" s="137">
        <f>C62/AVERAGE(D62:E62)</f>
        <v>8.1594811637269463E-2</v>
      </c>
      <c r="H62" s="7"/>
      <c r="I62" s="7"/>
      <c r="J62" s="7"/>
      <c r="K62" s="7"/>
      <c r="L62" s="7"/>
    </row>
    <row r="63" spans="2:12" x14ac:dyDescent="0.25">
      <c r="B63" s="93">
        <f t="shared" si="5"/>
        <v>2021</v>
      </c>
      <c r="C63" s="115">
        <f t="shared" si="6"/>
        <v>935423</v>
      </c>
      <c r="D63" s="88">
        <f t="shared" si="6"/>
        <v>11058159</v>
      </c>
      <c r="E63" s="88">
        <f>D56</f>
        <v>11514253.9581891</v>
      </c>
      <c r="F63" s="137">
        <f>C63/AVERAGE(D63:E63)</f>
        <v>8.2881967624168926E-2</v>
      </c>
      <c r="G63"/>
      <c r="H63" s="7"/>
      <c r="I63" s="7"/>
      <c r="J63" s="7"/>
      <c r="K63" s="7"/>
      <c r="L63" s="7"/>
    </row>
    <row r="64" spans="2:12" x14ac:dyDescent="0.25">
      <c r="B64" s="79">
        <f>B55</f>
        <v>2022</v>
      </c>
      <c r="C64" s="116">
        <f t="shared" si="6"/>
        <v>1062610</v>
      </c>
      <c r="D64" s="138">
        <f t="shared" si="6"/>
        <v>12393344</v>
      </c>
      <c r="E64" s="138">
        <f>E56</f>
        <v>12943895.024423413</v>
      </c>
      <c r="F64" s="140">
        <f>C64/AVERAGE(D64:E64)</f>
        <v>8.3877331620522244E-2</v>
      </c>
      <c r="G64"/>
      <c r="H64" s="7"/>
      <c r="I64" s="7"/>
      <c r="J64" s="7"/>
      <c r="K64" s="7"/>
      <c r="L64" s="7"/>
    </row>
    <row r="65" spans="1:12" x14ac:dyDescent="0.25">
      <c r="B65" s="93" t="s">
        <v>146</v>
      </c>
      <c r="C65" s="78">
        <f>SUM(C61:C64)</f>
        <v>3548209</v>
      </c>
      <c r="D65" s="78">
        <f>SUM(D61:D64)</f>
        <v>42323960</v>
      </c>
      <c r="E65" s="88">
        <f>SUM(E61:E64)</f>
        <v>44085524.982612513</v>
      </c>
      <c r="F65" s="137">
        <f>C65/AVERAGE(D65:E65)</f>
        <v>8.2125451869409408E-2</v>
      </c>
      <c r="G65"/>
      <c r="H65" s="7"/>
      <c r="I65" s="7"/>
      <c r="J65" s="7"/>
      <c r="K65" s="7"/>
      <c r="L65" s="7"/>
    </row>
    <row r="67" spans="1:12" x14ac:dyDescent="0.25">
      <c r="A67" s="6" t="s">
        <v>0</v>
      </c>
      <c r="B67" s="9" t="s">
        <v>211</v>
      </c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x14ac:dyDescent="0.25">
      <c r="A69" s="7" t="s">
        <v>1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x14ac:dyDescent="0.25">
      <c r="A70" s="7"/>
      <c r="B70" s="7" t="s">
        <v>367</v>
      </c>
      <c r="C70" s="7"/>
      <c r="D70" s="169">
        <f>AVERAGE(F62:F64)</f>
        <v>8.2784703627320211E-2</v>
      </c>
      <c r="E70" s="7"/>
      <c r="F70" s="7"/>
      <c r="G70" s="7"/>
      <c r="H70" s="7"/>
      <c r="I70" s="7"/>
      <c r="J70" s="7"/>
      <c r="K70" s="7"/>
      <c r="L70" s="7"/>
    </row>
    <row r="71" spans="1:12" x14ac:dyDescent="0.25">
      <c r="A71" s="7"/>
      <c r="B71" s="7" t="s">
        <v>368</v>
      </c>
      <c r="C71" s="7"/>
      <c r="D71" s="7"/>
      <c r="E71" s="7"/>
      <c r="F71" s="7"/>
      <c r="G71" s="7"/>
      <c r="H71" s="7"/>
      <c r="I71" s="7"/>
      <c r="J71" s="7"/>
      <c r="K71" s="7"/>
      <c r="L71" s="7"/>
    </row>
    <row r="73" spans="1:12" x14ac:dyDescent="0.25">
      <c r="A73" s="3"/>
      <c r="B73" s="3"/>
      <c r="C73" s="3"/>
      <c r="D73" s="3"/>
      <c r="E73" s="3"/>
      <c r="F73" s="3"/>
      <c r="G73" s="4"/>
      <c r="H73" s="4"/>
      <c r="I73" s="4"/>
      <c r="J73" s="4"/>
      <c r="K73" s="4"/>
      <c r="L73" s="4"/>
    </row>
    <row r="74" spans="1:12" x14ac:dyDescent="0.25">
      <c r="A74" s="35" t="s">
        <v>134</v>
      </c>
      <c r="B74" s="9"/>
      <c r="C74" s="9"/>
      <c r="D74" s="9"/>
      <c r="E74" s="3"/>
      <c r="F74" s="3"/>
      <c r="G74" s="4"/>
      <c r="H74" s="4"/>
      <c r="I74" s="4"/>
      <c r="J74" s="4"/>
      <c r="K74" s="4"/>
      <c r="L74" s="4"/>
    </row>
    <row r="75" spans="1:12" x14ac:dyDescent="0.25">
      <c r="A75" s="9"/>
      <c r="B75" s="24" t="s">
        <v>135</v>
      </c>
      <c r="C75" s="65">
        <v>0.4</v>
      </c>
      <c r="D75" s="25" t="s">
        <v>136</v>
      </c>
      <c r="E75" s="3"/>
      <c r="F75" s="3"/>
      <c r="G75" s="4"/>
      <c r="H75" s="47">
        <v>0.6</v>
      </c>
      <c r="I75" s="4" t="s">
        <v>202</v>
      </c>
      <c r="J75" s="4"/>
      <c r="K75" s="4"/>
      <c r="L75" s="4"/>
    </row>
    <row r="76" spans="1:12" x14ac:dyDescent="0.25">
      <c r="A76" s="9"/>
      <c r="B76" s="24" t="s">
        <v>201</v>
      </c>
      <c r="C76" s="49">
        <v>13974912</v>
      </c>
      <c r="D76" s="9"/>
      <c r="E76" s="3"/>
      <c r="F76" s="3"/>
      <c r="G76" s="4"/>
      <c r="H76" s="4"/>
      <c r="I76" s="4"/>
      <c r="J76" s="4"/>
      <c r="K76" s="4"/>
      <c r="L76" s="4"/>
    </row>
    <row r="77" spans="1:12" x14ac:dyDescent="0.25">
      <c r="A77" s="9"/>
      <c r="B77" s="24" t="s">
        <v>212</v>
      </c>
      <c r="C77" s="9"/>
      <c r="D77" s="49">
        <v>4965557</v>
      </c>
      <c r="E77" s="3"/>
      <c r="F77" s="3"/>
      <c r="G77" s="4"/>
      <c r="H77" s="4"/>
      <c r="I77" s="4"/>
      <c r="J77" s="4"/>
      <c r="K77" s="4"/>
      <c r="L77" s="4"/>
    </row>
    <row r="78" spans="1:12" x14ac:dyDescent="0.25">
      <c r="A78" s="3"/>
      <c r="B78" s="3"/>
      <c r="C78" s="3"/>
      <c r="D78" s="3"/>
      <c r="E78" s="3"/>
      <c r="F78" s="3"/>
      <c r="G78" s="4"/>
      <c r="H78" s="4"/>
      <c r="I78" s="4"/>
      <c r="J78" s="4"/>
      <c r="K78" s="4"/>
      <c r="L78" s="4"/>
    </row>
    <row r="80" spans="1:12" x14ac:dyDescent="0.25">
      <c r="A80" s="6" t="s">
        <v>2</v>
      </c>
      <c r="B80" s="9" t="s">
        <v>137</v>
      </c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3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3" x14ac:dyDescent="0.25">
      <c r="A82" s="7" t="s">
        <v>1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1:13" x14ac:dyDescent="0.25">
      <c r="C83"/>
      <c r="D83"/>
      <c r="M83" s="7"/>
    </row>
    <row r="84" spans="1:13" x14ac:dyDescent="0.25">
      <c r="B84" s="1" t="s">
        <v>369</v>
      </c>
      <c r="C84"/>
      <c r="D84" s="73">
        <f>D70*(D77*(1-C75)+C76)</f>
        <v>1403552.2468916199</v>
      </c>
      <c r="M84" s="7"/>
    </row>
  </sheetData>
  <mergeCells count="9">
    <mergeCell ref="D42:H42"/>
    <mergeCell ref="D59:E59"/>
    <mergeCell ref="C18:D18"/>
    <mergeCell ref="C19:D19"/>
    <mergeCell ref="A3:K4"/>
    <mergeCell ref="C14:D14"/>
    <mergeCell ref="C15:D15"/>
    <mergeCell ref="C16:D16"/>
    <mergeCell ref="C17:D1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 Zionce</cp:lastModifiedBy>
  <cp:lastPrinted>2018-12-31T14:01:19Z</cp:lastPrinted>
  <dcterms:created xsi:type="dcterms:W3CDTF">2016-11-07T18:30:57Z</dcterms:created>
  <dcterms:modified xsi:type="dcterms:W3CDTF">2023-07-31T15:50:30Z</dcterms:modified>
</cp:coreProperties>
</file>